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Saira.Rashid\Downloads\"/>
    </mc:Choice>
  </mc:AlternateContent>
  <bookViews>
    <workbookView xWindow="-110" yWindow="-110" windowWidth="19420" windowHeight="10300" firstSheet="5" activeTab="9" xr2:uid="{4AAAF04B-6460-431A-A2A0-399BC9ABCF79}"/>
  </bookViews>
  <sheets>
    <sheet name="RFPR cover" sheetId="1" r:id="rId1"/>
    <sheet name="Data" sheetId="2" r:id="rId2"/>
    <sheet name="Content &amp; Version Control" sheetId="3" r:id="rId3"/>
    <sheet name="Change log" sheetId="4" r:id="rId4"/>
    <sheet name="R1 - RoRE" sheetId="5" r:id="rId5"/>
    <sheet name="R2 - Rec to Revenue and Profit" sheetId="6" r:id="rId6"/>
    <sheet name="R3 - Totex - Reconciliation" sheetId="7" r:id="rId7"/>
    <sheet name="R4 - Incentives and Other Rev" sheetId="8" r:id="rId8"/>
    <sheet name="R5 - Financing" sheetId="9" r:id="rId9"/>
    <sheet name="R6 - Net Debt" sheetId="10" r:id="rId10"/>
    <sheet name="R7 - RAV" sheetId="11" r:id="rId11"/>
    <sheet name="R8 - Tax" sheetId="12" r:id="rId12"/>
    <sheet name="R9 - Corporate Governance" sheetId="13" r:id="rId13"/>
    <sheet name="R10 - Pensions &amp; Oth Activities" sheetId="14" r:id="rId14"/>
    <sheet name="I1 - Universal Data" sheetId="15" r:id="rId15"/>
    <sheet name="I2 - Monthly Inflation" sheetId="16" r:id="rId16"/>
  </sheets>
  <definedNames>
    <definedName name="________hom1" localSheetId="14" hidden="1">{#N/A,#N/A,FALSE,"Assessment";#N/A,#N/A,FALSE,"Staffing";#N/A,#N/A,FALSE,"Hires";#N/A,#N/A,FALSE,"Assumptions"}</definedName>
    <definedName name="________hom1" hidden="1">{#N/A,#N/A,FALSE,"Assessment";#N/A,#N/A,FALSE,"Staffing";#N/A,#N/A,FALSE,"Hires";#N/A,#N/A,FALSE,"Assumptions"}</definedName>
    <definedName name="________k1" localSheetId="14" hidden="1">{#N/A,#N/A,FALSE,"Assessment";#N/A,#N/A,FALSE,"Staffing";#N/A,#N/A,FALSE,"Hires";#N/A,#N/A,FALSE,"Assumptions"}</definedName>
    <definedName name="________k1" hidden="1">{#N/A,#N/A,FALSE,"Assessment";#N/A,#N/A,FALSE,"Staffing";#N/A,#N/A,FALSE,"Hires";#N/A,#N/A,FALSE,"Assumptions"}</definedName>
    <definedName name="________kk1" localSheetId="14" hidden="1">{#N/A,#N/A,FALSE,"Assessment";#N/A,#N/A,FALSE,"Staffing";#N/A,#N/A,FALSE,"Hires";#N/A,#N/A,FALSE,"Assumptions"}</definedName>
    <definedName name="________kk1" hidden="1">{#N/A,#N/A,FALSE,"Assessment";#N/A,#N/A,FALSE,"Staffing";#N/A,#N/A,FALSE,"Hires";#N/A,#N/A,FALSE,"Assumptions"}</definedName>
    <definedName name="________KKK1" localSheetId="14" hidden="1">{#N/A,#N/A,FALSE,"Assessment";#N/A,#N/A,FALSE,"Staffing";#N/A,#N/A,FALSE,"Hires";#N/A,#N/A,FALSE,"Assumptions"}</definedName>
    <definedName name="________KKK1" hidden="1">{#N/A,#N/A,FALSE,"Assessment";#N/A,#N/A,FALSE,"Staffing";#N/A,#N/A,FALSE,"Hires";#N/A,#N/A,FALSE,"Assumptions"}</definedName>
    <definedName name="________w2" localSheetId="14" hidden="1">{"Model Summary",#N/A,FALSE,"Print Chart";"Holdco",#N/A,FALSE,"Print Chart";"Genco",#N/A,FALSE,"Print Chart";"Servco",#N/A,FALSE,"Print Chart";"Genco_Detail",#N/A,FALSE,"Summary Financials";"Servco_Detail",#N/A,FALSE,"Summary Financials"}</definedName>
    <definedName name="________w2" hidden="1">{"Model Summary",#N/A,FALSE,"Print Chart";"Holdco",#N/A,FALSE,"Print Chart";"Genco",#N/A,FALSE,"Print Chart";"Servco",#N/A,FALSE,"Print Chart";"Genco_Detail",#N/A,FALSE,"Summary Financials";"Servco_Detail",#N/A,FALSE,"Summary Financials"}</definedName>
    <definedName name="________wr6" localSheetId="14" hidden="1">{"Model Summary",#N/A,FALSE,"Print Chart";"Holdco",#N/A,FALSE,"Print Chart";"Genco",#N/A,FALSE,"Print Chart";"Servco",#N/A,FALSE,"Print Chart";"Genco_Detail",#N/A,FALSE,"Summary Financials";"Servco_Detail",#N/A,FALSE,"Summary Financials"}</definedName>
    <definedName name="________wr6" hidden="1">{"Model Summary",#N/A,FALSE,"Print Chart";"Holdco",#N/A,FALSE,"Print Chart";"Genco",#N/A,FALSE,"Print Chart";"Servco",#N/A,FALSE,"Print Chart";"Genco_Detail",#N/A,FALSE,"Summary Financials";"Servco_Detail",#N/A,FALSE,"Summary Financials"}</definedName>
    <definedName name="________wr9" localSheetId="14" hidden="1">{"holdco",#N/A,FALSE,"Summary Financials";"holdco",#N/A,FALSE,"Summary Financials"}</definedName>
    <definedName name="________wr9" hidden="1">{"holdco",#N/A,FALSE,"Summary Financials";"holdco",#N/A,FALSE,"Summary Financials"}</definedName>
    <definedName name="________wrn1" localSheetId="14" hidden="1">{"holdco",#N/A,FALSE,"Summary Financials";"holdco",#N/A,FALSE,"Summary Financials"}</definedName>
    <definedName name="________wrn1" hidden="1">{"holdco",#N/A,FALSE,"Summary Financials";"holdco",#N/A,FALSE,"Summary Financials"}</definedName>
    <definedName name="________wrn2" localSheetId="14" hidden="1">{"holdco",#N/A,FALSE,"Summary Financials";"holdco",#N/A,FALSE,"Summary Financials"}</definedName>
    <definedName name="________wrn2" hidden="1">{"holdco",#N/A,FALSE,"Summary Financials";"holdco",#N/A,FALSE,"Summary Financials"}</definedName>
    <definedName name="________wrn3" localSheetId="14" hidden="1">{"holdco",#N/A,FALSE,"Summary Financials";"holdco",#N/A,FALSE,"Summary Financials"}</definedName>
    <definedName name="________wrn3" hidden="1">{"holdco",#N/A,FALSE,"Summary Financials";"holdco",#N/A,FALSE,"Summary Financials"}</definedName>
    <definedName name="________wrn7" localSheetId="14" hidden="1">{"Model Summary",#N/A,FALSE,"Print Chart";"Holdco",#N/A,FALSE,"Print Chart";"Genco",#N/A,FALSE,"Print Chart";"Servco",#N/A,FALSE,"Print Chart";"Genco_Detail",#N/A,FALSE,"Summary Financials";"Servco_Detail",#N/A,FALSE,"Summary Financials"}</definedName>
    <definedName name="________wrn7" hidden="1">{"Model Summary",#N/A,FALSE,"Print Chart";"Holdco",#N/A,FALSE,"Print Chart";"Genco",#N/A,FALSE,"Print Chart";"Servco",#N/A,FALSE,"Print Chart";"Genco_Detail",#N/A,FALSE,"Summary Financials";"Servco_Detail",#N/A,FALSE,"Summary Financials"}</definedName>
    <definedName name="________wrn8" localSheetId="14" hidden="1">{"holdco",#N/A,FALSE,"Summary Financials";"holdco",#N/A,FALSE,"Summary Financials"}</definedName>
    <definedName name="________wrn8" hidden="1">{"holdco",#N/A,FALSE,"Summary Financials";"holdco",#N/A,FALSE,"Summary Financials"}</definedName>
    <definedName name="_______bb2" localSheetId="14" hidden="1">{#N/A,#N/A,FALSE,"PRJCTED MNTHLY QTY's"}</definedName>
    <definedName name="_______bb2" hidden="1">{#N/A,#N/A,FALSE,"PRJCTED MNTHLY QTY's"}</definedName>
    <definedName name="_______Lee5" localSheetId="14" hidden="1">{#VALUE!,#N/A,FALSE,0}</definedName>
    <definedName name="_______Lee5" hidden="1">{#VALUE!,#N/A,FALSE,0}</definedName>
    <definedName name="______hom1" localSheetId="14" hidden="1">{#N/A,#N/A,FALSE,"Assessment";#N/A,#N/A,FALSE,"Staffing";#N/A,#N/A,FALSE,"Hires";#N/A,#N/A,FALSE,"Assumptions"}</definedName>
    <definedName name="______hom1" hidden="1">{#N/A,#N/A,FALSE,"Assessment";#N/A,#N/A,FALSE,"Staffing";#N/A,#N/A,FALSE,"Hires";#N/A,#N/A,FALSE,"Assumptions"}</definedName>
    <definedName name="______k1" localSheetId="14" hidden="1">{#N/A,#N/A,FALSE,"Assessment";#N/A,#N/A,FALSE,"Staffing";#N/A,#N/A,FALSE,"Hires";#N/A,#N/A,FALSE,"Assumptions"}</definedName>
    <definedName name="______k1" hidden="1">{#N/A,#N/A,FALSE,"Assessment";#N/A,#N/A,FALSE,"Staffing";#N/A,#N/A,FALSE,"Hires";#N/A,#N/A,FALSE,"Assumptions"}</definedName>
    <definedName name="______kk1" localSheetId="14" hidden="1">{#N/A,#N/A,FALSE,"Assessment";#N/A,#N/A,FALSE,"Staffing";#N/A,#N/A,FALSE,"Hires";#N/A,#N/A,FALSE,"Assumptions"}</definedName>
    <definedName name="______kk1" hidden="1">{#N/A,#N/A,FALSE,"Assessment";#N/A,#N/A,FALSE,"Staffing";#N/A,#N/A,FALSE,"Hires";#N/A,#N/A,FALSE,"Assumptions"}</definedName>
    <definedName name="______KKK1" localSheetId="14" hidden="1">{#N/A,#N/A,FALSE,"Assessment";#N/A,#N/A,FALSE,"Staffing";#N/A,#N/A,FALSE,"Hires";#N/A,#N/A,FALSE,"Assumptions"}</definedName>
    <definedName name="______KKK1" hidden="1">{#N/A,#N/A,FALSE,"Assessment";#N/A,#N/A,FALSE,"Staffing";#N/A,#N/A,FALSE,"Hires";#N/A,#N/A,FALSE,"Assumptions"}</definedName>
    <definedName name="______w2" localSheetId="14" hidden="1">{"Model Summary",#N/A,FALSE,"Print Chart";"Holdco",#N/A,FALSE,"Print Chart";"Genco",#N/A,FALSE,"Print Chart";"Servco",#N/A,FALSE,"Print Chart";"Genco_Detail",#N/A,FALSE,"Summary Financials";"Servco_Detail",#N/A,FALSE,"Summary Financials"}</definedName>
    <definedName name="______w2" hidden="1">{"Model Summary",#N/A,FALSE,"Print Chart";"Holdco",#N/A,FALSE,"Print Chart";"Genco",#N/A,FALSE,"Print Chart";"Servco",#N/A,FALSE,"Print Chart";"Genco_Detail",#N/A,FALSE,"Summary Financials";"Servco_Detail",#N/A,FALSE,"Summary Financials"}</definedName>
    <definedName name="______wr6" localSheetId="14" hidden="1">{"Model Summary",#N/A,FALSE,"Print Chart";"Holdco",#N/A,FALSE,"Print Chart";"Genco",#N/A,FALSE,"Print Chart";"Servco",#N/A,FALSE,"Print Chart";"Genco_Detail",#N/A,FALSE,"Summary Financials";"Servco_Detail",#N/A,FALSE,"Summary Financials"}</definedName>
    <definedName name="______wr6" hidden="1">{"Model Summary",#N/A,FALSE,"Print Chart";"Holdco",#N/A,FALSE,"Print Chart";"Genco",#N/A,FALSE,"Print Chart";"Servco",#N/A,FALSE,"Print Chart";"Genco_Detail",#N/A,FALSE,"Summary Financials";"Servco_Detail",#N/A,FALSE,"Summary Financials"}</definedName>
    <definedName name="______wr9" localSheetId="14" hidden="1">{"holdco",#N/A,FALSE,"Summary Financials";"holdco",#N/A,FALSE,"Summary Financials"}</definedName>
    <definedName name="______wr9" hidden="1">{"holdco",#N/A,FALSE,"Summary Financials";"holdco",#N/A,FALSE,"Summary Financials"}</definedName>
    <definedName name="______wrn1" localSheetId="14" hidden="1">{"holdco",#N/A,FALSE,"Summary Financials";"holdco",#N/A,FALSE,"Summary Financials"}</definedName>
    <definedName name="______wrn1" hidden="1">{"holdco",#N/A,FALSE,"Summary Financials";"holdco",#N/A,FALSE,"Summary Financials"}</definedName>
    <definedName name="______wrn2" localSheetId="14" hidden="1">{"holdco",#N/A,FALSE,"Summary Financials";"holdco",#N/A,FALSE,"Summary Financials"}</definedName>
    <definedName name="______wrn2" hidden="1">{"holdco",#N/A,FALSE,"Summary Financials";"holdco",#N/A,FALSE,"Summary Financials"}</definedName>
    <definedName name="______wrn3" localSheetId="14" hidden="1">{"holdco",#N/A,FALSE,"Summary Financials";"holdco",#N/A,FALSE,"Summary Financials"}</definedName>
    <definedName name="______wrn3" hidden="1">{"holdco",#N/A,FALSE,"Summary Financials";"holdco",#N/A,FALSE,"Summary Financials"}</definedName>
    <definedName name="______wrn7" localSheetId="14" hidden="1">{"Model Summary",#N/A,FALSE,"Print Chart";"Holdco",#N/A,FALSE,"Print Chart";"Genco",#N/A,FALSE,"Print Chart";"Servco",#N/A,FALSE,"Print Chart";"Genco_Detail",#N/A,FALSE,"Summary Financials";"Servco_Detail",#N/A,FALSE,"Summary Financials"}</definedName>
    <definedName name="______wrn7" hidden="1">{"Model Summary",#N/A,FALSE,"Print Chart";"Holdco",#N/A,FALSE,"Print Chart";"Genco",#N/A,FALSE,"Print Chart";"Servco",#N/A,FALSE,"Print Chart";"Genco_Detail",#N/A,FALSE,"Summary Financials";"Servco_Detail",#N/A,FALSE,"Summary Financials"}</definedName>
    <definedName name="______wrn8" localSheetId="14" hidden="1">{"holdco",#N/A,FALSE,"Summary Financials";"holdco",#N/A,FALSE,"Summary Financials"}</definedName>
    <definedName name="______wrn8" hidden="1">{"holdco",#N/A,FALSE,"Summary Financials";"holdco",#N/A,FALSE,"Summary Financials"}</definedName>
    <definedName name="_____KKK1" localSheetId="14" hidden="1">{#N/A,#N/A,FALSE,"Assessment";#N/A,#N/A,FALSE,"Staffing";#N/A,#N/A,FALSE,"Hires";#N/A,#N/A,FALSE,"Assumptions"}</definedName>
    <definedName name="_____KKK1" hidden="1">{#N/A,#N/A,FALSE,"Assessment";#N/A,#N/A,FALSE,"Staffing";#N/A,#N/A,FALSE,"Hires";#N/A,#N/A,FALSE,"Assumptions"}</definedName>
    <definedName name="_____wrn1" localSheetId="14" hidden="1">{"holdco",#N/A,FALSE,"Summary Financials";"holdco",#N/A,FALSE,"Summary Financials"}</definedName>
    <definedName name="_____wrn1" hidden="1">{"holdco",#N/A,FALSE,"Summary Financials";"holdco",#N/A,FALSE,"Summary Financials"}</definedName>
    <definedName name="_____wrn2" localSheetId="14" hidden="1">{"holdco",#N/A,FALSE,"Summary Financials";"holdco",#N/A,FALSE,"Summary Financials"}</definedName>
    <definedName name="_____wrn2" hidden="1">{"holdco",#N/A,FALSE,"Summary Financials";"holdco",#N/A,FALSE,"Summary Financials"}</definedName>
    <definedName name="_____wrn3" localSheetId="14" hidden="1">{"holdco",#N/A,FALSE,"Summary Financials";"holdco",#N/A,FALSE,"Summary Financials"}</definedName>
    <definedName name="_____wrn3" hidden="1">{"holdco",#N/A,FALSE,"Summary Financials";"holdco",#N/A,FALSE,"Summary Financials"}</definedName>
    <definedName name="_____wrn7" localSheetId="14" hidden="1">{"Model Summary",#N/A,FALSE,"Print Chart";"Holdco",#N/A,FALSE,"Print Chart";"Genco",#N/A,FALSE,"Print Chart";"Servco",#N/A,FALSE,"Print Chart";"Genco_Detail",#N/A,FALSE,"Summary Financials";"Servco_Detail",#N/A,FALSE,"Summary Financials"}</definedName>
    <definedName name="_____wrn7" hidden="1">{"Model Summary",#N/A,FALSE,"Print Chart";"Holdco",#N/A,FALSE,"Print Chart";"Genco",#N/A,FALSE,"Print Chart";"Servco",#N/A,FALSE,"Print Chart";"Genco_Detail",#N/A,FALSE,"Summary Financials";"Servco_Detail",#N/A,FALSE,"Summary Financials"}</definedName>
    <definedName name="_____wrn8" localSheetId="14" hidden="1">{"holdco",#N/A,FALSE,"Summary Financials";"holdco",#N/A,FALSE,"Summary Financials"}</definedName>
    <definedName name="_____wrn8" hidden="1">{"holdco",#N/A,FALSE,"Summary Financials";"holdco",#N/A,FALSE,"Summary Financials"}</definedName>
    <definedName name="__123Graph_B" hidden="1">#REF!</definedName>
    <definedName name="__123Graph_C" hidden="1">#REF!</definedName>
    <definedName name="__123Graph_D" hidden="1">#REF!</definedName>
    <definedName name="__123Graph_X" hidden="1">#REF!</definedName>
    <definedName name="__FDS_HYPERLINK_TOGGLE_STATE__" hidden="1">"ON"</definedName>
    <definedName name="__hom1" localSheetId="14" hidden="1">{#N/A,#N/A,FALSE,"Assessment";#N/A,#N/A,FALSE,"Staffing";#N/A,#N/A,FALSE,"Hires";#N/A,#N/A,FALSE,"Assumptions"}</definedName>
    <definedName name="__hom1" hidden="1">{#N/A,#N/A,FALSE,"Assessment";#N/A,#N/A,FALSE,"Staffing";#N/A,#N/A,FALSE,"Hires";#N/A,#N/A,FALSE,"Assumptions"}</definedName>
    <definedName name="__IntlFixup" hidden="1">TRUE</definedName>
    <definedName name="__kk1" localSheetId="14" hidden="1">{#N/A,#N/A,FALSE,"Assessment";#N/A,#N/A,FALSE,"Staffing";#N/A,#N/A,FALSE,"Hires";#N/A,#N/A,FALSE,"Assumptions"}</definedName>
    <definedName name="__kk1" hidden="1">{#N/A,#N/A,FALSE,"Assessment";#N/A,#N/A,FALSE,"Staffing";#N/A,#N/A,FALSE,"Hires";#N/A,#N/A,FALSE,"Assumptions"}</definedName>
    <definedName name="__KKK1" localSheetId="14" hidden="1">{#N/A,#N/A,FALSE,"Assessment";#N/A,#N/A,FALSE,"Staffing";#N/A,#N/A,FALSE,"Hires";#N/A,#N/A,FALSE,"Assumptions"}</definedName>
    <definedName name="__KKK1" hidden="1">{#N/A,#N/A,FALSE,"Assessment";#N/A,#N/A,FALSE,"Staffing";#N/A,#N/A,FALSE,"Hires";#N/A,#N/A,FALSE,"Assumptions"}</definedName>
    <definedName name="__wrn1" localSheetId="14" hidden="1">{"holdco",#N/A,FALSE,"Summary Financials";"holdco",#N/A,FALSE,"Summary Financials"}</definedName>
    <definedName name="__wrn1" hidden="1">{"holdco",#N/A,FALSE,"Summary Financials";"holdco",#N/A,FALSE,"Summary Financials"}</definedName>
    <definedName name="__wrn2" localSheetId="14" hidden="1">{"holdco",#N/A,FALSE,"Summary Financials";"holdco",#N/A,FALSE,"Summary Financials"}</definedName>
    <definedName name="__wrn2" hidden="1">{"holdco",#N/A,FALSE,"Summary Financials";"holdco",#N/A,FALSE,"Summary Financials"}</definedName>
    <definedName name="__wrn3" localSheetId="14" hidden="1">{"holdco",#N/A,FALSE,"Summary Financials";"holdco",#N/A,FALSE,"Summary Financials"}</definedName>
    <definedName name="__wrn3" hidden="1">{"holdco",#N/A,FALSE,"Summary Financials";"holdco",#N/A,FALSE,"Summary Financials"}</definedName>
    <definedName name="__wrn7" localSheetId="14" hidden="1">{"Model Summary",#N/A,FALSE,"Print Chart";"Holdco",#N/A,FALSE,"Print Chart";"Genco",#N/A,FALSE,"Print Chart";"Servco",#N/A,FALSE,"Print Chart";"Genco_Detail",#N/A,FALSE,"Summary Financials";"Servco_Detail",#N/A,FALSE,"Summary Financials"}</definedName>
    <definedName name="__wrn7" hidden="1">{"Model Summary",#N/A,FALSE,"Print Chart";"Holdco",#N/A,FALSE,"Print Chart";"Genco",#N/A,FALSE,"Print Chart";"Servco",#N/A,FALSE,"Print Chart";"Genco_Detail",#N/A,FALSE,"Summary Financials";"Servco_Detail",#N/A,FALSE,"Summary Financials"}</definedName>
    <definedName name="__wrn8" localSheetId="14" hidden="1">{"holdco",#N/A,FALSE,"Summary Financials";"holdco",#N/A,FALSE,"Summary Financials"}</definedName>
    <definedName name="__wrn8" hidden="1">{"holdco",#N/A,FALSE,"Summary Financials";"holdco",#N/A,FALSE,"Summary Financials"}</definedName>
    <definedName name="_139__123Graph_LBL_DCHART_3" hidden="1">#REF!</definedName>
    <definedName name="_142__123Graph_LBL_FCHART_1" hidden="1">#REF!</definedName>
    <definedName name="_143__123Graph_LBL_FCHART_3" hidden="1">#REF!</definedName>
    <definedName name="_33__123Graph_LBL_ECHART_3" hidden="1">#REF!</definedName>
    <definedName name="_34__123Graph_LBL_FCHART_1" hidden="1">#REF!</definedName>
    <definedName name="_35__123Graph_LBL_FCHART_3" hidden="1">#REF!</definedName>
    <definedName name="_49__123Graph_LBL_FCHART_1" hidden="1">#REF!</definedName>
    <definedName name="_AtRisk_SimSetting_AutomaticallyGenerateReports" hidden="1">FALSE</definedName>
    <definedName name="_AtRisk_SimSetting_AutomaticResultsDisplayMode" hidden="1">3</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7</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example" localSheetId="14" hidden="1">#REF!</definedName>
    <definedName name="_example" hidden="1">#REF!</definedName>
    <definedName name="_Fill" localSheetId="14" hidden="1">#REF!</definedName>
    <definedName name="_Fill" hidden="1">#REF!</definedName>
    <definedName name="_Key1" localSheetId="14" hidden="1">#REF!</definedName>
    <definedName name="_Key1" hidden="1">#REF!</definedName>
    <definedName name="_Key2" localSheetId="14" hidden="1">#REF!</definedName>
    <definedName name="_Key2" hidden="1">#REF!</definedName>
    <definedName name="_Order1" hidden="1">255</definedName>
    <definedName name="_Order2" hidden="1">0</definedName>
    <definedName name="_Sort" localSheetId="14" hidden="1">#REF!</definedName>
    <definedName name="_Sort" hidden="1">#REF!</definedName>
    <definedName name="a" localSheetId="14" hidden="1">{"staff",#N/A,FALSE,"Current Month"}</definedName>
    <definedName name="a" hidden="1">{"staff",#N/A,FALSE,"Current Month"}</definedName>
    <definedName name="AAA_duser" hidden="1">"OFF"</definedName>
    <definedName name="AAB_GSPPG" hidden="1">"AAB_Goldman Sachs PPG Chart Utilities 1.0g"</definedName>
    <definedName name="AccessDatabase" hidden="1">"C:\DATA\KEVIN\MODELS\Model 0218.mdb"</definedName>
    <definedName name="ACwvu.CapersView." localSheetId="14" hidden="1">#REF!</definedName>
    <definedName name="ACwvu.CapersView." hidden="1">#REF!</definedName>
    <definedName name="ACwvu.Japan_Capers_Ed_Pub." localSheetId="14" hidden="1">#REF!</definedName>
    <definedName name="ACwvu.Japan_Capers_Ed_Pub." hidden="1">#REF!</definedName>
    <definedName name="ACwvu.KJP_CC." localSheetId="14" hidden="1">#REF!</definedName>
    <definedName name="ACwvu.KJP_CC." hidden="1">#REF!</definedName>
    <definedName name="Adjusted_regulated_tax_liability">'R8 - Tax'!$E$36:$I$36</definedName>
    <definedName name="Adjusted_regulated_tax_liability__Reporting_Year">'R8 - Tax'!$E$36:$I$36</definedName>
    <definedName name="ARCMt">#REF!</definedName>
    <definedName name="ARtDR5" comment="Allowed distribution netwrok reveue in 2014/15">#REF!</definedName>
    <definedName name="asdas" hidden="1">{#N/A,#N/A,FALSE,"TMCOMP96";#N/A,#N/A,FALSE,"MAT96";#N/A,#N/A,FALSE,"FANDA96";#N/A,#N/A,FALSE,"INTRAN96";#N/A,#N/A,FALSE,"NAA9697";#N/A,#N/A,FALSE,"ECWEBB";#N/A,#N/A,FALSE,"MFT96";#N/A,#N/A,FALSE,"CTrecon"}</definedName>
    <definedName name="AUM">#REF!</definedName>
    <definedName name="b" localSheetId="14" hidden="1">{"staff",#N/A,FALSE,"Current Month"}</definedName>
    <definedName name="b" hidden="1">{"staff",#N/A,FALSE,"Current Month"}</definedName>
    <definedName name="bb" localSheetId="14" hidden="1">{#N/A,#N/A,FALSE,"PRJCTED MNTHLY QTY's"}</definedName>
    <definedName name="bb" hidden="1">{#N/A,#N/A,FALSE,"PRJCTED MNTHLY QTY's"}</definedName>
    <definedName name="bbbb" localSheetId="14" hidden="1">{#N/A,#N/A,FALSE,"PRJCTED QTRLY QTY's"}</definedName>
    <definedName name="bbbb" hidden="1">{#N/A,#N/A,FALSE,"PRJCTED QTRLY QTY's"}</definedName>
    <definedName name="bbbbbb" localSheetId="14" hidden="1">{#N/A,#N/A,FALSE,"PRJCTED QTRLY QTY's"}</definedName>
    <definedName name="bbbbbb" hidden="1">{#N/A,#N/A,FALSE,"PRJCTED QTRLY QTY's"}</definedName>
    <definedName name="BExEZ4HBCC06708765M8A06KCR7P" hidden="1">#N/A</definedName>
    <definedName name="BLPH1" hidden="1">#REF!</definedName>
    <definedName name="BLPH10" localSheetId="14" hidden="1">#REF!</definedName>
    <definedName name="BLPH10" hidden="1">#REF!</definedName>
    <definedName name="BLPH100" localSheetId="14" hidden="1">#REF!</definedName>
    <definedName name="BLPH100" hidden="1">#REF!</definedName>
    <definedName name="BLPH101" localSheetId="14" hidden="1">#REF!</definedName>
    <definedName name="BLPH101" hidden="1">#REF!</definedName>
    <definedName name="BLPH102" hidden="1">#REF!</definedName>
    <definedName name="BLPH103" hidden="1">#REF!</definedName>
    <definedName name="BLPH104" hidden="1">#REF!</definedName>
    <definedName name="BLPH105" hidden="1">#REF!</definedName>
    <definedName name="BLPH106" hidden="1">#REF!</definedName>
    <definedName name="BLPH107" hidden="1">#REF!</definedName>
    <definedName name="BLPH108" hidden="1">#REF!</definedName>
    <definedName name="BLPH109" hidden="1">#REF!</definedName>
    <definedName name="BLPH11" hidden="1">#REF!</definedName>
    <definedName name="BLPH110" hidden="1">#REF!</definedName>
    <definedName name="BLPH111" hidden="1">#REF!</definedName>
    <definedName name="BLPH112" hidden="1">#REF!</definedName>
    <definedName name="BLPH113" hidden="1">#REF!</definedName>
    <definedName name="BLPH114" hidden="1">#REF!</definedName>
    <definedName name="BLPH115" hidden="1">#REF!</definedName>
    <definedName name="BLPH116" hidden="1">#REF!</definedName>
    <definedName name="BLPH117" hidden="1">#REF!</definedName>
    <definedName name="BLPH118" hidden="1">#REF!</definedName>
    <definedName name="BLPH119" hidden="1">#REF!</definedName>
    <definedName name="BLPH12" hidden="1">#REF!</definedName>
    <definedName name="BLPH120" hidden="1">#REF!</definedName>
    <definedName name="BLPH121" hidden="1">#REF!</definedName>
    <definedName name="BLPH122" hidden="1">#REF!</definedName>
    <definedName name="BLPH123" hidden="1">#REF!</definedName>
    <definedName name="BLPH124" hidden="1">#REF!</definedName>
    <definedName name="BLPH125" hidden="1">#REF!</definedName>
    <definedName name="BLPH126" hidden="1">#REF!</definedName>
    <definedName name="BLPH127" hidden="1">#REF!</definedName>
    <definedName name="BLPH128" hidden="1">#REF!</definedName>
    <definedName name="BLPH129" hidden="1">#REF!</definedName>
    <definedName name="BLPH13" hidden="1">#REF!</definedName>
    <definedName name="BLPH130" hidden="1">#REF!</definedName>
    <definedName name="BLPH131" hidden="1">#REF!</definedName>
    <definedName name="BLPH132" hidden="1">#REF!</definedName>
    <definedName name="BLPH133" hidden="1">#REF!</definedName>
    <definedName name="BLPH134" hidden="1">#REF!</definedName>
    <definedName name="BLPH135" hidden="1">#REF!</definedName>
    <definedName name="BLPH136" hidden="1">#REF!</definedName>
    <definedName name="BLPH137" hidden="1">#REF!</definedName>
    <definedName name="BLPH138" hidden="1">#REF!</definedName>
    <definedName name="BLPH139" hidden="1">#REF!</definedName>
    <definedName name="BLPH14" hidden="1">#REF!</definedName>
    <definedName name="BLPH140" hidden="1">#REF!</definedName>
    <definedName name="BLPH141" hidden="1">#REF!</definedName>
    <definedName name="BLPH142" hidden="1">#REF!</definedName>
    <definedName name="BLPH143" hidden="1">#REF!</definedName>
    <definedName name="BLPH144" hidden="1">#REF!</definedName>
    <definedName name="BLPH145" hidden="1">#REF!</definedName>
    <definedName name="BLPH146" hidden="1">#REF!</definedName>
    <definedName name="BLPH147" hidden="1">#REF!</definedName>
    <definedName name="BLPH148" hidden="1">#REF!</definedName>
    <definedName name="BLPH149" hidden="1">#REF!</definedName>
    <definedName name="BLPH15" hidden="1">#REF!</definedName>
    <definedName name="BLPH150" hidden="1">#REF!</definedName>
    <definedName name="BLPH151" hidden="1">#REF!</definedName>
    <definedName name="BLPH152" hidden="1">#REF!</definedName>
    <definedName name="BLPH153" hidden="1">#REF!</definedName>
    <definedName name="BLPH154" hidden="1">#REF!</definedName>
    <definedName name="BLPH155" hidden="1">#REF!</definedName>
    <definedName name="BLPH156" hidden="1">#REF!</definedName>
    <definedName name="BLPH157" hidden="1">#REF!</definedName>
    <definedName name="BLPH158" hidden="1">#REF!</definedName>
    <definedName name="BLPH159" hidden="1">#REF!</definedName>
    <definedName name="BLPH16" hidden="1">#REF!</definedName>
    <definedName name="BLPH160" hidden="1">#REF!</definedName>
    <definedName name="BLPH161" hidden="1">#REF!</definedName>
    <definedName name="BLPH162" hidden="1">#REF!</definedName>
    <definedName name="BLPH163" hidden="1">#REF!</definedName>
    <definedName name="BLPH164" hidden="1">#REF!</definedName>
    <definedName name="BLPH165" hidden="1">#REF!</definedName>
    <definedName name="BLPH166" hidden="1">#REF!</definedName>
    <definedName name="BLPH167" hidden="1">#REF!</definedName>
    <definedName name="BLPH168" hidden="1">#REF!</definedName>
    <definedName name="BLPH169" hidden="1">#REF!</definedName>
    <definedName name="BLPH17" hidden="1">#REF!</definedName>
    <definedName name="BLPH170" hidden="1">#REF!</definedName>
    <definedName name="BLPH171" hidden="1">#REF!</definedName>
    <definedName name="BLPH172" hidden="1">#REF!</definedName>
    <definedName name="BLPH173" hidden="1">#REF!</definedName>
    <definedName name="BLPH174" hidden="1">#REF!</definedName>
    <definedName name="BLPH175" hidden="1">#REF!</definedName>
    <definedName name="BLPH176" hidden="1">#REF!</definedName>
    <definedName name="BLPH177" hidden="1">#REF!</definedName>
    <definedName name="BLPH178" hidden="1">#REF!</definedName>
    <definedName name="BLPH179" hidden="1">#REF!</definedName>
    <definedName name="BLPH18" hidden="1">#REF!</definedName>
    <definedName name="BLPH180" hidden="1">#REF!</definedName>
    <definedName name="BLPH181" hidden="1">#REF!</definedName>
    <definedName name="BLPH182" hidden="1">#REF!</definedName>
    <definedName name="BLPH183" hidden="1">#REF!</definedName>
    <definedName name="BLPH184" hidden="1">#REF!</definedName>
    <definedName name="BLPH185" hidden="1">#REF!</definedName>
    <definedName name="BLPH186" hidden="1">#REF!</definedName>
    <definedName name="BLPH187" hidden="1">#REF!</definedName>
    <definedName name="BLPH188" hidden="1">#REF!</definedName>
    <definedName name="BLPH189" hidden="1">#REF!</definedName>
    <definedName name="BLPH19" hidden="1">#REF!</definedName>
    <definedName name="BLPH190" hidden="1">#REF!</definedName>
    <definedName name="BLPH191" hidden="1">#REF!</definedName>
    <definedName name="BLPH192" hidden="1">#REF!</definedName>
    <definedName name="BLPH193" hidden="1">#REF!</definedName>
    <definedName name="BLPH194" hidden="1">#REF!</definedName>
    <definedName name="BLPH195" hidden="1">#REF!</definedName>
    <definedName name="BLPH196" hidden="1">#REF!</definedName>
    <definedName name="BLPH197" hidden="1">#REF!</definedName>
    <definedName name="BLPH198" hidden="1">#REF!</definedName>
    <definedName name="BLPH199" hidden="1">#REF!</definedName>
    <definedName name="BLPH2" localSheetId="14" hidden="1">#REF!</definedName>
    <definedName name="BLPH2" hidden="1">#REF!</definedName>
    <definedName name="BLPH20" localSheetId="14" hidden="1">#REF!</definedName>
    <definedName name="BLPH20" hidden="1">#REF!</definedName>
    <definedName name="BLPH200" localSheetId="14" hidden="1">#REF!</definedName>
    <definedName name="BLPH200" hidden="1">#REF!</definedName>
    <definedName name="BLPH201" localSheetId="14" hidden="1">#REF!</definedName>
    <definedName name="BLPH201" hidden="1">#REF!</definedName>
    <definedName name="BLPH202" hidden="1">#REF!</definedName>
    <definedName name="BLPH203" hidden="1">#REF!</definedName>
    <definedName name="BLPH204" hidden="1">#REF!</definedName>
    <definedName name="BLPH205" hidden="1">#REF!</definedName>
    <definedName name="BLPH206" hidden="1">#REF!</definedName>
    <definedName name="BLPH207" hidden="1">#REF!</definedName>
    <definedName name="BLPH208" hidden="1">#REF!</definedName>
    <definedName name="BLPH209" hidden="1">#REF!</definedName>
    <definedName name="BLPH21" hidden="1">#REF!</definedName>
    <definedName name="BLPH210" localSheetId="14" hidden="1">#REF!</definedName>
    <definedName name="BLPH210" hidden="1">#REF!</definedName>
    <definedName name="BLPH211" localSheetId="14" hidden="1">#REF!</definedName>
    <definedName name="BLPH211" hidden="1">#REF!</definedName>
    <definedName name="BLPH212" localSheetId="14" hidden="1">#REF!</definedName>
    <definedName name="BLPH212" hidden="1">#REF!</definedName>
    <definedName name="BLPH213" hidden="1">#REF!</definedName>
    <definedName name="BLPH214" hidden="1">#REF!</definedName>
    <definedName name="BLPH215" hidden="1">#REF!</definedName>
    <definedName name="BLPH216" hidden="1">#REF!</definedName>
    <definedName name="BLPH217" hidden="1">#REF!</definedName>
    <definedName name="BLPH218" hidden="1">#REF!</definedName>
    <definedName name="BLPH219" hidden="1">#REF!</definedName>
    <definedName name="BLPH22" hidden="1">#REF!</definedName>
    <definedName name="BLPH220" localSheetId="14" hidden="1">#REF!</definedName>
    <definedName name="BLPH220" hidden="1">#REF!</definedName>
    <definedName name="BLPH221" localSheetId="14" hidden="1">#REF!</definedName>
    <definedName name="BLPH221" hidden="1">#REF!</definedName>
    <definedName name="BLPH222" localSheetId="14" hidden="1">#REF!</definedName>
    <definedName name="BLPH222" hidden="1">#REF!</definedName>
    <definedName name="BLPH223" hidden="1">#REF!</definedName>
    <definedName name="BLPH224" hidden="1">#REF!</definedName>
    <definedName name="BLPH225" hidden="1">#REF!</definedName>
    <definedName name="BLPH226" hidden="1">#REF!</definedName>
    <definedName name="BLPH227" hidden="1">#REF!</definedName>
    <definedName name="BLPH228" hidden="1">#REF!</definedName>
    <definedName name="BLPH229" hidden="1">#REF!</definedName>
    <definedName name="BLPH23" hidden="1">#REF!</definedName>
    <definedName name="BLPH230" localSheetId="14" hidden="1">#REF!</definedName>
    <definedName name="BLPH230" hidden="1">#REF!</definedName>
    <definedName name="BLPH231" localSheetId="14" hidden="1">#REF!</definedName>
    <definedName name="BLPH231" hidden="1">#REF!</definedName>
    <definedName name="BLPH232" localSheetId="14" hidden="1">#REF!</definedName>
    <definedName name="BLPH232" hidden="1">#REF!</definedName>
    <definedName name="BLPH233" hidden="1">#REF!</definedName>
    <definedName name="BLPH234" hidden="1">#REF!</definedName>
    <definedName name="BLPH235" hidden="1">#REF!</definedName>
    <definedName name="BLPH236" hidden="1">#REF!</definedName>
    <definedName name="BLPH237" hidden="1">#REF!</definedName>
    <definedName name="BLPH238" hidden="1">#REF!</definedName>
    <definedName name="BLPH239" hidden="1">#REF!</definedName>
    <definedName name="BLPH24" hidden="1">#REF!</definedName>
    <definedName name="BLPH240" localSheetId="14" hidden="1">#REF!</definedName>
    <definedName name="BLPH240" hidden="1">#REF!</definedName>
    <definedName name="BLPH241" localSheetId="14" hidden="1">#REF!</definedName>
    <definedName name="BLPH241" hidden="1">#REF!</definedName>
    <definedName name="BLPH242" localSheetId="14" hidden="1">#REF!</definedName>
    <definedName name="BLPH242" hidden="1">#REF!</definedName>
    <definedName name="BLPH243" hidden="1">#REF!</definedName>
    <definedName name="BLPH244" hidden="1">#REF!</definedName>
    <definedName name="BLPH245" hidden="1">#REF!</definedName>
    <definedName name="BLPH246" hidden="1">#REF!</definedName>
    <definedName name="BLPH247" hidden="1">#REF!</definedName>
    <definedName name="BLPH248" hidden="1">#REF!</definedName>
    <definedName name="BLPH249" hidden="1">#REF!</definedName>
    <definedName name="BLPH25" hidden="1">#REF!</definedName>
    <definedName name="BLPH250" localSheetId="14" hidden="1">#REF!</definedName>
    <definedName name="BLPH250" hidden="1">#REF!</definedName>
    <definedName name="BLPH251" localSheetId="14" hidden="1">#REF!</definedName>
    <definedName name="BLPH251" hidden="1">#REF!</definedName>
    <definedName name="BLPH252" localSheetId="14" hidden="1">#REF!</definedName>
    <definedName name="BLPH252" hidden="1">#REF!</definedName>
    <definedName name="BLPH253" hidden="1">#REF!</definedName>
    <definedName name="BLPH254" hidden="1">#REF!</definedName>
    <definedName name="BLPH255" hidden="1">#REF!</definedName>
    <definedName name="BLPH256" hidden="1">#REF!</definedName>
    <definedName name="BLPH257" hidden="1">#REF!</definedName>
    <definedName name="BLPH258" hidden="1">#REF!</definedName>
    <definedName name="BLPH259" hidden="1">#REF!</definedName>
    <definedName name="BLPH26" hidden="1">#REF!</definedName>
    <definedName name="BLPH260" localSheetId="14" hidden="1">#REF!</definedName>
    <definedName name="BLPH260" hidden="1">#REF!</definedName>
    <definedName name="BLPH261" localSheetId="14" hidden="1">#REF!</definedName>
    <definedName name="BLPH261" hidden="1">#REF!</definedName>
    <definedName name="BLPH262" localSheetId="14" hidden="1">#REF!</definedName>
    <definedName name="BLPH262" hidden="1">#REF!</definedName>
    <definedName name="BLPH263" hidden="1">#REF!</definedName>
    <definedName name="BLPH264" hidden="1">#REF!</definedName>
    <definedName name="BLPH265" hidden="1">#REF!</definedName>
    <definedName name="BLPH266" hidden="1">#REF!</definedName>
    <definedName name="BLPH267" hidden="1">#REF!</definedName>
    <definedName name="BLPH268" hidden="1">#REF!</definedName>
    <definedName name="BLPH269" hidden="1">#REF!</definedName>
    <definedName name="BLPH27" hidden="1">#REF!</definedName>
    <definedName name="BLPH270" localSheetId="14" hidden="1">#REF!</definedName>
    <definedName name="BLPH270" hidden="1">#REF!</definedName>
    <definedName name="BLPH271" localSheetId="14" hidden="1">#REF!</definedName>
    <definedName name="BLPH271" hidden="1">#REF!</definedName>
    <definedName name="BLPH272" localSheetId="14" hidden="1">#REF!</definedName>
    <definedName name="BLPH272" hidden="1">#REF!</definedName>
    <definedName name="BLPH273" hidden="1">#REF!</definedName>
    <definedName name="BLPH274" hidden="1">#REF!</definedName>
    <definedName name="BLPH275" hidden="1">#REF!</definedName>
    <definedName name="BLPH276" hidden="1">#REF!</definedName>
    <definedName name="BLPH277" hidden="1">#REF!</definedName>
    <definedName name="BLPH278" hidden="1">#REF!</definedName>
    <definedName name="BLPH279" hidden="1">#REF!</definedName>
    <definedName name="BLPH28" hidden="1">#REF!</definedName>
    <definedName name="BLPH280" localSheetId="14" hidden="1">#REF!</definedName>
    <definedName name="BLPH280" hidden="1">#REF!</definedName>
    <definedName name="BLPH281" localSheetId="14" hidden="1">#REF!</definedName>
    <definedName name="BLPH281" hidden="1">#REF!</definedName>
    <definedName name="BLPH282" localSheetId="14" hidden="1">#REF!</definedName>
    <definedName name="BLPH282" hidden="1">#REF!</definedName>
    <definedName name="BLPH283" hidden="1">#REF!</definedName>
    <definedName name="BLPH284" hidden="1">#REF!</definedName>
    <definedName name="BLPH285" hidden="1">#REF!</definedName>
    <definedName name="BLPH286" hidden="1">#REF!</definedName>
    <definedName name="BLPH287" hidden="1">#REF!</definedName>
    <definedName name="BLPH288" hidden="1">#REF!</definedName>
    <definedName name="BLPH289" hidden="1">#REF!</definedName>
    <definedName name="BLPH29" hidden="1">#REF!</definedName>
    <definedName name="BLPH290" localSheetId="14" hidden="1">#REF!</definedName>
    <definedName name="BLPH290" hidden="1">#REF!</definedName>
    <definedName name="BLPH291" localSheetId="14" hidden="1">#REF!</definedName>
    <definedName name="BLPH291" hidden="1">#REF!</definedName>
    <definedName name="BLPH292" localSheetId="14" hidden="1">#REF!</definedName>
    <definedName name="BLPH292" hidden="1">#REF!</definedName>
    <definedName name="BLPH293" hidden="1">#REF!</definedName>
    <definedName name="BLPH294" hidden="1">#REF!</definedName>
    <definedName name="BLPH295" hidden="1">#REF!</definedName>
    <definedName name="BLPH296" hidden="1">#REF!</definedName>
    <definedName name="BLPH297" hidden="1">#REF!</definedName>
    <definedName name="BLPH298" hidden="1">#REF!</definedName>
    <definedName name="BLPH299" hidden="1">#REF!</definedName>
    <definedName name="BLPH3" localSheetId="14" hidden="1">#REF!</definedName>
    <definedName name="BLPH3" hidden="1">#REF!</definedName>
    <definedName name="BLPH30" hidden="1">#REF!</definedName>
    <definedName name="BLPH300" localSheetId="14" hidden="1">#REF!</definedName>
    <definedName name="BLPH300" hidden="1">#REF!</definedName>
    <definedName name="BLPH301" localSheetId="14" hidden="1">#REF!</definedName>
    <definedName name="BLPH301" hidden="1">#REF!</definedName>
    <definedName name="BLPH302" localSheetId="14" hidden="1">#REF!</definedName>
    <definedName name="BLPH302" hidden="1">#REF!</definedName>
    <definedName name="BLPH303" hidden="1">#REF!</definedName>
    <definedName name="BLPH304" hidden="1">#REF!</definedName>
    <definedName name="BLPH305" hidden="1">#REF!</definedName>
    <definedName name="BLPH306" hidden="1">#REF!</definedName>
    <definedName name="BLPH307" hidden="1">#REF!</definedName>
    <definedName name="BLPH308" hidden="1">#REF!</definedName>
    <definedName name="BLPH309" hidden="1">#REF!</definedName>
    <definedName name="BLPH31" hidden="1">#REF!</definedName>
    <definedName name="BLPH310" localSheetId="14" hidden="1">#REF!</definedName>
    <definedName name="BLPH310" hidden="1">#REF!</definedName>
    <definedName name="BLPH311" localSheetId="14" hidden="1">#REF!</definedName>
    <definedName name="BLPH311" hidden="1">#REF!</definedName>
    <definedName name="BLPH312" localSheetId="14" hidden="1">#REF!</definedName>
    <definedName name="BLPH312" hidden="1">#REF!</definedName>
    <definedName name="BLPH313" hidden="1">#REF!</definedName>
    <definedName name="BLPH314" hidden="1">#REF!</definedName>
    <definedName name="BLPH315" hidden="1">#REF!</definedName>
    <definedName name="BLPH316" hidden="1">#REF!</definedName>
    <definedName name="BLPH317" hidden="1">#REF!</definedName>
    <definedName name="BLPH318" hidden="1">#REF!</definedName>
    <definedName name="BLPH319" hidden="1">#REF!</definedName>
    <definedName name="BLPH32" hidden="1">#REF!</definedName>
    <definedName name="BLPH320" localSheetId="14" hidden="1">#REF!</definedName>
    <definedName name="BLPH320" hidden="1">#REF!</definedName>
    <definedName name="BLPH321" localSheetId="14" hidden="1">#REF!</definedName>
    <definedName name="BLPH321" hidden="1">#REF!</definedName>
    <definedName name="BLPH322" localSheetId="14" hidden="1">#REF!</definedName>
    <definedName name="BLPH322" hidden="1">#REF!</definedName>
    <definedName name="BLPH323" hidden="1">#REF!</definedName>
    <definedName name="BLPH324" hidden="1">#REF!</definedName>
    <definedName name="BLPH325" hidden="1">#REF!</definedName>
    <definedName name="BLPH326" hidden="1">#REF!</definedName>
    <definedName name="BLPH327" hidden="1">#REF!</definedName>
    <definedName name="BLPH328" hidden="1">#REF!</definedName>
    <definedName name="BLPH329" hidden="1">#REF!</definedName>
    <definedName name="BLPH33" hidden="1">#REF!</definedName>
    <definedName name="BLPH330" localSheetId="14" hidden="1">#REF!</definedName>
    <definedName name="BLPH330" hidden="1">#REF!</definedName>
    <definedName name="BLPH331" localSheetId="14" hidden="1">#REF!</definedName>
    <definedName name="BLPH331" hidden="1">#REF!</definedName>
    <definedName name="BLPH332" localSheetId="14" hidden="1">#REF!</definedName>
    <definedName name="BLPH332" hidden="1">#REF!</definedName>
    <definedName name="BLPH333" hidden="1">#REF!</definedName>
    <definedName name="BLPH334" hidden="1">#REF!</definedName>
    <definedName name="BLPH335" hidden="1">#REF!</definedName>
    <definedName name="BLPH336" hidden="1">#REF!</definedName>
    <definedName name="BLPH337" hidden="1">#REF!</definedName>
    <definedName name="BLPH338" hidden="1">#REF!</definedName>
    <definedName name="BLPH339" hidden="1">#REF!</definedName>
    <definedName name="BLPH34" hidden="1">#REF!</definedName>
    <definedName name="BLPH340" localSheetId="14" hidden="1">#REF!</definedName>
    <definedName name="BLPH340" hidden="1">#REF!</definedName>
    <definedName name="BLPH341" localSheetId="14" hidden="1">#REF!</definedName>
    <definedName name="BLPH341" hidden="1">#REF!</definedName>
    <definedName name="BLPH342" localSheetId="14" hidden="1">#REF!</definedName>
    <definedName name="BLPH342" hidden="1">#REF!</definedName>
    <definedName name="BLPH343" hidden="1">#REF!</definedName>
    <definedName name="BLPH344" hidden="1">#REF!</definedName>
    <definedName name="BLPH345" hidden="1">#REF!</definedName>
    <definedName name="BLPH346" hidden="1">#REF!</definedName>
    <definedName name="BLPH347" hidden="1">#REF!</definedName>
    <definedName name="BLPH348" hidden="1">#REF!</definedName>
    <definedName name="BLPH349" hidden="1">#REF!</definedName>
    <definedName name="BLPH35" hidden="1">#REF!</definedName>
    <definedName name="BLPH350" localSheetId="14" hidden="1">#REF!</definedName>
    <definedName name="BLPH350" hidden="1">#REF!</definedName>
    <definedName name="BLPH351" localSheetId="14" hidden="1">#REF!</definedName>
    <definedName name="BLPH351" hidden="1">#REF!</definedName>
    <definedName name="BLPH352" localSheetId="14" hidden="1">#REF!</definedName>
    <definedName name="BLPH352" hidden="1">#REF!</definedName>
    <definedName name="BLPH353" hidden="1">#REF!</definedName>
    <definedName name="BLPH354" hidden="1">#REF!</definedName>
    <definedName name="BLPH355" hidden="1">#REF!</definedName>
    <definedName name="BLPH356" hidden="1">#REF!</definedName>
    <definedName name="BLPH357" hidden="1">#REF!</definedName>
    <definedName name="BLPH358" hidden="1">#REF!</definedName>
    <definedName name="BLPH359" hidden="1">#REF!</definedName>
    <definedName name="BLPH36" hidden="1">#REF!</definedName>
    <definedName name="BLPH37" hidden="1">#REF!</definedName>
    <definedName name="BLPH38" hidden="1">#REF!</definedName>
    <definedName name="BLPH39" hidden="1">#REF!</definedName>
    <definedName name="BLPH4" localSheetId="14" hidden="1">#REF!</definedName>
    <definedName name="BLPH4" hidden="1">#REF!</definedName>
    <definedName name="BLPH40" localSheetId="14" hidden="1">#REF!</definedName>
    <definedName name="BLPH40" hidden="1">#REF!</definedName>
    <definedName name="BLPH41" localSheetId="14"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 localSheetId="14" hidden="1">#REF!</definedName>
    <definedName name="BLPH5" hidden="1">#REF!</definedName>
    <definedName name="BLPH50" localSheetId="14" hidden="1">#REF!</definedName>
    <definedName name="BLPH50" hidden="1">#REF!</definedName>
    <definedName name="BLPH51" localSheetId="14" hidden="1">#REF!</definedName>
    <definedName name="BLPH51" hidden="1">#REF!</definedName>
    <definedName name="BLPH52" localSheetId="14"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 hidden="1">#REF!</definedName>
    <definedName name="BLPH90" hidden="1">#REF!</definedName>
    <definedName name="BLPH91" hidden="1">#REF!</definedName>
    <definedName name="BLPH92" hidden="1">#REF!</definedName>
    <definedName name="BLPH93" hidden="1">#REF!</definedName>
    <definedName name="BLPH94" hidden="1">#REF!</definedName>
    <definedName name="BLPH95" hidden="1">#REF!</definedName>
    <definedName name="BLPH96" hidden="1">#REF!</definedName>
    <definedName name="BLPH97" hidden="1">#REF!</definedName>
    <definedName name="BLPH98" hidden="1">#REF!</definedName>
    <definedName name="BLPH99" hidden="1">#REF!</definedName>
    <definedName name="BLPR1020040129204514642" hidden="1">#REF!</definedName>
    <definedName name="BLPR1020040129204514642_1_5" hidden="1">#REF!</definedName>
    <definedName name="BLPR1020040129204514642_2_5" hidden="1">#REF!</definedName>
    <definedName name="BLPR1020040129204514642_3_5" hidden="1">#REF!</definedName>
    <definedName name="BLPR1020040129204514642_4_5" hidden="1">#REF!</definedName>
    <definedName name="BLPR1020040129204514642_5_5" hidden="1">#REF!</definedName>
    <definedName name="BLPR1120040129204514642" hidden="1">#REF!</definedName>
    <definedName name="BLPR1120040129204514642_1_5" hidden="1">#REF!</definedName>
    <definedName name="BLPR1120040129204514642_2_5" hidden="1">#REF!</definedName>
    <definedName name="BLPR1120040129204514642_3_5" hidden="1">#REF!</definedName>
    <definedName name="BLPR1120040129204514642_4_5" hidden="1">#REF!</definedName>
    <definedName name="BLPR1120040129204514642_5_5" hidden="1">#REF!</definedName>
    <definedName name="BLPR120040129203645421" hidden="1">#REF!</definedName>
    <definedName name="BLPR120040129203645421_1_4" hidden="1">#REF!</definedName>
    <definedName name="BLPR120040129203645421_2_4" hidden="1">#REF!</definedName>
    <definedName name="BLPR120040129203645421_3_4" hidden="1">#REF!</definedName>
    <definedName name="BLPR120040129203645421_4_4" hidden="1">#REF!</definedName>
    <definedName name="BLPR1220040129204514642" hidden="1">#REF!</definedName>
    <definedName name="BLPR1220040129204514642_1_5" hidden="1">#REF!</definedName>
    <definedName name="BLPR1220040129204514642_2_5" hidden="1">#REF!</definedName>
    <definedName name="BLPR1220040129204514642_3_5" hidden="1">#REF!</definedName>
    <definedName name="BLPR1220040129204514642_4_5" hidden="1">#REF!</definedName>
    <definedName name="BLPR1220040129204514642_5_5" hidden="1">#REF!</definedName>
    <definedName name="BLPR1320040129204514642" hidden="1">#REF!</definedName>
    <definedName name="BLPR1320040129204514642_1_5" hidden="1">#REF!</definedName>
    <definedName name="BLPR1320040129204514642_2_5" hidden="1">#REF!</definedName>
    <definedName name="BLPR1320040129204514642_3_5" hidden="1">#REF!</definedName>
    <definedName name="BLPR1320040129204514642_4_5" hidden="1">#REF!</definedName>
    <definedName name="BLPR1320040129204514642_5_5" hidden="1">#REF!</definedName>
    <definedName name="BLPR1420040129204514642" hidden="1">#REF!</definedName>
    <definedName name="BLPR1420040129204514642_1_5" hidden="1">#REF!</definedName>
    <definedName name="BLPR1420040129204514642_2_5" hidden="1">#REF!</definedName>
    <definedName name="BLPR1420040129204514642_3_5" hidden="1">#REF!</definedName>
    <definedName name="BLPR1420040129204514642_4_5" hidden="1">#REF!</definedName>
    <definedName name="BLPR1420040129204514642_5_5" hidden="1">#REF!</definedName>
    <definedName name="BLPR1520040129204514652" hidden="1">#REF!</definedName>
    <definedName name="BLPR1520040129204514652_1_5" hidden="1">#REF!</definedName>
    <definedName name="BLPR1520040129204514652_2_5" hidden="1">#REF!</definedName>
    <definedName name="BLPR1520040129204514652_3_5" hidden="1">#REF!</definedName>
    <definedName name="BLPR1520040129204514652_4_5" hidden="1">#REF!</definedName>
    <definedName name="BLPR1520040129204514652_5_5" hidden="1">#REF!</definedName>
    <definedName name="BLPR1620040129204514652" hidden="1">#REF!</definedName>
    <definedName name="BLPR1620040129204514652_1_5" hidden="1">#REF!</definedName>
    <definedName name="BLPR1620040129204514652_2_5" hidden="1">#REF!</definedName>
    <definedName name="BLPR1620040129204514652_3_5" hidden="1">#REF!</definedName>
    <definedName name="BLPR1620040129204514652_4_5" hidden="1">#REF!</definedName>
    <definedName name="BLPR1620040129204514652_5_5" hidden="1">#REF!</definedName>
    <definedName name="BLPR1720040129204514652" hidden="1">#REF!</definedName>
    <definedName name="BLPR1720040129204514652_1_5" hidden="1">#REF!</definedName>
    <definedName name="BLPR1720040129204514652_2_5" hidden="1">#REF!</definedName>
    <definedName name="BLPR1720040129204514652_3_5" hidden="1">#REF!</definedName>
    <definedName name="BLPR1720040129204514652_4_5" hidden="1">#REF!</definedName>
    <definedName name="BLPR1720040129204514652_5_5" hidden="1">#REF!</definedName>
    <definedName name="BLPR1820040129204514652" hidden="1">#REF!</definedName>
    <definedName name="BLPR1820040129204514652_1_5" hidden="1">#REF!</definedName>
    <definedName name="BLPR1820040129204514652_2_5" hidden="1">#REF!</definedName>
    <definedName name="BLPR1820040129204514652_3_5" hidden="1">#REF!</definedName>
    <definedName name="BLPR1820040129204514652_4_5" hidden="1">#REF!</definedName>
    <definedName name="BLPR1820040129204514652_5_5" hidden="1">#REF!</definedName>
    <definedName name="BLPR1920040129204514652" hidden="1">#REF!</definedName>
    <definedName name="BLPR1920040129204514652_1_5" hidden="1">#REF!</definedName>
    <definedName name="BLPR1920040129204514652_2_5" hidden="1">#REF!</definedName>
    <definedName name="BLPR1920040129204514652_3_5" hidden="1">#REF!</definedName>
    <definedName name="BLPR1920040129204514652_4_5" hidden="1">#REF!</definedName>
    <definedName name="BLPR1920040129204514652_5_5" hidden="1">#REF!</definedName>
    <definedName name="BLPR2020040129204514652" hidden="1">#REF!</definedName>
    <definedName name="BLPR2020040129204514652_1_5" hidden="1">#REF!</definedName>
    <definedName name="BLPR2020040129204514652_2_5" hidden="1">#REF!</definedName>
    <definedName name="BLPR2020040129204514652_3_5" hidden="1">#REF!</definedName>
    <definedName name="BLPR2020040129204514652_4_5" hidden="1">#REF!</definedName>
    <definedName name="BLPR2020040129204514652_5_5" hidden="1">#REF!</definedName>
    <definedName name="BLPR2120040129204514652" hidden="1">#REF!</definedName>
    <definedName name="BLPR2120040129204514652_1_5" hidden="1">#REF!</definedName>
    <definedName name="BLPR2120040129204514652_2_5" hidden="1">#REF!</definedName>
    <definedName name="BLPR2120040129204514652_3_5" hidden="1">#REF!</definedName>
    <definedName name="BLPR2120040129204514652_4_5" hidden="1">#REF!</definedName>
    <definedName name="BLPR2120040129204514652_5_5" hidden="1">#REF!</definedName>
    <definedName name="BLPR220040129203645421" hidden="1">#REF!</definedName>
    <definedName name="BLPR220040129203645421_1_4" hidden="1">#REF!</definedName>
    <definedName name="BLPR220040129203645421_2_4" hidden="1">#REF!</definedName>
    <definedName name="BLPR220040129203645421_3_4" hidden="1">#REF!</definedName>
    <definedName name="BLPR220040129203645421_4_4" hidden="1">#REF!</definedName>
    <definedName name="BLPR2220040129204514652" hidden="1">#REF!</definedName>
    <definedName name="BLPR2220040129204514652_1_5" hidden="1">#REF!</definedName>
    <definedName name="BLPR2220040129204514652_2_5" hidden="1">#REF!</definedName>
    <definedName name="BLPR2220040129204514652_3_5" hidden="1">#REF!</definedName>
    <definedName name="BLPR2220040129204514652_4_5" hidden="1">#REF!</definedName>
    <definedName name="BLPR2220040129204514652_5_5" hidden="1">#REF!</definedName>
    <definedName name="BLPR2320040129204514662" hidden="1">#REF!</definedName>
    <definedName name="BLPR2320040129204514662_1_5" hidden="1">#REF!</definedName>
    <definedName name="BLPR2320040129204514662_2_5" hidden="1">#REF!</definedName>
    <definedName name="BLPR2320040129204514662_3_5" hidden="1">#REF!</definedName>
    <definedName name="BLPR2320040129204514662_4_5" hidden="1">#REF!</definedName>
    <definedName name="BLPR2320040129204514662_5_5" hidden="1">#REF!</definedName>
    <definedName name="BLPR2420040129204514662" hidden="1">#REF!</definedName>
    <definedName name="BLPR2420040129204514662_1_5" hidden="1">#REF!</definedName>
    <definedName name="BLPR2420040129204514662_2_5" hidden="1">#REF!</definedName>
    <definedName name="BLPR2420040129204514662_3_5" hidden="1">#REF!</definedName>
    <definedName name="BLPR2420040129204514662_4_5" hidden="1">#REF!</definedName>
    <definedName name="BLPR2420040129204514662_5_5" hidden="1">#REF!</definedName>
    <definedName name="BLPR2520040129204514662" hidden="1">#REF!</definedName>
    <definedName name="BLPR2520040129204514662_1_5" hidden="1">#REF!</definedName>
    <definedName name="BLPR2520040129204514662_2_5" hidden="1">#REF!</definedName>
    <definedName name="BLPR2520040129204514662_3_5" hidden="1">#REF!</definedName>
    <definedName name="BLPR2520040129204514662_4_5" hidden="1">#REF!</definedName>
    <definedName name="BLPR2520040129204514662_5_5" hidden="1">#REF!</definedName>
    <definedName name="BLPR2620040129204514662" hidden="1">#REF!</definedName>
    <definedName name="BLPR2620040129204514662_1_5" hidden="1">#REF!</definedName>
    <definedName name="BLPR2620040129204514662_2_5" hidden="1">#REF!</definedName>
    <definedName name="BLPR2620040129204514662_3_5" hidden="1">#REF!</definedName>
    <definedName name="BLPR2620040129204514662_4_5" hidden="1">#REF!</definedName>
    <definedName name="BLPR2620040129204514662_5_5" hidden="1">#REF!</definedName>
    <definedName name="BLPR2720040129204514662" hidden="1">#REF!</definedName>
    <definedName name="BLPR2720040129204514662_1_5" hidden="1">#REF!</definedName>
    <definedName name="BLPR2720040129204514662_2_5" hidden="1">#REF!</definedName>
    <definedName name="BLPR2720040129204514662_3_5" hidden="1">#REF!</definedName>
    <definedName name="BLPR2720040129204514662_4_5" hidden="1">#REF!</definedName>
    <definedName name="BLPR2720040129204514662_5_5" hidden="1">#REF!</definedName>
    <definedName name="BLPR2820040129204514662" hidden="1">#REF!</definedName>
    <definedName name="BLPR2820040129204514662_1_5" hidden="1">#REF!</definedName>
    <definedName name="BLPR2820040129204514662_2_5" hidden="1">#REF!</definedName>
    <definedName name="BLPR2820040129204514662_3_5" hidden="1">#REF!</definedName>
    <definedName name="BLPR2820040129204514662_4_5" hidden="1">#REF!</definedName>
    <definedName name="BLPR2820040129204514662_5_5" hidden="1">#REF!</definedName>
    <definedName name="BLPR2920040129204514662" hidden="1">#REF!</definedName>
    <definedName name="BLPR2920040129204514662_1_5" hidden="1">#REF!</definedName>
    <definedName name="BLPR2920040129204514662_2_5" hidden="1">#REF!</definedName>
    <definedName name="BLPR2920040129204514662_3_5" hidden="1">#REF!</definedName>
    <definedName name="BLPR2920040129204514662_4_5" hidden="1">#REF!</definedName>
    <definedName name="BLPR2920040129204514662_5_5" hidden="1">#REF!</definedName>
    <definedName name="BLPR3020040129204514672" hidden="1">#REF!</definedName>
    <definedName name="BLPR3020040129204514672_1_5" hidden="1">#REF!</definedName>
    <definedName name="BLPR3020040129204514672_2_5" hidden="1">#REF!</definedName>
    <definedName name="BLPR3020040129204514672_3_5" hidden="1">#REF!</definedName>
    <definedName name="BLPR3020040129204514672_4_5" hidden="1">#REF!</definedName>
    <definedName name="BLPR3020040129204514672_5_5" hidden="1">#REF!</definedName>
    <definedName name="BLPR3120040129204514692" hidden="1">#REF!</definedName>
    <definedName name="BLPR3120040129204514692_1_1" hidden="1">#REF!</definedName>
    <definedName name="BLPR320040129203645431" hidden="1">#REF!</definedName>
    <definedName name="BLPR320040129203645431_1_4" hidden="1">#REF!</definedName>
    <definedName name="BLPR320040129203645431_2_4" hidden="1">#REF!</definedName>
    <definedName name="BLPR320040129203645431_3_4" hidden="1">#REF!</definedName>
    <definedName name="BLPR320040129203645431_4_4" hidden="1">#REF!</definedName>
    <definedName name="BLPR3220040129204514692" hidden="1">#REF!</definedName>
    <definedName name="BLPR3220040129204514692_1_1" hidden="1">#REF!</definedName>
    <definedName name="BLPR3320040129204514702" hidden="1">#REF!</definedName>
    <definedName name="BLPR3320040129204514702_1_1" hidden="1">#REF!</definedName>
    <definedName name="BLPR3420040129204514702" hidden="1">#REF!</definedName>
    <definedName name="BLPR3420040129204514702_1_1" hidden="1">#REF!</definedName>
    <definedName name="BLPR3520040129204514702" hidden="1">#REF!</definedName>
    <definedName name="BLPR3520040129204514702_1_1" hidden="1">#REF!</definedName>
    <definedName name="BLPR420040129203645431" hidden="1">#REF!</definedName>
    <definedName name="BLPR420040129203645431_1_4" hidden="1">#REF!</definedName>
    <definedName name="BLPR420040129203645431_2_4" hidden="1">#REF!</definedName>
    <definedName name="BLPR420040129203645431_3_4" hidden="1">#REF!</definedName>
    <definedName name="BLPR420040129203645431_4_4" hidden="1">#REF!</definedName>
    <definedName name="BLPR520040129203645441" hidden="1">#REF!</definedName>
    <definedName name="BLPR520040129203645441_1_4" hidden="1">#REF!</definedName>
    <definedName name="BLPR520040129203645441_2_4" hidden="1">#REF!</definedName>
    <definedName name="BLPR520040129203645441_3_4" hidden="1">#REF!</definedName>
    <definedName name="BLPR520040129203645441_4_4" hidden="1">#REF!</definedName>
    <definedName name="BLPR620040129204149993" hidden="1">#REF!</definedName>
    <definedName name="BLPR620040129204149993_1_5" hidden="1">#REF!</definedName>
    <definedName name="BLPR620040129204149993_2_5" hidden="1">#REF!</definedName>
    <definedName name="BLPR620040129204149993_3_5" hidden="1">#REF!</definedName>
    <definedName name="BLPR620040129204149993_4_5" hidden="1">#REF!</definedName>
    <definedName name="BLPR620040129204149993_5_5" hidden="1">#REF!</definedName>
    <definedName name="BLPR720040129204514631" hidden="1">#REF!</definedName>
    <definedName name="BLPR720040129204514631_1_5" hidden="1">#REF!</definedName>
    <definedName name="BLPR720040129204514631_2_5" hidden="1">#REF!</definedName>
    <definedName name="BLPR720040129204514631_3_5" hidden="1">#REF!</definedName>
    <definedName name="BLPR720040129204514631_4_5" hidden="1">#REF!</definedName>
    <definedName name="BLPR720040129204514631_5_5" hidden="1">#REF!</definedName>
    <definedName name="BLPR820040129204514642" hidden="1">#REF!</definedName>
    <definedName name="BLPR820040129204514642_1_5" hidden="1">#REF!</definedName>
    <definedName name="BLPR820040129204514642_2_5" hidden="1">#REF!</definedName>
    <definedName name="BLPR820040129204514642_3_5" hidden="1">#REF!</definedName>
    <definedName name="BLPR820040129204514642_4_5" hidden="1">#REF!</definedName>
    <definedName name="BLPR820040129204514642_5_5" hidden="1">#REF!</definedName>
    <definedName name="BLPR920040129204514642" hidden="1">#REF!</definedName>
    <definedName name="BLPR920040129204514642_1_5" hidden="1">#REF!</definedName>
    <definedName name="BLPR920040129204514642_2_5" hidden="1">#REF!</definedName>
    <definedName name="BLPR920040129204514642_3_5" hidden="1">#REF!</definedName>
    <definedName name="BLPR920040129204514642_4_5" hidden="1">#REF!</definedName>
    <definedName name="BLPR920040129204514642_5_5" hidden="1">#REF!</definedName>
    <definedName name="BMt_2">#REF!</definedName>
    <definedName name="BPC">#REF!</definedName>
    <definedName name="Business_Plan_Incentive">'R1 - RoRE'!$D$71:$H$71</definedName>
    <definedName name="calendar_year">Data!$F$33:$L$33</definedName>
    <definedName name="CAS">#REF!</definedName>
    <definedName name="CGSPM">#REF!</definedName>
    <definedName name="CGSRA">#REF!</definedName>
    <definedName name="CIA">#REF!</definedName>
    <definedName name="CIB">#REF!</definedName>
    <definedName name="CIBt_2">#REF!</definedName>
    <definedName name="CIBt_3">#REF!</definedName>
    <definedName name="CIBt_4">#REF!</definedName>
    <definedName name="CIC">#REF!</definedName>
    <definedName name="CID">#REF!</definedName>
    <definedName name="CIE">#REF!</definedName>
    <definedName name="CIM">#REF!</definedName>
    <definedName name="CMLA">#REF!</definedName>
    <definedName name="CMLB">#REF!</definedName>
    <definedName name="CMLBt_2">#REF!</definedName>
    <definedName name="CMLBt_3">#REF!</definedName>
    <definedName name="CMLBt_4">#REF!</definedName>
    <definedName name="CMLC">#REF!</definedName>
    <definedName name="CMLD">#REF!</definedName>
    <definedName name="CMLE">#REF!</definedName>
    <definedName name="Combined_real_to_nominal_prices_conversion_factor__financial_year_end">Data!$F$36:$L$36</definedName>
    <definedName name="Corporate_Tax">Data!$C$13:$N$13</definedName>
    <definedName name="Cost_of_Equity">Data!$C$6</definedName>
    <definedName name="CPIRt">#REF!</definedName>
    <definedName name="CRC5B">#REF!</definedName>
    <definedName name="CRC5C">#REF!</definedName>
    <definedName name="CRC5E">#REF!</definedName>
    <definedName name="CRIRt">#REF!</definedName>
    <definedName name="CSADt">#REF!</definedName>
    <definedName name="CSAUt">#REF!</definedName>
    <definedName name="CSBDt">#REF!</definedName>
    <definedName name="CSBUt">#REF!</definedName>
    <definedName name="CSCDt">#REF!</definedName>
    <definedName name="CSCUt">#REF!</definedName>
    <definedName name="CT">#REF!</definedName>
    <definedName name="Cwvu.CapersView." localSheetId="14" hidden="1">#REF!</definedName>
    <definedName name="Cwvu.CapersView." hidden="1">#REF!</definedName>
    <definedName name="Cwvu.Japan_Capers_Ed_Pub." localSheetId="14" hidden="1">#REF!</definedName>
    <definedName name="Cwvu.Japan_Capers_Ed_Pub." hidden="1">#REF!</definedName>
    <definedName name="Debt_performance___at_notional_gearing">'R1 - RoRE'!$D$90:$H$90</definedName>
    <definedName name="Debt_performance___impact_of_actual_gearing">'R1 - RoRE'!$D$91:$H$91</definedName>
    <definedName name="DecimalPlaces">#REF!</definedName>
    <definedName name="dgsgf" hidden="1">{#N/A,#N/A,FALSE,"TMCOMP96";#N/A,#N/A,FALSE,"MAT96";#N/A,#N/A,FALSE,"FANDA96";#N/A,#N/A,FALSE,"INTRAN96";#N/A,#N/A,FALSE,"NAA9697";#N/A,#N/A,FALSE,"ECWEBB";#N/A,#N/A,FALSE,"MFT96";#N/A,#N/A,FALSE,"CTrecon"}</definedName>
    <definedName name="Distribution" hidden="1">#REF!</definedName>
    <definedName name="DLGT">#REF!</definedName>
    <definedName name="DNOName">#REF!</definedName>
    <definedName name="DR5Q">#REF!</definedName>
    <definedName name="ENIA">#REF!</definedName>
    <definedName name="Equity_RAV_based_on_actual_gearing">'R1 - RoRE'!$D$97:$H$97</definedName>
    <definedName name="Equity_Return_on_the_RAV">'R1 - RoRE'!$D$69:$H$69</definedName>
    <definedName name="ESTR">#REF!</definedName>
    <definedName name="ExtraProfiles" hidden="1">#REF!</definedName>
    <definedName name="f" localSheetId="14" hidden="1">{"'PRODUCTIONCOST SHEET'!$B$3:$G$48"}</definedName>
    <definedName name="f" hidden="1">{"'PRODUCTIONCOST SHEET'!$B$3:$G$48"}</definedName>
    <definedName name="ff" localSheetId="14" hidden="1">{#N/A,#N/A,FALSE,"PRJCTED MNTHLY QTY's"}</definedName>
    <definedName name="ff" hidden="1">{#N/A,#N/A,FALSE,"PRJCTED MNTHLY QTY's"}</definedName>
    <definedName name="fffff" localSheetId="14" hidden="1">{#N/A,#N/A,FALSE,"PRJCTED QTRLY QTY's"}</definedName>
    <definedName name="fffff" hidden="1">{#N/A,#N/A,FALSE,"PRJCTED QTRLY QTY's"}</definedName>
    <definedName name="fg"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PPR">#REF!</definedName>
    <definedName name="GAS">#REF!</definedName>
    <definedName name="ghj" hidden="1">{#N/A,#N/A,FALSE,"TMCOMP96";#N/A,#N/A,FALSE,"MAT96";#N/A,#N/A,FALSE,"FANDA96";#N/A,#N/A,FALSE,"INTRAN96";#N/A,#N/A,FALSE,"NAA9697";#N/A,#N/A,FALSE,"ECWEBB";#N/A,#N/A,FALSE,"MFT96";#N/A,#N/A,FALSE,"CTrecon"}</definedName>
    <definedName name="GIM">#REF!</definedName>
    <definedName name="gjk" localSheetId="14" hidden="1">{#N/A,#N/A,FALSE,"DI 2 YEAR MASTER SCHEDULE"}</definedName>
    <definedName name="gjk" hidden="1">{#N/A,#N/A,FALSE,"DI 2 YEAR MASTER SCHEDULE"}</definedName>
    <definedName name="GPIRt">#REF!</definedName>
    <definedName name="GRIRt">#REF!</definedName>
    <definedName name="GTA">#REF!</definedName>
    <definedName name="GTAA">#REF!</definedName>
    <definedName name="gwge" localSheetId="14" hidden="1">#REF!</definedName>
    <definedName name="gwge" hidden="1">#REF!</definedName>
    <definedName name="HB">#REF!</definedName>
    <definedName name="hh" localSheetId="14"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hh"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HTML_CodePage" hidden="1">1252</definedName>
    <definedName name="HTML_Control" localSheetId="14" hidden="1">{"'PRODUCTIONCOST SHEET'!$B$3:$G$48"}</definedName>
    <definedName name="HTML_Control" hidden="1">{"'PRODUCTIONCOST SHEET'!$B$3:$G$48"}</definedName>
    <definedName name="HTML_Description" hidden="1">"DRAFT"</definedName>
    <definedName name="HTML_Email" hidden="1">"Patrick_Blattner@Studio.Disney.com"</definedName>
    <definedName name="HTML_Header" hidden="1">"EXISTING &amp; FUTURE PRODUCTS (CONFIDENTIAL)"</definedName>
    <definedName name="HTML_LastUpdate" hidden="1">"2/8/98"</definedName>
    <definedName name="HTML_LineAfter" hidden="1">FALSE</definedName>
    <definedName name="HTML_LineBefore" hidden="1">TRUE</definedName>
    <definedName name="HTML_Name" hidden="1">"Patrick Blattner"</definedName>
    <definedName name="HTML_OBDlg2" hidden="1">TRUE</definedName>
    <definedName name="HTML_OBDlg4" hidden="1">TRUE</definedName>
    <definedName name="HTML_OS" hidden="1">0</definedName>
    <definedName name="HTML_PathFile" hidden="1">"K:\ANIMATE\SECURE\Production\INTRANET\ANI.HTML.htm"</definedName>
    <definedName name="HTML_Title" hidden="1">"2D ANIMATION PRODUCTION TABLE"</definedName>
    <definedName name="ICEO">#REF!</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"06/22/2018 13:52:39"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IQI">#REF!</definedName>
    <definedName name="IRAt">#REF!</definedName>
    <definedName name="IRBt">#REF!</definedName>
    <definedName name="IRCMt">#REF!</definedName>
    <definedName name="It">#REF!</definedName>
    <definedName name="jhkgh"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K">#REF!</definedName>
    <definedName name="khkjk" localSheetId="14" hidden="1">{"staff",#N/A,FALSE,"Current Month"}</definedName>
    <definedName name="khkjk" hidden="1">{"staff",#N/A,FALSE,"Current Month"}</definedName>
    <definedName name="l" localSheetId="14" hidden="1">{#N/A,#N/A,FALSE,"DI 2 YEAR MASTER SCHEDULE"}</definedName>
    <definedName name="l" hidden="1">{#N/A,#N/A,FALSE,"DI 2 YEAR MASTER SCHEDULE"}</definedName>
    <definedName name="LCN1t">#REF!</definedName>
    <definedName name="LCN2t">#REF!</definedName>
    <definedName name="LDRO">#REF!</definedName>
    <definedName name="LF">#REF!</definedName>
    <definedName name="LFA">#REF!</definedName>
    <definedName name="LFE">#REF!</definedName>
    <definedName name="Licensee">'RFPR cover'!$C$7</definedName>
    <definedName name="ListOffset" hidden="1">1</definedName>
    <definedName name="lkl" localSheetId="14" hidden="1">{#N/A,#N/A,FALSE,"DI 2 YEAR MASTER SCHEDULE"}</definedName>
    <definedName name="lkl" hidden="1">{#N/A,#N/A,FALSE,"DI 2 YEAR MASTER SCHEDULE"}</definedName>
    <definedName name="LookupK">#REF!</definedName>
    <definedName name="LookupPPLD">#REF!</definedName>
    <definedName name="materiality_threshold">Data!$F$7</definedName>
    <definedName name="mm" localSheetId="14"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mm"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mmmm" localSheetId="14"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mmmm"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MOD">#REF!</definedName>
    <definedName name="N_A">'R8 - Tax'!$E$11:$H$11</definedName>
    <definedName name="Navigate">'RFPR cover'!$D$2</definedName>
    <definedName name="NCPD">#REF!</definedName>
    <definedName name="NCPM">#REF!</definedName>
    <definedName name="NIAR">#REF!</definedName>
    <definedName name="NIAV">#REF!</definedName>
    <definedName name="nn" localSheetId="14" hidden="1">{#N/A,#N/A,FALSE,"PRJCTED QTRLY $'s"}</definedName>
    <definedName name="nn" hidden="1">{#N/A,#N/A,FALSE,"PRJCTED QTRLY $'s"}</definedName>
    <definedName name="Notional_Gearing">Data!$C$8</definedName>
    <definedName name="NPV_neutral_equity_element_of_RAV">'R1 - RoRE'!$D$96:$H$96</definedName>
    <definedName name="odd" localSheetId="14" hidden="1">{"staff",#N/A,FALSE,"Current Month"}</definedName>
    <definedName name="odd" hidden="1">{"staff",#N/A,FALSE,"Current Month"}</definedName>
    <definedName name="ODI_1">'R1 - RoRE'!$D$72:$H$72</definedName>
    <definedName name="ODI_2">'R1 - RoRE'!$D$73:$H$73</definedName>
    <definedName name="ODI_3">'R1 - RoRE'!$D$74:$H$74</definedName>
    <definedName name="ODI_4">'R1 - RoRE'!$D$75:$H$75</definedName>
    <definedName name="ODI_5">'R1 - RoRE'!$D$76:$H$76</definedName>
    <definedName name="ODI_6">'R1 - RoRE'!$D$77:$H$77</definedName>
    <definedName name="ODI_7">'R1 - RoRE'!$D$78:$H$78</definedName>
    <definedName name="ODI_8">'R1 - RoRE'!$D$79:$H$79</definedName>
    <definedName name="OOEE">#REF!</definedName>
    <definedName name="Option2" hidden="1">{#N/A,#N/A,FALSE,"TMCOMP96";#N/A,#N/A,FALSE,"MAT96";#N/A,#N/A,FALSE,"FANDA96";#N/A,#N/A,FALSE,"INTRAN96";#N/A,#N/A,FALSE,"NAA9697";#N/A,#N/A,FALSE,"ECWEBB";#N/A,#N/A,FALSE,"MFT96";#N/A,#N/A,FALSE,"CTrecon"}</definedName>
    <definedName name="ORA_1">'R1 - RoRE'!$D$80:$H$80</definedName>
    <definedName name="ORA_2">'R1 - RoRE'!$D$81:$H$81</definedName>
    <definedName name="ORA_3">'R1 - RoRE'!$D$82:$H$82</definedName>
    <definedName name="ORA_4">'R1 - RoRE'!$D$83:$H$83</definedName>
    <definedName name="ORA_5">'R1 - RoRE'!$D$84:$H$84</definedName>
    <definedName name="ORA_6">'R1 - RoRE'!$D$85:$H$85</definedName>
    <definedName name="ORA_7">'R1 - RoRE'!$D$86:$H$86</definedName>
    <definedName name="ORA_8">'R1 - RoRE'!$D$87:$H$87</definedName>
    <definedName name="Pal_Workbook_GUID" hidden="1">"LJ9YVKRJVQ1A1KNUG7XIT5A9"</definedName>
    <definedName name="PCUDPO">#REF!</definedName>
    <definedName name="PCUDPT">#REF!</definedName>
    <definedName name="Penalties_and_fines">'R1 - RoRE'!$D$88:$H$88</definedName>
    <definedName name="POF">#REF!</definedName>
    <definedName name="Pop" hidden="1">#REF!</definedName>
    <definedName name="Population" hidden="1">#REF!</definedName>
    <definedName name="PPL">#REF!</definedName>
    <definedName name="PRC">#REF!</definedName>
    <definedName name="Price_basis">Data!$C$9</definedName>
    <definedName name="_xlnm.Print_Area" localSheetId="3">'Change log'!$A$1:$E$31</definedName>
    <definedName name="_xlnm.Print_Area" localSheetId="2">'Content &amp; Version Control'!$A$1:$H$19</definedName>
    <definedName name="_xlnm.Print_Area" localSheetId="4">'R1 - RoRE'!$A$1:$L$68</definedName>
    <definedName name="_xlnm.Print_Area" localSheetId="13">'R10 - Pensions &amp; Oth Activities'!$A$1:$H$44</definedName>
    <definedName name="_xlnm.Print_Area" localSheetId="5">'R2 - Rec to Revenue and Profit'!$A$1:$J$63</definedName>
    <definedName name="_xlnm.Print_Area" localSheetId="6">'R3 - Totex - Reconciliation'!$A$1:$J$108</definedName>
    <definedName name="_xlnm.Print_Area" localSheetId="7">'R4 - Incentives and Other Rev'!$A$1:$I$36</definedName>
    <definedName name="_xlnm.Print_Area" localSheetId="8">'R5 - Financing'!$A$1:$I$83</definedName>
    <definedName name="_xlnm.Print_Area" localSheetId="9">'R6 - Net Debt'!$A$1:$I$63</definedName>
    <definedName name="_xlnm.Print_Area" localSheetId="10">'R7 - RAV'!$A$1:$K$38</definedName>
    <definedName name="_xlnm.Print_Area" localSheetId="11">'R8 - Tax'!$A$1:$J$44</definedName>
    <definedName name="_xlnm.Print_Area" localSheetId="12">'R9 - Corporate Governance'!$A$1:$I$18</definedName>
    <definedName name="_xlnm.Print_Area" localSheetId="0">'RFPR cover'!$A$2:$I$82</definedName>
    <definedName name="Profiles" hidden="1">#REF!</definedName>
    <definedName name="Projections" hidden="1">#REF!</definedName>
    <definedName name="PRtDir">#REF!</definedName>
    <definedName name="PT">#REF!</definedName>
    <definedName name="PTPA">#REF!</definedName>
    <definedName name="PTPE">#REF!</definedName>
    <definedName name="PTRA">#REF!</definedName>
    <definedName name="PU">#REF!</definedName>
    <definedName name="PUC">#REF!</definedName>
    <definedName name="PVF">#REF!</definedName>
    <definedName name="qs" localSheetId="14" hidden="1">{#N/A,#N/A,FALSE,"PRJCTED MNTHLY QTY's"}</definedName>
    <definedName name="qs" hidden="1">{#N/A,#N/A,FALSE,"PRJCTED MNTHLY QTY's"}</definedName>
    <definedName name="RB">#REF!</definedName>
    <definedName name="RBA">#REF!</definedName>
    <definedName name="RBE">#REF!</definedName>
    <definedName name="RD">#REF!</definedName>
    <definedName name="real_to_nominal_CF">Data!$F$34:$L$34</definedName>
    <definedName name="Reporting_Year">'RFPR cover'!$C$9</definedName>
    <definedName name="Results" hidden="1">#REF!</definedName>
    <definedName name="RF">#REF!</definedName>
    <definedName name="RFA">#REF!</definedName>
    <definedName name="RFE">#REF!</definedName>
    <definedName name="RIIO_2_start_date">'RFPR cover'!$C$6</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5000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LFt">#REF!</definedName>
    <definedName name="RLGt">#REF!</definedName>
    <definedName name="RoRE___including_financing_and_tax">'R1 - RoRE'!$D$94:$H$94</definedName>
    <definedName name="RoRE___Operational_performance">'R1 - RoRE'!$D$89:$H$89</definedName>
    <definedName name="RPI">#REF!</definedName>
    <definedName name="RPIA">#REF!</definedName>
    <definedName name="RPIF">#REF!</definedName>
    <definedName name="Rwvu.CapersView." localSheetId="14" hidden="1">#REF!</definedName>
    <definedName name="Rwvu.CapersView." hidden="1">#REF!</definedName>
    <definedName name="Rwvu.Japan_Capers_Ed_Pub." localSheetId="14" hidden="1">#REF!</definedName>
    <definedName name="Rwvu.Japan_Capers_Ed_Pub." hidden="1">#REF!</definedName>
    <definedName name="Rwvu.KJP_CC." localSheetId="14" hidden="1">#REF!</definedName>
    <definedName name="Rwvu.KJP_CC." hidden="1">#REF!</definedName>
    <definedName name="SAPBEXhrIndnt" hidden="1">"Wide"</definedName>
    <definedName name="SAPBEXrevision" hidden="1">1</definedName>
    <definedName name="SAPBEXsysID" hidden="1">"BWP"</definedName>
    <definedName name="SAPBEXwbID" hidden="1">"3M0Y5JZ0K259IJHR15SO2N9QE"</definedName>
    <definedName name="SAPsysID" hidden="1">"708C5W7SBKP804JT78WJ0JNKI"</definedName>
    <definedName name="SAPwbID" hidden="1">"ARS"</definedName>
    <definedName name="sdf"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E">#REF!</definedName>
    <definedName name="SEC">#REF!</definedName>
    <definedName name="SECA">#REF!</definedName>
    <definedName name="SECE">#REF!</definedName>
    <definedName name="Sector">'RFPR cover'!$C$8</definedName>
    <definedName name="SectorCov">'RFPR cover'!$C$8</definedName>
    <definedName name="sfad" hidden="1">{#N/A,#N/A,FALSE,"TMCOMP96";#N/A,#N/A,FALSE,"MAT96";#N/A,#N/A,FALSE,"FANDA96";#N/A,#N/A,FALSE,"INTRAN96";#N/A,#N/A,FALSE,"NAA9697";#N/A,#N/A,FALSE,"ECWEBB";#N/A,#N/A,FALSE,"MFT96";#N/A,#N/A,FALSE,"CTrecon"}</definedName>
    <definedName name="Sharing_Factor">Data!$C$7</definedName>
    <definedName name="SIAS">#REF!</definedName>
    <definedName name="SIIM">#REF!</definedName>
    <definedName name="SIPIRt">#REF!</definedName>
    <definedName name="SIRIRt">#REF!</definedName>
    <definedName name="SLC29_4">#REF!</definedName>
    <definedName name="SLC29_6">#REF!</definedName>
    <definedName name="SMC">#REF!</definedName>
    <definedName name="SMCA">#REF!</definedName>
    <definedName name="SMCE">#REF!</definedName>
    <definedName name="SMIA">#REF!</definedName>
    <definedName name="SMIE">#REF!</definedName>
    <definedName name="SMIT">#REF!</definedName>
    <definedName name="SMITR">#REF!</definedName>
    <definedName name="Submitted_Date">'RFPR cover'!$C$11</definedName>
    <definedName name="SWPD">#REF!</definedName>
    <definedName name="SWPM">#REF!</definedName>
    <definedName name="Swvu.CapersView." localSheetId="14" hidden="1">#REF!</definedName>
    <definedName name="Swvu.CapersView." hidden="1">#REF!</definedName>
    <definedName name="Swvu.Japan_Capers_Ed_Pub." localSheetId="14" hidden="1">#REF!</definedName>
    <definedName name="Swvu.Japan_Capers_Ed_Pub." hidden="1">#REF!</definedName>
    <definedName name="Swvu.KJP_CC." localSheetId="14" hidden="1">#REF!</definedName>
    <definedName name="Swvu.KJP_CC." hidden="1">#REF!</definedName>
    <definedName name="TAUt">#REF!</definedName>
    <definedName name="Tax_liability_per_latest_submitted_CT600____Reporting_Year">'R8 - Tax'!$E$11:$I$11</definedName>
    <definedName name="Tax_performance___at_notional_gearing">'R1 - RoRE'!$D$92:$H$92</definedName>
    <definedName name="Tax_performance___impact_of_actual_gearing">'R1 - RoRE'!$D$93:$H$93</definedName>
    <definedName name="TB">#REF!</definedName>
    <definedName name="TBUt">#REF!</definedName>
    <definedName name="TCAIt">#REF!</definedName>
    <definedName name="TCAP">#REF!</definedName>
    <definedName name="TCAREt">#REF!</definedName>
    <definedName name="TCAT">#REF!</definedName>
    <definedName name="TCBIt">#REF!</definedName>
    <definedName name="TCBP">#REF!</definedName>
    <definedName name="TCBREt">#REF!</definedName>
    <definedName name="TCBTt">#REF!</definedName>
    <definedName name="TCGSR">#REF!</definedName>
    <definedName name="TCM">#REF!</definedName>
    <definedName name="TopRankDefaultDistForRange" hidden="1">0</definedName>
    <definedName name="TopRankDefaultMaxChange" hidden="1">0.1</definedName>
    <definedName name="TopRankDefaultMinChange" hidden="1">-0.1</definedName>
    <definedName name="TopRankDefaultMultiGroupSize" hidden="1">2</definedName>
    <definedName name="TopRankDefaultMultiStepsPerInput" hidden="1">2</definedName>
    <definedName name="TopRankDefaultRangeType" hidden="1">0</definedName>
    <definedName name="TopRankDefaultStepsPerInput" hidden="1">5</definedName>
    <definedName name="TopRankDetailByInputReport" hidden="1">FALSE</definedName>
    <definedName name="TopRankMaxInputsPerGraph" hidden="1">10</definedName>
    <definedName name="TopRankMultiWayReport" hidden="1">FALSE</definedName>
    <definedName name="TopRankNumberOfRuns" hidden="1">1</definedName>
    <definedName name="TopRankOnlyInputsOverThreshold" hidden="1">TRUE</definedName>
    <definedName name="TopRankOnlyTopRanking" hidden="1">TRUE</definedName>
    <definedName name="TopRankOutputDetailReport" hidden="1">FALSE</definedName>
    <definedName name="TopRankOutputsAsPercentChange" hidden="1">FALSE</definedName>
    <definedName name="TopRankOverwriteExisting" hidden="1">FALSE</definedName>
    <definedName name="TopRankPauseOnError" hidden="1">FALSE</definedName>
    <definedName name="TopRankPerformPrecedentScanAddOutput" hidden="1">FALSE</definedName>
    <definedName name="TopRankPerformPrecedentScanAtStart" hidden="1">TRUE</definedName>
    <definedName name="TopRankPrecedentScanType" hidden="1">1</definedName>
    <definedName name="TopRankReportAllOutputCells" hidden="1">TRUE</definedName>
    <definedName name="TopRankReportsInExistingWorkbook" hidden="1">FALSE</definedName>
    <definedName name="TopRankReportsInExistingWorkbookName" hidden="1">"Active Workbook"</definedName>
    <definedName name="TopRankReportsInNewWorkbook" hidden="1">TRUE</definedName>
    <definedName name="TopRankSensitivityGraphs" hidden="1">FALSE</definedName>
    <definedName name="TopRankSingleWorkbookAllResults" hidden="1">FALSE</definedName>
    <definedName name="TopRankSpiderGraphs" hidden="1">TRUE</definedName>
    <definedName name="TopRankTornadoGraphs" hidden="1">TRUE</definedName>
    <definedName name="TopRankUpdateDisplay" hidden="1">FALSE</definedName>
    <definedName name="Totex_outperformance">'R1 - RoRE'!$D$70:$H$70</definedName>
    <definedName name="TQAIt">#REF!</definedName>
    <definedName name="TQAP">#REF!</definedName>
    <definedName name="TQAREt">#REF!</definedName>
    <definedName name="TQAT">#REF!</definedName>
    <definedName name="TQBIt">#REF!</definedName>
    <definedName name="TQBP">#REF!</definedName>
    <definedName name="TQBREt">#REF!</definedName>
    <definedName name="TQBT">#REF!</definedName>
    <definedName name="trggh" hidden="1">{#N/A,#N/A,FALSE,"TMCOMP96";#N/A,#N/A,FALSE,"MAT96";#N/A,#N/A,FALSE,"FANDA96";#N/A,#N/A,FALSE,"INTRAN96";#N/A,#N/A,FALSE,"NAA9697";#N/A,#N/A,FALSE,"ECWEBB";#N/A,#N/A,FALSE,"MFT96";#N/A,#N/A,FALSE,"CTrecon"}</definedName>
    <definedName name="TRIISt">#REF!</definedName>
    <definedName name="TRIMt">#REF!</definedName>
    <definedName name="u" localSheetId="14" hidden="1">{#VALUE!,#N/A,FALSE,0}</definedName>
    <definedName name="u" hidden="1">{#VALUE!,#N/A,FALSE,0}</definedName>
    <definedName name="UAG" localSheetId="14" hidden="1">{#N/A,#N/A,FALSE,"DI 2 YEAR MASTER SCHEDULE"}</definedName>
    <definedName name="UAG" hidden="1">{#N/A,#N/A,FALSE,"DI 2 YEAR MASTER SCHEDULE"}</definedName>
    <definedName name="UCPIR">#REF!</definedName>
    <definedName name="UNC">#REF!</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v" localSheetId="14" hidden="1">{"Japan_Capers_Ed_Pub",#N/A,FALSE,"DI 2 YEAR MASTER SCHEDULE"}</definedName>
    <definedName name="v" hidden="1">{"Japan_Capers_Ed_Pub",#N/A,FALSE,"DI 2 YEAR MASTER SCHEDULE"}</definedName>
    <definedName name="Version__Number">'RFPR cover'!$C$10</definedName>
    <definedName name="wrn.CapersPlotter." localSheetId="14" hidden="1">{#N/A,#N/A,FALSE,"DI 2 YEAR MASTER SCHEDULE"}</definedName>
    <definedName name="wrn.CapersPlotter." hidden="1">{#N/A,#N/A,FALSE,"DI 2 YEAR MASTER SCHEDULE"}</definedName>
    <definedName name="wrn.Edutainment._.Priority._.List." localSheetId="14" hidden="1">{#N/A,#N/A,FALSE,"DI 2 YEAR MASTER SCHEDULE"}</definedName>
    <definedName name="wrn.Edutainment._.Priority._.List." hidden="1">{#N/A,#N/A,FALSE,"DI 2 YEAR MASTER SCHEDULE"}</definedName>
    <definedName name="wrn.Japan_Capers_Ed._.Pub." localSheetId="14" hidden="1">{"Japan_Capers_Ed_Pub",#N/A,FALSE,"DI 2 YEAR MASTER SCHEDULE"}</definedName>
    <definedName name="wrn.Japan_Capers_Ed._.Pub." hidden="1">{"Japan_Capers_Ed_Pub",#N/A,FALSE,"DI 2 YEAR MASTER SCHEDULE"}</definedName>
    <definedName name="wrn.Mat." localSheetId="14" hidden="1">{"staff",#N/A,FALSE,"Current Month"}</definedName>
    <definedName name="wrn.Mat." hidden="1">{"staff",#N/A,FALSE,"Current Month"}</definedName>
    <definedName name="wrn.Priority._.list." localSheetId="14" hidden="1">{#N/A,#N/A,FALSE,"DI 2 YEAR MASTER SCHEDULE"}</definedName>
    <definedName name="wrn.Priority._.list." hidden="1">{#N/A,#N/A,FALSE,"DI 2 YEAR MASTER SCHEDULE"}</definedName>
    <definedName name="wrn.Prjcted._.Mnthly._.Qtys." localSheetId="14" hidden="1">{#N/A,#N/A,FALSE,"PRJCTED MNTHLY QTY's"}</definedName>
    <definedName name="wrn.Prjcted._.Mnthly._.Qtys." hidden="1">{#N/A,#N/A,FALSE,"PRJCTED MNTHLY QTY's"}</definedName>
    <definedName name="wrn.Prjcted._.Qtrly._.Dollars." localSheetId="14" hidden="1">{#N/A,#N/A,FALSE,"PRJCTED QTRLY $'s"}</definedName>
    <definedName name="wrn.Prjcted._.Qtrly._.Dollars." hidden="1">{#N/A,#N/A,FALSE,"PRJCTED QTRLY $'s"}</definedName>
    <definedName name="wrn.Prjcted._.Qtrly._.Qtys." localSheetId="14" hidden="1">{#N/A,#N/A,FALSE,"PRJCTED QTRLY QTY's"}</definedName>
    <definedName name="wrn.Prjcted._.Qtrly._.Qtys." hidden="1">{#N/A,#N/A,FALSE,"PRJCTED QTRLY QTY's"}</definedName>
    <definedName name="wrn.TMCOMP." hidden="1">{#N/A,#N/A,FALSE,"TMCOMP96";#N/A,#N/A,FALSE,"MAT96";#N/A,#N/A,FALSE,"FANDA96";#N/A,#N/A,FALSE,"INTRAN96";#N/A,#N/A,FALSE,"NAA9697";#N/A,#N/A,FALSE,"ECWEBB";#N/A,#N/A,FALSE,"MFT96";#N/A,#N/A,FALSE,"CTrecon"}</definedName>
    <definedName name="wvu.CapersView." localSheetId="14"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CapersView."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Japan_Capers_Ed_Pub." localSheetId="14"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Japan_Capers_Ed_Pub."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KJP_CC." localSheetId="14"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wvu.KJP_CC."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x" localSheetId="14" hidden="1">{#N/A,#N/A,FALSE,"DI 2 YEAR MASTER SCHEDULE"}</definedName>
    <definedName name="x" hidden="1">{#N/A,#N/A,FALSE,"DI 2 YEAR MASTER SCHEDULE"}</definedName>
    <definedName name="y" localSheetId="14"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y"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Year">#REF!</definedName>
    <definedName name="YEFactor">Data!$F$36:$L$36</definedName>
    <definedName name="YEFactor_change">Data!$F$35:$L$35</definedName>
    <definedName name="z" localSheetId="14" hidden="1">{#N/A,#N/A,FALSE,"DI 2 YEAR MASTER SCHEDULE"}</definedName>
    <definedName name="z" hidden="1">{#N/A,#N/A,FALSE,"DI 2 YEAR MASTER SCHEDULE"}</definedName>
    <definedName name="Z_9A428CE1_B4D9_11D0_A8AA_0000C071AEE7_.wvu.Cols" hidden="1">#REF!,#REF!</definedName>
    <definedName name="Z_9A428CE1_B4D9_11D0_A8AA_0000C071AEE7_.wvu.PrintArea" localSheetId="14" hidden="1">#REF!</definedName>
    <definedName name="Z_9A428CE1_B4D9_11D0_A8AA_0000C071AEE7_.wvu.PrintArea"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calcChain.xml><?xml version="1.0" encoding="utf-8"?>
<calcChain xmlns="http://schemas.openxmlformats.org/spreadsheetml/2006/main">
  <c r="K332" i="16" l="1"/>
  <c r="J332" i="16"/>
  <c r="I332" i="16"/>
  <c r="K331" i="16"/>
  <c r="J331" i="16"/>
  <c r="I331" i="16"/>
  <c r="K330" i="16"/>
  <c r="J330" i="16"/>
  <c r="I330" i="16"/>
  <c r="K329" i="16"/>
  <c r="J329" i="16"/>
  <c r="I329" i="16"/>
  <c r="K328" i="16"/>
  <c r="J328" i="16"/>
  <c r="I328" i="16"/>
  <c r="K327" i="16"/>
  <c r="J327" i="16"/>
  <c r="I327" i="16"/>
  <c r="K326" i="16"/>
  <c r="J326" i="16"/>
  <c r="I326" i="16"/>
  <c r="K325" i="16"/>
  <c r="J325" i="16"/>
  <c r="I325" i="16"/>
  <c r="K324" i="16"/>
  <c r="J324" i="16"/>
  <c r="I324" i="16"/>
  <c r="K323" i="16"/>
  <c r="J323" i="16"/>
  <c r="I323" i="16"/>
  <c r="K322" i="16"/>
  <c r="J322" i="16"/>
  <c r="I322" i="16"/>
  <c r="K321" i="16"/>
  <c r="J321" i="16"/>
  <c r="I321" i="16"/>
  <c r="K320" i="16"/>
  <c r="J320" i="16"/>
  <c r="I320" i="16"/>
  <c r="K319" i="16"/>
  <c r="J319" i="16"/>
  <c r="I319" i="16"/>
  <c r="K318" i="16"/>
  <c r="J318" i="16"/>
  <c r="I318" i="16"/>
  <c r="K317" i="16"/>
  <c r="J317" i="16"/>
  <c r="I317" i="16"/>
  <c r="K316" i="16"/>
  <c r="J316" i="16"/>
  <c r="I316" i="16"/>
  <c r="K315" i="16"/>
  <c r="J315" i="16"/>
  <c r="I315" i="16"/>
  <c r="K314" i="16"/>
  <c r="J314" i="16"/>
  <c r="I314" i="16"/>
  <c r="K313" i="16"/>
  <c r="J313" i="16"/>
  <c r="I313" i="16"/>
  <c r="K312" i="16"/>
  <c r="J312" i="16"/>
  <c r="I312" i="16"/>
  <c r="K311" i="16"/>
  <c r="J311" i="16"/>
  <c r="I311" i="16"/>
  <c r="K310" i="16"/>
  <c r="J310" i="16"/>
  <c r="I310" i="16"/>
  <c r="K309" i="16"/>
  <c r="J309" i="16"/>
  <c r="I309" i="16"/>
  <c r="K308" i="16"/>
  <c r="J308" i="16"/>
  <c r="I308" i="16"/>
  <c r="K307" i="16"/>
  <c r="J307" i="16"/>
  <c r="I307" i="16"/>
  <c r="K306" i="16"/>
  <c r="J306" i="16"/>
  <c r="I306" i="16"/>
  <c r="K305" i="16"/>
  <c r="J305" i="16"/>
  <c r="I305" i="16"/>
  <c r="K304" i="16"/>
  <c r="J304" i="16"/>
  <c r="I304" i="16"/>
  <c r="K303" i="16"/>
  <c r="J303" i="16"/>
  <c r="I303" i="16"/>
  <c r="K302" i="16"/>
  <c r="J302" i="16"/>
  <c r="I302" i="16"/>
  <c r="K301" i="16"/>
  <c r="J301" i="16"/>
  <c r="I301" i="16"/>
  <c r="K300" i="16"/>
  <c r="J300" i="16"/>
  <c r="I300" i="16"/>
  <c r="K299" i="16"/>
  <c r="J299" i="16"/>
  <c r="I299" i="16"/>
  <c r="K298" i="16"/>
  <c r="J298" i="16"/>
  <c r="I298" i="16"/>
  <c r="K297" i="16"/>
  <c r="J297" i="16"/>
  <c r="I297" i="16"/>
  <c r="K296" i="16"/>
  <c r="J296" i="16"/>
  <c r="I296" i="16"/>
  <c r="K295" i="16"/>
  <c r="J295" i="16"/>
  <c r="I295" i="16"/>
  <c r="K294" i="16"/>
  <c r="J294" i="16"/>
  <c r="I294" i="16"/>
  <c r="K293" i="16"/>
  <c r="J293" i="16"/>
  <c r="I293" i="16"/>
  <c r="K292" i="16"/>
  <c r="J292" i="16"/>
  <c r="I292" i="16"/>
  <c r="K291" i="16"/>
  <c r="J291" i="16"/>
  <c r="I291" i="16"/>
  <c r="K290" i="16"/>
  <c r="J290" i="16"/>
  <c r="I290" i="16"/>
  <c r="K289" i="16"/>
  <c r="J289" i="16"/>
  <c r="I289" i="16"/>
  <c r="K288" i="16"/>
  <c r="J288" i="16"/>
  <c r="I288" i="16"/>
  <c r="K287" i="16"/>
  <c r="J287" i="16"/>
  <c r="I287" i="16"/>
  <c r="K286" i="16"/>
  <c r="J286" i="16"/>
  <c r="I286" i="16"/>
  <c r="K285" i="16"/>
  <c r="J285" i="16"/>
  <c r="I285" i="16"/>
  <c r="K284" i="16"/>
  <c r="J284" i="16"/>
  <c r="I284" i="16"/>
  <c r="K283" i="16"/>
  <c r="J283" i="16"/>
  <c r="I283" i="16"/>
  <c r="K282" i="16"/>
  <c r="J282" i="16"/>
  <c r="I282" i="16"/>
  <c r="K281" i="16"/>
  <c r="J281" i="16"/>
  <c r="I281" i="16"/>
  <c r="K280" i="16"/>
  <c r="J280" i="16"/>
  <c r="I280" i="16"/>
  <c r="K279" i="16"/>
  <c r="J279" i="16"/>
  <c r="I279" i="16"/>
  <c r="K278" i="16"/>
  <c r="J278" i="16"/>
  <c r="I278" i="16"/>
  <c r="K277" i="16"/>
  <c r="J277" i="16"/>
  <c r="I277" i="16"/>
  <c r="K276" i="16"/>
  <c r="J276" i="16"/>
  <c r="I276" i="16"/>
  <c r="K275" i="16"/>
  <c r="J275" i="16"/>
  <c r="I275" i="16"/>
  <c r="K274" i="16"/>
  <c r="J274" i="16"/>
  <c r="I274" i="16"/>
  <c r="K273" i="16"/>
  <c r="J273" i="16"/>
  <c r="I273" i="16"/>
  <c r="K272" i="16"/>
  <c r="J272" i="16"/>
  <c r="I272" i="16"/>
  <c r="K271" i="16"/>
  <c r="J271" i="16"/>
  <c r="I271" i="16"/>
  <c r="K270" i="16"/>
  <c r="J270" i="16"/>
  <c r="I270" i="16"/>
  <c r="K269" i="16"/>
  <c r="J269" i="16"/>
  <c r="I269" i="16"/>
  <c r="K268" i="16"/>
  <c r="J268" i="16"/>
  <c r="I268" i="16"/>
  <c r="K267" i="16"/>
  <c r="J267" i="16"/>
  <c r="I267" i="16"/>
  <c r="K266" i="16"/>
  <c r="J266" i="16"/>
  <c r="I266" i="16"/>
  <c r="K265" i="16"/>
  <c r="J265" i="16"/>
  <c r="I265" i="16"/>
  <c r="K264" i="16"/>
  <c r="J264" i="16"/>
  <c r="I264" i="16"/>
  <c r="K263" i="16"/>
  <c r="J263" i="16"/>
  <c r="I263" i="16"/>
  <c r="K262" i="16"/>
  <c r="J262" i="16"/>
  <c r="I262" i="16"/>
  <c r="K261" i="16"/>
  <c r="J261" i="16"/>
  <c r="I261" i="16"/>
  <c r="K260" i="16"/>
  <c r="J260" i="16"/>
  <c r="I260" i="16"/>
  <c r="K259" i="16"/>
  <c r="J259" i="16"/>
  <c r="I259" i="16"/>
  <c r="K258" i="16"/>
  <c r="J258" i="16"/>
  <c r="I258" i="16"/>
  <c r="K257" i="16"/>
  <c r="J257" i="16"/>
  <c r="I257" i="16"/>
  <c r="K256" i="16"/>
  <c r="J256" i="16"/>
  <c r="I256" i="16"/>
  <c r="K255" i="16"/>
  <c r="J255" i="16"/>
  <c r="I255" i="16"/>
  <c r="K254" i="16"/>
  <c r="J254" i="16"/>
  <c r="I254" i="16"/>
  <c r="K253" i="16"/>
  <c r="J253" i="16"/>
  <c r="I253" i="16"/>
  <c r="K252" i="16"/>
  <c r="J252" i="16"/>
  <c r="I252" i="16"/>
  <c r="K251" i="16"/>
  <c r="J251" i="16"/>
  <c r="I251" i="16"/>
  <c r="K250" i="16"/>
  <c r="J250" i="16"/>
  <c r="I250" i="16"/>
  <c r="K249" i="16"/>
  <c r="J249" i="16"/>
  <c r="I249" i="16"/>
  <c r="K248" i="16"/>
  <c r="J248" i="16"/>
  <c r="I248" i="16"/>
  <c r="K247" i="16"/>
  <c r="J247" i="16"/>
  <c r="I247" i="16"/>
  <c r="K246" i="16"/>
  <c r="J246" i="16"/>
  <c r="I246" i="16"/>
  <c r="K245" i="16"/>
  <c r="J245" i="16"/>
  <c r="I245" i="16"/>
  <c r="K244" i="16"/>
  <c r="J244" i="16"/>
  <c r="I244" i="16"/>
  <c r="K243" i="16"/>
  <c r="J243" i="16"/>
  <c r="I243" i="16"/>
  <c r="K242" i="16"/>
  <c r="J242" i="16"/>
  <c r="I242" i="16"/>
  <c r="K241" i="16"/>
  <c r="J241" i="16"/>
  <c r="I241" i="16"/>
  <c r="K240" i="16"/>
  <c r="J240" i="16"/>
  <c r="I240" i="16"/>
  <c r="K239" i="16"/>
  <c r="J239" i="16"/>
  <c r="I239" i="16"/>
  <c r="K238" i="16"/>
  <c r="J238" i="16"/>
  <c r="I238" i="16"/>
  <c r="K237" i="16"/>
  <c r="J237" i="16"/>
  <c r="I237" i="16"/>
  <c r="K236" i="16"/>
  <c r="J236" i="16"/>
  <c r="I236" i="16"/>
  <c r="K235" i="16"/>
  <c r="J235" i="16"/>
  <c r="I235" i="16"/>
  <c r="K234" i="16"/>
  <c r="J234" i="16"/>
  <c r="I234" i="16"/>
  <c r="K233" i="16"/>
  <c r="J233" i="16"/>
  <c r="I233" i="16"/>
  <c r="K232" i="16"/>
  <c r="J232" i="16"/>
  <c r="I232" i="16"/>
  <c r="K231" i="16"/>
  <c r="J231" i="16"/>
  <c r="I231" i="16"/>
  <c r="K230" i="16"/>
  <c r="J230" i="16"/>
  <c r="I230" i="16"/>
  <c r="K229" i="16"/>
  <c r="J229" i="16"/>
  <c r="I229" i="16"/>
  <c r="K228" i="16"/>
  <c r="J228" i="16"/>
  <c r="I228" i="16"/>
  <c r="K227" i="16"/>
  <c r="J227" i="16"/>
  <c r="I227" i="16"/>
  <c r="K226" i="16"/>
  <c r="J226" i="16"/>
  <c r="I226" i="16"/>
  <c r="K225" i="16"/>
  <c r="J225" i="16"/>
  <c r="I225" i="16"/>
  <c r="K224" i="16"/>
  <c r="J224" i="16"/>
  <c r="I224" i="16"/>
  <c r="K223" i="16"/>
  <c r="J223" i="16"/>
  <c r="I223" i="16"/>
  <c r="K222" i="16"/>
  <c r="J222" i="16"/>
  <c r="I222" i="16"/>
  <c r="K221" i="16"/>
  <c r="J221" i="16"/>
  <c r="I221" i="16"/>
  <c r="K220" i="16"/>
  <c r="J220" i="16"/>
  <c r="I220" i="16"/>
  <c r="K219" i="16"/>
  <c r="J219" i="16"/>
  <c r="I219" i="16"/>
  <c r="K218" i="16"/>
  <c r="J218" i="16"/>
  <c r="I218" i="16"/>
  <c r="K217" i="16"/>
  <c r="J217" i="16"/>
  <c r="I217" i="16"/>
  <c r="K216" i="16"/>
  <c r="J216" i="16"/>
  <c r="I216" i="16"/>
  <c r="K215" i="16"/>
  <c r="J215" i="16"/>
  <c r="I215" i="16"/>
  <c r="K214" i="16"/>
  <c r="J214" i="16"/>
  <c r="I214" i="16"/>
  <c r="K213" i="16"/>
  <c r="J213" i="16"/>
  <c r="I213" i="16"/>
  <c r="K212" i="16"/>
  <c r="J212" i="16"/>
  <c r="I212" i="16"/>
  <c r="K211" i="16"/>
  <c r="J211" i="16"/>
  <c r="I211" i="16"/>
  <c r="K210" i="16"/>
  <c r="J210" i="16"/>
  <c r="I210" i="16"/>
  <c r="K209" i="16"/>
  <c r="J209" i="16"/>
  <c r="I209" i="16"/>
  <c r="K208" i="16"/>
  <c r="J208" i="16"/>
  <c r="I208" i="16"/>
  <c r="K207" i="16"/>
  <c r="J207" i="16"/>
  <c r="I207" i="16"/>
  <c r="K206" i="16"/>
  <c r="J206" i="16"/>
  <c r="I206" i="16"/>
  <c r="K205" i="16"/>
  <c r="J205" i="16"/>
  <c r="I205" i="16"/>
  <c r="K204" i="16"/>
  <c r="J204" i="16"/>
  <c r="I204" i="16"/>
  <c r="K203" i="16"/>
  <c r="J203" i="16"/>
  <c r="I203" i="16"/>
  <c r="K202" i="16"/>
  <c r="J202" i="16"/>
  <c r="I202" i="16"/>
  <c r="K201" i="16"/>
  <c r="J201" i="16"/>
  <c r="I201" i="16"/>
  <c r="K200" i="16"/>
  <c r="J200" i="16"/>
  <c r="I200" i="16"/>
  <c r="K199" i="16"/>
  <c r="J199" i="16"/>
  <c r="I199" i="16"/>
  <c r="K198" i="16"/>
  <c r="J198" i="16"/>
  <c r="I198" i="16"/>
  <c r="K197" i="16"/>
  <c r="J197" i="16"/>
  <c r="I197" i="16"/>
  <c r="K196" i="16"/>
  <c r="J196" i="16"/>
  <c r="I196" i="16"/>
  <c r="K195" i="16"/>
  <c r="J195" i="16"/>
  <c r="I195" i="16"/>
  <c r="K194" i="16"/>
  <c r="J194" i="16"/>
  <c r="I194" i="16"/>
  <c r="K193" i="16"/>
  <c r="J193" i="16"/>
  <c r="I193" i="16"/>
  <c r="K192" i="16"/>
  <c r="J192" i="16"/>
  <c r="I192" i="16"/>
  <c r="K191" i="16"/>
  <c r="J191" i="16"/>
  <c r="I191" i="16"/>
  <c r="K190" i="16"/>
  <c r="J190" i="16"/>
  <c r="I190" i="16"/>
  <c r="K189" i="16"/>
  <c r="J189" i="16"/>
  <c r="I189" i="16"/>
  <c r="K188" i="16"/>
  <c r="J188" i="16"/>
  <c r="I188" i="16"/>
  <c r="K187" i="16"/>
  <c r="J187" i="16"/>
  <c r="I187" i="16"/>
  <c r="K186" i="16"/>
  <c r="J186" i="16"/>
  <c r="I186" i="16"/>
  <c r="K185" i="16"/>
  <c r="J185" i="16"/>
  <c r="I185" i="16"/>
  <c r="K184" i="16"/>
  <c r="J184" i="16"/>
  <c r="I184" i="16"/>
  <c r="K183" i="16"/>
  <c r="J183" i="16"/>
  <c r="I183" i="16"/>
  <c r="K182" i="16"/>
  <c r="J182" i="16"/>
  <c r="I182" i="16"/>
  <c r="K181" i="16"/>
  <c r="J181" i="16"/>
  <c r="I181" i="16"/>
  <c r="K180" i="16"/>
  <c r="J180" i="16"/>
  <c r="I180" i="16"/>
  <c r="K179" i="16"/>
  <c r="J179" i="16"/>
  <c r="I179" i="16"/>
  <c r="K178" i="16"/>
  <c r="J178" i="16"/>
  <c r="I178" i="16"/>
  <c r="K177" i="16"/>
  <c r="J177" i="16"/>
  <c r="I177" i="16"/>
  <c r="K176" i="16"/>
  <c r="J176" i="16"/>
  <c r="I176" i="16"/>
  <c r="K175" i="16"/>
  <c r="J175" i="16"/>
  <c r="I175" i="16"/>
  <c r="K174" i="16"/>
  <c r="J174" i="16"/>
  <c r="I174" i="16"/>
  <c r="K173" i="16"/>
  <c r="J173" i="16"/>
  <c r="I173" i="16"/>
  <c r="K172" i="16"/>
  <c r="J172" i="16"/>
  <c r="I172" i="16"/>
  <c r="K171" i="16"/>
  <c r="J171" i="16"/>
  <c r="I171" i="16"/>
  <c r="K170" i="16"/>
  <c r="J170" i="16"/>
  <c r="I170" i="16"/>
  <c r="K169" i="16"/>
  <c r="J169" i="16"/>
  <c r="I169" i="16"/>
  <c r="K168" i="16"/>
  <c r="J168" i="16"/>
  <c r="I168" i="16"/>
  <c r="K167" i="16"/>
  <c r="J167" i="16"/>
  <c r="I167" i="16"/>
  <c r="K166" i="16"/>
  <c r="J166" i="16"/>
  <c r="I166" i="16"/>
  <c r="K165" i="16"/>
  <c r="J165" i="16"/>
  <c r="I165" i="16"/>
  <c r="K164" i="16"/>
  <c r="J164" i="16"/>
  <c r="I164" i="16"/>
  <c r="K163" i="16"/>
  <c r="J163" i="16"/>
  <c r="I163" i="16"/>
  <c r="K162" i="16"/>
  <c r="J162" i="16"/>
  <c r="I162" i="16"/>
  <c r="K161" i="16"/>
  <c r="J161" i="16"/>
  <c r="I161" i="16"/>
  <c r="K160" i="16"/>
  <c r="J160" i="16"/>
  <c r="I160" i="16"/>
  <c r="K159" i="16"/>
  <c r="J159" i="16"/>
  <c r="I159" i="16"/>
  <c r="K158" i="16"/>
  <c r="J158" i="16"/>
  <c r="I158" i="16"/>
  <c r="K157" i="16"/>
  <c r="J157" i="16"/>
  <c r="I157" i="16"/>
  <c r="K156" i="16"/>
  <c r="J156" i="16"/>
  <c r="I156" i="16"/>
  <c r="K155" i="16"/>
  <c r="J155" i="16"/>
  <c r="I155" i="16"/>
  <c r="K154" i="16"/>
  <c r="J154" i="16"/>
  <c r="I154" i="16"/>
  <c r="K153" i="16"/>
  <c r="J153" i="16"/>
  <c r="I153" i="16"/>
  <c r="K152" i="16"/>
  <c r="J152" i="16"/>
  <c r="I152" i="16"/>
  <c r="K151" i="16"/>
  <c r="J151" i="16"/>
  <c r="I151" i="16"/>
  <c r="K150" i="16"/>
  <c r="J150" i="16"/>
  <c r="I150" i="16"/>
  <c r="K149" i="16"/>
  <c r="J149" i="16"/>
  <c r="I149" i="16"/>
  <c r="K148" i="16"/>
  <c r="J148" i="16"/>
  <c r="I148" i="16"/>
  <c r="K147" i="16"/>
  <c r="J147" i="16"/>
  <c r="I147" i="16"/>
  <c r="K146" i="16"/>
  <c r="J146" i="16"/>
  <c r="I146" i="16"/>
  <c r="K145" i="16"/>
  <c r="J145" i="16"/>
  <c r="I145" i="16"/>
  <c r="K144" i="16"/>
  <c r="J144" i="16"/>
  <c r="I144" i="16"/>
  <c r="K143" i="16"/>
  <c r="J143" i="16"/>
  <c r="I143" i="16"/>
  <c r="K142" i="16"/>
  <c r="J142" i="16"/>
  <c r="I142" i="16"/>
  <c r="K141" i="16"/>
  <c r="J141" i="16"/>
  <c r="I141" i="16"/>
  <c r="K140" i="16"/>
  <c r="J140" i="16"/>
  <c r="I140" i="16"/>
  <c r="K139" i="16"/>
  <c r="J139" i="16"/>
  <c r="I139" i="16"/>
  <c r="K138" i="16"/>
  <c r="J138" i="16"/>
  <c r="I138" i="16"/>
  <c r="K137" i="16"/>
  <c r="J137" i="16"/>
  <c r="I137" i="16"/>
  <c r="K136" i="16"/>
  <c r="J136" i="16"/>
  <c r="I136" i="16"/>
  <c r="K135" i="16"/>
  <c r="J135" i="16"/>
  <c r="I135" i="16"/>
  <c r="K134" i="16"/>
  <c r="J134" i="16"/>
  <c r="I134" i="16"/>
  <c r="K133" i="16"/>
  <c r="J133" i="16"/>
  <c r="I133" i="16"/>
  <c r="K132" i="16"/>
  <c r="J132" i="16"/>
  <c r="I132" i="16"/>
  <c r="K131" i="16"/>
  <c r="J131" i="16"/>
  <c r="I131" i="16"/>
  <c r="K130" i="16"/>
  <c r="J130" i="16"/>
  <c r="I130" i="16"/>
  <c r="K129" i="16"/>
  <c r="J129" i="16"/>
  <c r="I129" i="16"/>
  <c r="K128" i="16"/>
  <c r="J128" i="16"/>
  <c r="I128" i="16"/>
  <c r="K127" i="16"/>
  <c r="J127" i="16"/>
  <c r="I127" i="16"/>
  <c r="K126" i="16"/>
  <c r="J126" i="16"/>
  <c r="I126" i="16"/>
  <c r="K125" i="16"/>
  <c r="J125" i="16"/>
  <c r="I125" i="16"/>
  <c r="K124" i="16"/>
  <c r="J124" i="16"/>
  <c r="I124" i="16"/>
  <c r="K123" i="16"/>
  <c r="J123" i="16"/>
  <c r="I123" i="16"/>
  <c r="K122" i="16"/>
  <c r="J122" i="16"/>
  <c r="I122" i="16"/>
  <c r="K121" i="16"/>
  <c r="J121" i="16"/>
  <c r="I121" i="16"/>
  <c r="K120" i="16"/>
  <c r="J120" i="16"/>
  <c r="I120" i="16"/>
  <c r="K119" i="16"/>
  <c r="J119" i="16"/>
  <c r="I119" i="16"/>
  <c r="K118" i="16"/>
  <c r="J118" i="16"/>
  <c r="I118" i="16"/>
  <c r="K117" i="16"/>
  <c r="J117" i="16"/>
  <c r="I117" i="16"/>
  <c r="K116" i="16"/>
  <c r="J116" i="16"/>
  <c r="I116" i="16"/>
  <c r="K115" i="16"/>
  <c r="J115" i="16"/>
  <c r="I115" i="16"/>
  <c r="K114" i="16"/>
  <c r="J114" i="16"/>
  <c r="I114" i="16"/>
  <c r="K113" i="16"/>
  <c r="J113" i="16"/>
  <c r="I113" i="16"/>
  <c r="K112" i="16"/>
  <c r="J112" i="16"/>
  <c r="I112" i="16"/>
  <c r="K111" i="16"/>
  <c r="J111" i="16"/>
  <c r="I111" i="16"/>
  <c r="K110" i="16"/>
  <c r="J110" i="16"/>
  <c r="I110" i="16"/>
  <c r="K109" i="16"/>
  <c r="J109" i="16"/>
  <c r="I109" i="16"/>
  <c r="K108" i="16"/>
  <c r="J108" i="16"/>
  <c r="I108" i="16"/>
  <c r="K107" i="16"/>
  <c r="J107" i="16"/>
  <c r="I107" i="16"/>
  <c r="K106" i="16"/>
  <c r="J106" i="16"/>
  <c r="I106" i="16"/>
  <c r="K105" i="16"/>
  <c r="J105" i="16"/>
  <c r="I105" i="16"/>
  <c r="K104" i="16"/>
  <c r="J104" i="16"/>
  <c r="I104" i="16"/>
  <c r="K103" i="16"/>
  <c r="J103" i="16"/>
  <c r="I103" i="16"/>
  <c r="K102" i="16"/>
  <c r="J102" i="16"/>
  <c r="I102" i="16"/>
  <c r="K101" i="16"/>
  <c r="J101" i="16"/>
  <c r="I101" i="16"/>
  <c r="K100" i="16"/>
  <c r="J100" i="16"/>
  <c r="I100" i="16"/>
  <c r="K99" i="16"/>
  <c r="J99" i="16"/>
  <c r="I99" i="16"/>
  <c r="K98" i="16"/>
  <c r="J98" i="16"/>
  <c r="I98" i="16"/>
  <c r="K97" i="16"/>
  <c r="J97" i="16"/>
  <c r="I97" i="16"/>
  <c r="K96" i="16"/>
  <c r="J96" i="16"/>
  <c r="I96" i="16"/>
  <c r="K95" i="16"/>
  <c r="J95" i="16"/>
  <c r="I95" i="16"/>
  <c r="K94" i="16"/>
  <c r="J94" i="16"/>
  <c r="I94" i="16"/>
  <c r="K93" i="16"/>
  <c r="J93" i="16"/>
  <c r="I93" i="16"/>
  <c r="K92" i="16"/>
  <c r="J92" i="16"/>
  <c r="I92" i="16"/>
  <c r="K91" i="16"/>
  <c r="J91" i="16"/>
  <c r="I91" i="16"/>
  <c r="K90" i="16"/>
  <c r="J90" i="16"/>
  <c r="I90" i="16"/>
  <c r="K89" i="16"/>
  <c r="J89" i="16"/>
  <c r="I89" i="16"/>
  <c r="K88" i="16"/>
  <c r="J88" i="16"/>
  <c r="I88" i="16"/>
  <c r="K87" i="16"/>
  <c r="J87" i="16"/>
  <c r="I87" i="16"/>
  <c r="K86" i="16"/>
  <c r="J86" i="16"/>
  <c r="I86" i="16"/>
  <c r="K85" i="16"/>
  <c r="J85" i="16"/>
  <c r="I85" i="16"/>
  <c r="K84" i="16"/>
  <c r="J84" i="16"/>
  <c r="I84" i="16"/>
  <c r="K83" i="16"/>
  <c r="J83" i="16"/>
  <c r="I83" i="16"/>
  <c r="K82" i="16"/>
  <c r="J82" i="16"/>
  <c r="I82" i="16"/>
  <c r="K81" i="16"/>
  <c r="J81" i="16"/>
  <c r="I81" i="16"/>
  <c r="K80" i="16"/>
  <c r="J80" i="16"/>
  <c r="I80" i="16"/>
  <c r="K79" i="16"/>
  <c r="J79" i="16"/>
  <c r="I79" i="16"/>
  <c r="K78" i="16"/>
  <c r="J78" i="16"/>
  <c r="I78" i="16"/>
  <c r="K77" i="16"/>
  <c r="J77" i="16"/>
  <c r="I77" i="16"/>
  <c r="K76" i="16"/>
  <c r="J76" i="16"/>
  <c r="I76" i="16"/>
  <c r="K75" i="16"/>
  <c r="J75" i="16"/>
  <c r="I75" i="16"/>
  <c r="K74" i="16"/>
  <c r="J74" i="16"/>
  <c r="I74" i="16"/>
  <c r="K73" i="16"/>
  <c r="J73" i="16"/>
  <c r="I73" i="16"/>
  <c r="K72" i="16"/>
  <c r="J72" i="16"/>
  <c r="I72" i="16"/>
  <c r="K71" i="16"/>
  <c r="J71" i="16"/>
  <c r="I71" i="16"/>
  <c r="K70" i="16"/>
  <c r="J70" i="16"/>
  <c r="I70" i="16"/>
  <c r="K69" i="16"/>
  <c r="J69" i="16"/>
  <c r="I69" i="16"/>
  <c r="K68" i="16"/>
  <c r="J68" i="16"/>
  <c r="I68" i="16"/>
  <c r="K67" i="16"/>
  <c r="J67" i="16"/>
  <c r="I67" i="16"/>
  <c r="K66" i="16"/>
  <c r="J66" i="16"/>
  <c r="I66" i="16"/>
  <c r="K65" i="16"/>
  <c r="J65" i="16"/>
  <c r="I65" i="16"/>
  <c r="K64" i="16"/>
  <c r="J64" i="16"/>
  <c r="I64" i="16"/>
  <c r="K63" i="16"/>
  <c r="J63" i="16"/>
  <c r="I63" i="16"/>
  <c r="K62" i="16"/>
  <c r="J62" i="16"/>
  <c r="I62" i="16"/>
  <c r="K61" i="16"/>
  <c r="J61" i="16"/>
  <c r="I61" i="16"/>
  <c r="K60" i="16"/>
  <c r="J60" i="16"/>
  <c r="I60" i="16"/>
  <c r="K59" i="16"/>
  <c r="J59" i="16"/>
  <c r="I59" i="16"/>
  <c r="K58" i="16"/>
  <c r="J58" i="16"/>
  <c r="I58" i="16"/>
  <c r="K57" i="16"/>
  <c r="J57" i="16"/>
  <c r="I57" i="16"/>
  <c r="K56" i="16"/>
  <c r="J56" i="16"/>
  <c r="I56" i="16"/>
  <c r="K55" i="16"/>
  <c r="J55" i="16"/>
  <c r="I55" i="16"/>
  <c r="K54" i="16"/>
  <c r="J54" i="16"/>
  <c r="I54" i="16"/>
  <c r="K53" i="16"/>
  <c r="J53" i="16"/>
  <c r="I53" i="16"/>
  <c r="K52" i="16"/>
  <c r="J52" i="16"/>
  <c r="I52" i="16"/>
  <c r="K51" i="16"/>
  <c r="J51" i="16"/>
  <c r="I51" i="16"/>
  <c r="K50" i="16"/>
  <c r="J50" i="16"/>
  <c r="I50" i="16"/>
  <c r="K49" i="16"/>
  <c r="J49" i="16"/>
  <c r="I49" i="16"/>
  <c r="K48" i="16"/>
  <c r="J48" i="16"/>
  <c r="I48" i="16"/>
  <c r="K47" i="16"/>
  <c r="J47" i="16"/>
  <c r="I47" i="16"/>
  <c r="K46" i="16"/>
  <c r="J46" i="16"/>
  <c r="I46" i="16"/>
  <c r="K45" i="16"/>
  <c r="J45" i="16"/>
  <c r="I45" i="16"/>
  <c r="K44" i="16"/>
  <c r="J44" i="16"/>
  <c r="I44" i="16"/>
  <c r="K43" i="16"/>
  <c r="J43" i="16"/>
  <c r="I43" i="16"/>
  <c r="K42" i="16"/>
  <c r="J42" i="16"/>
  <c r="I42" i="16"/>
  <c r="K41" i="16"/>
  <c r="J41" i="16"/>
  <c r="I41" i="16"/>
  <c r="K40" i="16"/>
  <c r="J40" i="16"/>
  <c r="I40" i="16"/>
  <c r="K39" i="16"/>
  <c r="J39" i="16"/>
  <c r="I39" i="16"/>
  <c r="K38" i="16"/>
  <c r="J38" i="16"/>
  <c r="I38" i="16"/>
  <c r="K37" i="16"/>
  <c r="J37" i="16"/>
  <c r="I37" i="16"/>
  <c r="K36" i="16"/>
  <c r="J36" i="16"/>
  <c r="I36" i="16"/>
  <c r="K35" i="16"/>
  <c r="J35" i="16"/>
  <c r="I35" i="16"/>
  <c r="K34" i="16"/>
  <c r="J34" i="16"/>
  <c r="I34" i="16"/>
  <c r="K33" i="16"/>
  <c r="J33" i="16"/>
  <c r="I33" i="16"/>
  <c r="K32" i="16"/>
  <c r="J32" i="16"/>
  <c r="I32" i="16"/>
  <c r="K31" i="16"/>
  <c r="J31" i="16"/>
  <c r="I31" i="16"/>
  <c r="K30" i="16"/>
  <c r="J30" i="16"/>
  <c r="I30" i="16"/>
  <c r="K29" i="16"/>
  <c r="J29" i="16"/>
  <c r="I29" i="16"/>
  <c r="K28" i="16"/>
  <c r="J28" i="16"/>
  <c r="I28" i="16"/>
  <c r="K27" i="16"/>
  <c r="J27" i="16"/>
  <c r="I27" i="16"/>
  <c r="K26" i="16"/>
  <c r="J26" i="16"/>
  <c r="I26" i="16"/>
  <c r="K25" i="16"/>
  <c r="J25" i="16"/>
  <c r="I25" i="16"/>
  <c r="K24" i="16"/>
  <c r="J24" i="16"/>
  <c r="I24" i="16"/>
  <c r="K23" i="16"/>
  <c r="J23" i="16"/>
  <c r="I23" i="16"/>
  <c r="K22" i="16"/>
  <c r="J22" i="16"/>
  <c r="I22" i="16"/>
  <c r="K21" i="16"/>
  <c r="J21" i="16"/>
  <c r="I21" i="16"/>
  <c r="K20" i="16"/>
  <c r="J20" i="16"/>
  <c r="I20" i="16"/>
  <c r="K19" i="16"/>
  <c r="J19" i="16"/>
  <c r="I19" i="16"/>
  <c r="K18" i="16"/>
  <c r="J18" i="16"/>
  <c r="I18" i="16"/>
  <c r="K17" i="16"/>
  <c r="J17" i="16"/>
  <c r="I17" i="16"/>
  <c r="K16" i="16"/>
  <c r="J16" i="16"/>
  <c r="I16" i="16"/>
  <c r="K15" i="16"/>
  <c r="J15" i="16"/>
  <c r="I15" i="16"/>
  <c r="K14" i="16"/>
  <c r="J14" i="16"/>
  <c r="I14" i="16"/>
  <c r="K13" i="16"/>
  <c r="J13" i="16"/>
  <c r="I13" i="16"/>
  <c r="K12" i="16"/>
  <c r="J12" i="16"/>
  <c r="I12" i="16"/>
  <c r="K11" i="16"/>
  <c r="J11" i="16"/>
  <c r="I11" i="16"/>
  <c r="K10" i="16"/>
  <c r="J10" i="16"/>
  <c r="I10" i="16"/>
  <c r="K9" i="16"/>
  <c r="J9" i="16"/>
  <c r="I9" i="16"/>
  <c r="K8" i="16"/>
  <c r="J8" i="16"/>
  <c r="I8" i="16"/>
  <c r="K7" i="16"/>
  <c r="J7" i="16"/>
  <c r="I7" i="16"/>
  <c r="A7" i="16"/>
  <c r="H7" i="16" s="1"/>
  <c r="K6" i="16"/>
  <c r="J6" i="16"/>
  <c r="I6" i="16"/>
  <c r="G6" i="16"/>
  <c r="F6" i="16"/>
  <c r="A6" i="16"/>
  <c r="A2" i="16"/>
  <c r="A1" i="16"/>
  <c r="M5" i="15"/>
  <c r="N5" i="15" s="1"/>
  <c r="O5" i="15" s="1"/>
  <c r="P5" i="15" s="1"/>
  <c r="Q5" i="15" s="1"/>
  <c r="R5" i="15" s="1"/>
  <c r="S5" i="15" s="1"/>
  <c r="T5" i="15" s="1"/>
  <c r="U5" i="15" s="1"/>
  <c r="V5" i="15" s="1"/>
  <c r="A2" i="15"/>
  <c r="A1" i="15"/>
  <c r="H67" i="14"/>
  <c r="G67" i="14"/>
  <c r="F67" i="14"/>
  <c r="E67" i="14"/>
  <c r="D67" i="14"/>
  <c r="H62" i="14"/>
  <c r="G62" i="14"/>
  <c r="F62" i="14"/>
  <c r="E62" i="14"/>
  <c r="D62" i="14"/>
  <c r="H60" i="14"/>
  <c r="G60" i="14"/>
  <c r="F60" i="14"/>
  <c r="E60" i="14"/>
  <c r="D60" i="14"/>
  <c r="C54" i="14"/>
  <c r="C43" i="14"/>
  <c r="C42" i="14"/>
  <c r="D40" i="14"/>
  <c r="C40" i="14"/>
  <c r="D39" i="14"/>
  <c r="C39" i="14"/>
  <c r="C37" i="14"/>
  <c r="C36" i="14"/>
  <c r="C34" i="14"/>
  <c r="C33" i="14"/>
  <c r="H23" i="14"/>
  <c r="G23" i="14"/>
  <c r="F23" i="14"/>
  <c r="E23" i="14"/>
  <c r="D23" i="14"/>
  <c r="C21" i="14"/>
  <c r="C18" i="14"/>
  <c r="A3" i="14"/>
  <c r="A2" i="14"/>
  <c r="D66" i="13"/>
  <c r="G63" i="13"/>
  <c r="F63" i="13"/>
  <c r="I59" i="13"/>
  <c r="I63" i="13" s="1"/>
  <c r="H59" i="13"/>
  <c r="H63" i="13" s="1"/>
  <c r="G59" i="13"/>
  <c r="F59" i="13"/>
  <c r="E59" i="13"/>
  <c r="E63" i="13" s="1"/>
  <c r="D59" i="13"/>
  <c r="D63" i="13" s="1"/>
  <c r="D48" i="13"/>
  <c r="D67" i="13" s="1"/>
  <c r="I47" i="13"/>
  <c r="H47" i="13"/>
  <c r="H66" i="13" s="1"/>
  <c r="E47" i="13"/>
  <c r="E66" i="13" s="1"/>
  <c r="I45" i="13"/>
  <c r="I48" i="13" s="1"/>
  <c r="I67" i="13" s="1"/>
  <c r="H45" i="13"/>
  <c r="H48" i="13" s="1"/>
  <c r="H67" i="13" s="1"/>
  <c r="I44" i="13"/>
  <c r="H44" i="13"/>
  <c r="G44" i="13"/>
  <c r="G45" i="13" s="1"/>
  <c r="G48" i="13" s="1"/>
  <c r="G67" i="13" s="1"/>
  <c r="F44" i="13"/>
  <c r="F45" i="13" s="1"/>
  <c r="F48" i="13" s="1"/>
  <c r="F67" i="13" s="1"/>
  <c r="E44" i="13"/>
  <c r="E45" i="13" s="1"/>
  <c r="E48" i="13" s="1"/>
  <c r="E67" i="13" s="1"/>
  <c r="D44" i="13"/>
  <c r="D45" i="13" s="1"/>
  <c r="I35" i="13"/>
  <c r="H35" i="13"/>
  <c r="G35" i="13"/>
  <c r="F35" i="13"/>
  <c r="E35" i="13"/>
  <c r="D35" i="13"/>
  <c r="D47" i="13" s="1"/>
  <c r="D23" i="13"/>
  <c r="H16" i="13"/>
  <c r="G16" i="13"/>
  <c r="F16" i="13"/>
  <c r="E16" i="13"/>
  <c r="D16" i="13"/>
  <c r="A3" i="13"/>
  <c r="A2" i="13"/>
  <c r="D70" i="12"/>
  <c r="D67" i="12"/>
  <c r="D64" i="12"/>
  <c r="D62" i="12"/>
  <c r="D60" i="12"/>
  <c r="D52" i="12"/>
  <c r="I45" i="12"/>
  <c r="G45" i="12"/>
  <c r="E45" i="12"/>
  <c r="I20" i="12"/>
  <c r="H20" i="12"/>
  <c r="G20" i="12"/>
  <c r="F20" i="12"/>
  <c r="E20" i="12"/>
  <c r="F7" i="12"/>
  <c r="A3" i="12"/>
  <c r="A2" i="12"/>
  <c r="E44" i="11"/>
  <c r="E43" i="11"/>
  <c r="E40" i="11"/>
  <c r="E39" i="11"/>
  <c r="J26" i="11"/>
  <c r="I26" i="11"/>
  <c r="H26" i="11"/>
  <c r="G26" i="11"/>
  <c r="F26" i="11"/>
  <c r="E26" i="11"/>
  <c r="E24" i="11"/>
  <c r="J23" i="11"/>
  <c r="I23" i="11"/>
  <c r="H23" i="11"/>
  <c r="G23" i="11"/>
  <c r="F23" i="11"/>
  <c r="E23" i="11"/>
  <c r="E22" i="11"/>
  <c r="E21" i="11"/>
  <c r="J20" i="11"/>
  <c r="I20" i="11"/>
  <c r="H20" i="11"/>
  <c r="G20" i="11"/>
  <c r="F20" i="11"/>
  <c r="F24" i="11" s="1"/>
  <c r="E20" i="11"/>
  <c r="E18" i="11"/>
  <c r="F17" i="11"/>
  <c r="E17" i="11"/>
  <c r="E16" i="11"/>
  <c r="G15" i="11"/>
  <c r="G17" i="11" s="1"/>
  <c r="G24" i="11" s="1"/>
  <c r="A3" i="11"/>
  <c r="A2" i="11"/>
  <c r="H76" i="10"/>
  <c r="G76" i="10"/>
  <c r="F76" i="10"/>
  <c r="E76" i="10"/>
  <c r="C74" i="10"/>
  <c r="C73" i="10"/>
  <c r="H69" i="10"/>
  <c r="F69" i="10"/>
  <c r="E69" i="10"/>
  <c r="D69" i="10"/>
  <c r="E63" i="10"/>
  <c r="H63" i="10"/>
  <c r="G63" i="10"/>
  <c r="F63" i="10"/>
  <c r="D63" i="10"/>
  <c r="G9" i="10"/>
  <c r="F9" i="10"/>
  <c r="H9" i="10"/>
  <c r="A3" i="10"/>
  <c r="A2" i="10"/>
  <c r="C85" i="9"/>
  <c r="C77" i="9"/>
  <c r="C70" i="9"/>
  <c r="H63" i="9"/>
  <c r="E63" i="9"/>
  <c r="D63" i="9"/>
  <c r="C57" i="9"/>
  <c r="E56" i="9"/>
  <c r="D56" i="9"/>
  <c r="J54" i="9"/>
  <c r="J52" i="9"/>
  <c r="H56" i="9"/>
  <c r="J50" i="9"/>
  <c r="J48" i="9"/>
  <c r="J47" i="9"/>
  <c r="C44" i="9"/>
  <c r="I6" i="9"/>
  <c r="I5" i="9" s="1"/>
  <c r="B3" i="9"/>
  <c r="B3" i="10" s="1"/>
  <c r="A3" i="9"/>
  <c r="A2" i="9"/>
  <c r="H71" i="8"/>
  <c r="G71" i="8"/>
  <c r="F71" i="8"/>
  <c r="J71" i="8" s="1"/>
  <c r="E71" i="8"/>
  <c r="D71" i="8"/>
  <c r="C71" i="8"/>
  <c r="J70" i="8"/>
  <c r="J69" i="8"/>
  <c r="C69" i="8"/>
  <c r="J68" i="8"/>
  <c r="C68" i="8"/>
  <c r="J67" i="8"/>
  <c r="J66" i="8"/>
  <c r="C66" i="8"/>
  <c r="H59" i="8"/>
  <c r="H82" i="5" s="1"/>
  <c r="G59" i="8"/>
  <c r="G82" i="5" s="1"/>
  <c r="F59" i="8"/>
  <c r="E59" i="8"/>
  <c r="D59" i="8"/>
  <c r="C59" i="8"/>
  <c r="H58" i="8"/>
  <c r="G58" i="8"/>
  <c r="F58" i="8"/>
  <c r="E58" i="8"/>
  <c r="J58" i="8" s="1"/>
  <c r="D58" i="8"/>
  <c r="C58" i="8"/>
  <c r="J57" i="8"/>
  <c r="C57" i="8"/>
  <c r="J56" i="8"/>
  <c r="C56" i="8"/>
  <c r="J55" i="8"/>
  <c r="D52" i="8"/>
  <c r="D81" i="5" s="1"/>
  <c r="C52" i="8"/>
  <c r="D51" i="8"/>
  <c r="C51" i="8"/>
  <c r="C50" i="8"/>
  <c r="C48" i="8"/>
  <c r="H45" i="8"/>
  <c r="H80" i="5" s="1"/>
  <c r="G45" i="8"/>
  <c r="G80" i="5" s="1"/>
  <c r="F45" i="8"/>
  <c r="F80" i="5" s="1"/>
  <c r="E45" i="8"/>
  <c r="D45" i="8"/>
  <c r="H44" i="8"/>
  <c r="G44" i="8"/>
  <c r="F44" i="8"/>
  <c r="J44" i="8" s="1"/>
  <c r="E44" i="8"/>
  <c r="D44" i="8"/>
  <c r="C44" i="8"/>
  <c r="J43" i="8"/>
  <c r="C43" i="8"/>
  <c r="J42" i="8"/>
  <c r="J41" i="8"/>
  <c r="C41" i="8"/>
  <c r="H22" i="8"/>
  <c r="G22" i="8"/>
  <c r="F22" i="8"/>
  <c r="E22" i="8"/>
  <c r="D22" i="8"/>
  <c r="C22" i="8"/>
  <c r="J21" i="8"/>
  <c r="J20" i="8"/>
  <c r="J19" i="8"/>
  <c r="C19" i="8"/>
  <c r="J18" i="8"/>
  <c r="J17" i="8"/>
  <c r="C17" i="8"/>
  <c r="J16" i="8"/>
  <c r="C16" i="8"/>
  <c r="J15" i="8"/>
  <c r="C15" i="8"/>
  <c r="J14" i="8"/>
  <c r="C12" i="8"/>
  <c r="I6" i="8"/>
  <c r="I5" i="8" s="1"/>
  <c r="A3" i="8"/>
  <c r="A2" i="8"/>
  <c r="H208" i="7"/>
  <c r="G208" i="7"/>
  <c r="F208" i="7"/>
  <c r="E208" i="7"/>
  <c r="D208" i="7"/>
  <c r="C177" i="7"/>
  <c r="E176" i="7"/>
  <c r="E210" i="7" s="1"/>
  <c r="H173" i="7"/>
  <c r="G173" i="7"/>
  <c r="F173" i="7"/>
  <c r="E173" i="7"/>
  <c r="D173" i="7"/>
  <c r="H158" i="7"/>
  <c r="G158" i="7"/>
  <c r="H75" i="6" s="1"/>
  <c r="F158" i="7"/>
  <c r="E158" i="7"/>
  <c r="E174" i="7" s="1"/>
  <c r="D158" i="7"/>
  <c r="D174" i="7" s="1"/>
  <c r="D176" i="7" s="1"/>
  <c r="D210" i="7" s="1"/>
  <c r="H132" i="7"/>
  <c r="H130" i="7"/>
  <c r="G130" i="7"/>
  <c r="F130" i="7"/>
  <c r="E130" i="7"/>
  <c r="D130" i="7"/>
  <c r="H123" i="7"/>
  <c r="G123" i="7"/>
  <c r="G132" i="7" s="1"/>
  <c r="F123" i="7"/>
  <c r="F132" i="7" s="1"/>
  <c r="E123" i="7"/>
  <c r="E132" i="7" s="1"/>
  <c r="D123" i="7"/>
  <c r="D132" i="7" s="1"/>
  <c r="C105" i="7"/>
  <c r="C103" i="7"/>
  <c r="C98" i="7"/>
  <c r="C97" i="7"/>
  <c r="C96" i="7"/>
  <c r="H93" i="7"/>
  <c r="G93" i="7"/>
  <c r="F93" i="7"/>
  <c r="E93" i="7"/>
  <c r="D93" i="7"/>
  <c r="J93" i="7" s="1"/>
  <c r="E92" i="7"/>
  <c r="H90" i="7"/>
  <c r="G90" i="7"/>
  <c r="F90" i="7"/>
  <c r="E90" i="7"/>
  <c r="D90" i="7"/>
  <c r="C90" i="7"/>
  <c r="J89" i="7"/>
  <c r="J88" i="7"/>
  <c r="C88" i="7"/>
  <c r="C85" i="7"/>
  <c r="F84" i="7"/>
  <c r="E84" i="7"/>
  <c r="C84" i="7"/>
  <c r="H82" i="7"/>
  <c r="G82" i="7"/>
  <c r="F82" i="7"/>
  <c r="F85" i="7" s="1"/>
  <c r="F97" i="7" s="1"/>
  <c r="E82" i="7"/>
  <c r="D82" i="7"/>
  <c r="H80" i="7"/>
  <c r="G80" i="7"/>
  <c r="F80" i="7"/>
  <c r="E80" i="7"/>
  <c r="D80" i="7"/>
  <c r="D84" i="7" s="1"/>
  <c r="J79" i="7"/>
  <c r="C79" i="7"/>
  <c r="J78" i="7"/>
  <c r="C78" i="7"/>
  <c r="C74" i="7"/>
  <c r="C73" i="7"/>
  <c r="C72" i="7"/>
  <c r="E69" i="7"/>
  <c r="E68" i="7"/>
  <c r="H66" i="7"/>
  <c r="G66" i="7"/>
  <c r="F66" i="7"/>
  <c r="E66" i="7"/>
  <c r="D66" i="7"/>
  <c r="J66" i="7" s="1"/>
  <c r="C66" i="7"/>
  <c r="J65" i="7"/>
  <c r="C65" i="7"/>
  <c r="J64" i="7"/>
  <c r="H61" i="7"/>
  <c r="G61" i="7"/>
  <c r="F61" i="7"/>
  <c r="F68" i="7" s="1"/>
  <c r="F72" i="7" s="1"/>
  <c r="E61" i="7"/>
  <c r="D61" i="7"/>
  <c r="C61" i="7"/>
  <c r="J60" i="7"/>
  <c r="J59" i="7"/>
  <c r="F56" i="7"/>
  <c r="D56" i="7"/>
  <c r="C56" i="7"/>
  <c r="C55" i="7"/>
  <c r="H53" i="7"/>
  <c r="G53" i="7"/>
  <c r="G55" i="7" s="1"/>
  <c r="F53" i="7"/>
  <c r="E53" i="7"/>
  <c r="D53" i="7"/>
  <c r="H51" i="7"/>
  <c r="G51" i="7"/>
  <c r="F51" i="7"/>
  <c r="F55" i="7" s="1"/>
  <c r="E51" i="7"/>
  <c r="D51" i="7"/>
  <c r="J50" i="7"/>
  <c r="C50" i="7"/>
  <c r="J49" i="7"/>
  <c r="J51" i="7" s="1"/>
  <c r="C49" i="7"/>
  <c r="C44" i="7"/>
  <c r="C43" i="7"/>
  <c r="F40" i="7"/>
  <c r="E40" i="7"/>
  <c r="D40" i="7"/>
  <c r="J40" i="7" s="1"/>
  <c r="C40" i="7"/>
  <c r="H39" i="7"/>
  <c r="G39" i="7"/>
  <c r="F39" i="7"/>
  <c r="H37" i="7"/>
  <c r="G37" i="7"/>
  <c r="F37" i="7"/>
  <c r="E37" i="7"/>
  <c r="D37" i="7"/>
  <c r="J37" i="7" s="1"/>
  <c r="C37" i="7"/>
  <c r="J36" i="7"/>
  <c r="C36" i="7"/>
  <c r="J35" i="7"/>
  <c r="J32" i="7"/>
  <c r="H32" i="7"/>
  <c r="H40" i="7" s="1"/>
  <c r="G32" i="7"/>
  <c r="F32" i="7"/>
  <c r="E32" i="7"/>
  <c r="D32" i="7"/>
  <c r="D39" i="7" s="1"/>
  <c r="C32" i="7"/>
  <c r="J31" i="7"/>
  <c r="C31" i="7"/>
  <c r="J30" i="7"/>
  <c r="J29" i="7"/>
  <c r="C29" i="7"/>
  <c r="J28" i="7"/>
  <c r="C28" i="7"/>
  <c r="J27" i="7"/>
  <c r="C27" i="7"/>
  <c r="J26" i="7"/>
  <c r="C26" i="7"/>
  <c r="J25" i="7"/>
  <c r="C25" i="7"/>
  <c r="J24" i="7"/>
  <c r="C24" i="7"/>
  <c r="J23" i="7"/>
  <c r="C23" i="7"/>
  <c r="H20" i="7"/>
  <c r="H44" i="7" s="1"/>
  <c r="F20" i="7"/>
  <c r="F44" i="7" s="1"/>
  <c r="C20" i="7"/>
  <c r="H19" i="7"/>
  <c r="G19" i="7"/>
  <c r="F19" i="7"/>
  <c r="E19" i="7"/>
  <c r="C19" i="7"/>
  <c r="H17" i="7"/>
  <c r="G17" i="7"/>
  <c r="G40" i="7" s="1"/>
  <c r="F17" i="7"/>
  <c r="E17" i="7"/>
  <c r="D17" i="7"/>
  <c r="J15" i="7"/>
  <c r="H15" i="7"/>
  <c r="G15" i="7"/>
  <c r="G20" i="7" s="1"/>
  <c r="G44" i="7" s="1"/>
  <c r="F15" i="7"/>
  <c r="E15" i="7"/>
  <c r="E20" i="7" s="1"/>
  <c r="E44" i="7" s="1"/>
  <c r="D15" i="7"/>
  <c r="J14" i="7"/>
  <c r="C14" i="7"/>
  <c r="J13" i="7"/>
  <c r="I6" i="7"/>
  <c r="A3" i="7"/>
  <c r="A2" i="7"/>
  <c r="I104" i="6"/>
  <c r="H104" i="6"/>
  <c r="G104" i="6"/>
  <c r="F104" i="6"/>
  <c r="E104" i="6"/>
  <c r="G93" i="6"/>
  <c r="H91" i="6"/>
  <c r="G91" i="6"/>
  <c r="F91" i="6"/>
  <c r="I89" i="6"/>
  <c r="H89" i="6"/>
  <c r="G89" i="6"/>
  <c r="F89" i="6"/>
  <c r="E89" i="6"/>
  <c r="I84" i="6"/>
  <c r="I91" i="6" s="1"/>
  <c r="H84" i="6"/>
  <c r="G84" i="6"/>
  <c r="F84" i="6"/>
  <c r="E84" i="6"/>
  <c r="E91" i="6" s="1"/>
  <c r="G78" i="6"/>
  <c r="E78" i="6"/>
  <c r="I72" i="6"/>
  <c r="H72" i="6"/>
  <c r="H81" i="6" s="1"/>
  <c r="H93" i="6" s="1"/>
  <c r="G72" i="6"/>
  <c r="E72" i="6"/>
  <c r="I69" i="6"/>
  <c r="H69" i="6"/>
  <c r="G69" i="6"/>
  <c r="F69" i="6"/>
  <c r="E69" i="6"/>
  <c r="I68" i="6"/>
  <c r="I81" i="6" s="1"/>
  <c r="I93" i="6" s="1"/>
  <c r="H68" i="6"/>
  <c r="G68" i="6"/>
  <c r="G81" i="6" s="1"/>
  <c r="F68" i="6"/>
  <c r="E68" i="6"/>
  <c r="E81" i="6" s="1"/>
  <c r="E93" i="6" s="1"/>
  <c r="E58" i="6"/>
  <c r="E60" i="6" s="1"/>
  <c r="I56" i="6"/>
  <c r="H56" i="6"/>
  <c r="H58" i="6" s="1"/>
  <c r="H60" i="6" s="1"/>
  <c r="G56" i="6"/>
  <c r="G58" i="6" s="1"/>
  <c r="G60" i="6" s="1"/>
  <c r="F56" i="6"/>
  <c r="F58" i="6" s="1"/>
  <c r="F60" i="6" s="1"/>
  <c r="E56" i="6"/>
  <c r="I37" i="6"/>
  <c r="H37" i="6"/>
  <c r="G37" i="6"/>
  <c r="F37" i="6"/>
  <c r="E37" i="6"/>
  <c r="F21" i="6"/>
  <c r="E21" i="6"/>
  <c r="I19" i="6"/>
  <c r="I21" i="6" s="1"/>
  <c r="H19" i="6"/>
  <c r="H21" i="6" s="1"/>
  <c r="G19" i="6"/>
  <c r="G21" i="6" s="1"/>
  <c r="C19" i="6"/>
  <c r="C17" i="6"/>
  <c r="C16" i="6"/>
  <c r="I15" i="6"/>
  <c r="H15" i="6"/>
  <c r="G15" i="6"/>
  <c r="F15" i="6"/>
  <c r="F19" i="6" s="1"/>
  <c r="E15" i="6"/>
  <c r="E19" i="6" s="1"/>
  <c r="C14" i="6"/>
  <c r="A3" i="6"/>
  <c r="A2" i="6"/>
  <c r="C97" i="5"/>
  <c r="C96" i="5"/>
  <c r="C94" i="5"/>
  <c r="C93" i="5"/>
  <c r="C92" i="5"/>
  <c r="C91" i="5"/>
  <c r="C90" i="5"/>
  <c r="C89" i="5"/>
  <c r="C88" i="5"/>
  <c r="H87" i="5"/>
  <c r="G87" i="5"/>
  <c r="F87" i="5"/>
  <c r="E87" i="5"/>
  <c r="D87" i="5"/>
  <c r="C87" i="5"/>
  <c r="H86" i="5"/>
  <c r="G86" i="5"/>
  <c r="F86" i="5"/>
  <c r="E86" i="5"/>
  <c r="D86" i="5"/>
  <c r="C86" i="5"/>
  <c r="H85" i="5"/>
  <c r="G85" i="5"/>
  <c r="F85" i="5"/>
  <c r="E85" i="5"/>
  <c r="D85" i="5"/>
  <c r="C85" i="5"/>
  <c r="K84" i="5"/>
  <c r="H84" i="5"/>
  <c r="G84" i="5"/>
  <c r="F84" i="5"/>
  <c r="E84" i="5"/>
  <c r="D84" i="5"/>
  <c r="C84" i="5"/>
  <c r="H83" i="5"/>
  <c r="G83" i="5"/>
  <c r="F83" i="5"/>
  <c r="E83" i="5"/>
  <c r="D83" i="5"/>
  <c r="F82" i="5"/>
  <c r="E82" i="5"/>
  <c r="D82" i="5"/>
  <c r="B82" i="5"/>
  <c r="H81" i="5"/>
  <c r="G81" i="5"/>
  <c r="F81" i="5"/>
  <c r="E81" i="5"/>
  <c r="C81" i="5"/>
  <c r="B81" i="5"/>
  <c r="D80" i="5"/>
  <c r="C80" i="5"/>
  <c r="B80" i="5"/>
  <c r="B51" i="5" s="1"/>
  <c r="K79" i="5"/>
  <c r="H79" i="5"/>
  <c r="G79" i="5"/>
  <c r="F79" i="5"/>
  <c r="E79" i="5"/>
  <c r="D79" i="5"/>
  <c r="C79" i="5"/>
  <c r="H78" i="5"/>
  <c r="G78" i="5"/>
  <c r="F78" i="5"/>
  <c r="E78" i="5"/>
  <c r="D78" i="5"/>
  <c r="K77" i="5"/>
  <c r="H77" i="5"/>
  <c r="G77" i="5"/>
  <c r="F77" i="5"/>
  <c r="E77" i="5"/>
  <c r="D77" i="5"/>
  <c r="C77" i="5"/>
  <c r="H76" i="5"/>
  <c r="G76" i="5"/>
  <c r="F76" i="5"/>
  <c r="E76" i="5"/>
  <c r="D76" i="5"/>
  <c r="C76" i="5"/>
  <c r="K75" i="5"/>
  <c r="H75" i="5"/>
  <c r="G75" i="5"/>
  <c r="F75" i="5"/>
  <c r="E75" i="5"/>
  <c r="D75" i="5"/>
  <c r="C75" i="5"/>
  <c r="H74" i="5"/>
  <c r="G74" i="5"/>
  <c r="F74" i="5"/>
  <c r="E74" i="5"/>
  <c r="D74" i="5"/>
  <c r="C74" i="5"/>
  <c r="H73" i="5"/>
  <c r="G73" i="5"/>
  <c r="F73" i="5"/>
  <c r="E73" i="5"/>
  <c r="D73" i="5"/>
  <c r="C73" i="5"/>
  <c r="H72" i="5"/>
  <c r="G72" i="5"/>
  <c r="F72" i="5"/>
  <c r="E72" i="5"/>
  <c r="D72" i="5"/>
  <c r="C72" i="5"/>
  <c r="C71" i="5"/>
  <c r="C70" i="5"/>
  <c r="C69" i="5"/>
  <c r="B67" i="5"/>
  <c r="B63" i="5"/>
  <c r="B60" i="5"/>
  <c r="B59" i="5"/>
  <c r="B52" i="5"/>
  <c r="B42" i="5"/>
  <c r="B41" i="5"/>
  <c r="B34" i="5"/>
  <c r="B33" i="5"/>
  <c r="B32" i="5"/>
  <c r="B31" i="5"/>
  <c r="B30" i="5"/>
  <c r="B23" i="5"/>
  <c r="B13" i="5"/>
  <c r="B12" i="5"/>
  <c r="J6" i="5"/>
  <c r="B3" i="5"/>
  <c r="A3" i="5"/>
  <c r="A2" i="5"/>
  <c r="A3" i="4"/>
  <c r="A2" i="4"/>
  <c r="A3" i="3"/>
  <c r="A2" i="3"/>
  <c r="N349" i="2"/>
  <c r="O349" i="2" s="1"/>
  <c r="P349" i="2" s="1"/>
  <c r="Q349" i="2" s="1"/>
  <c r="R349" i="2" s="1"/>
  <c r="S349" i="2" s="1"/>
  <c r="J343" i="2"/>
  <c r="J342" i="2"/>
  <c r="J341" i="2"/>
  <c r="J340" i="2"/>
  <c r="J339" i="2"/>
  <c r="G339" i="2"/>
  <c r="F339" i="2"/>
  <c r="E339" i="2"/>
  <c r="D339" i="2"/>
  <c r="C339" i="2"/>
  <c r="J338" i="2"/>
  <c r="J337" i="2"/>
  <c r="J336" i="2"/>
  <c r="J335" i="2"/>
  <c r="J334" i="2"/>
  <c r="J333" i="2"/>
  <c r="J332" i="2"/>
  <c r="J331" i="2"/>
  <c r="J330" i="2"/>
  <c r="J329" i="2"/>
  <c r="J328" i="2"/>
  <c r="J327" i="2"/>
  <c r="J326" i="2"/>
  <c r="J325" i="2"/>
  <c r="J324" i="2"/>
  <c r="J323" i="2"/>
  <c r="J322" i="2"/>
  <c r="J321" i="2"/>
  <c r="J320" i="2"/>
  <c r="J319" i="2"/>
  <c r="J318" i="2"/>
  <c r="J317" i="2"/>
  <c r="J316" i="2"/>
  <c r="J315" i="2"/>
  <c r="N314" i="2"/>
  <c r="D314" i="2"/>
  <c r="E314" i="2" s="1"/>
  <c r="F314" i="2" s="1"/>
  <c r="G314" i="2" s="1"/>
  <c r="H314" i="2" s="1"/>
  <c r="I314" i="2" s="1"/>
  <c r="E228" i="2"/>
  <c r="B228" i="2"/>
  <c r="F203" i="2"/>
  <c r="F202" i="2"/>
  <c r="F201" i="2"/>
  <c r="F200" i="2"/>
  <c r="F199" i="2"/>
  <c r="F198" i="2"/>
  <c r="F197" i="2"/>
  <c r="F196" i="2"/>
  <c r="F195" i="2"/>
  <c r="G137" i="2"/>
  <c r="G136" i="2"/>
  <c r="G135" i="2"/>
  <c r="G134" i="2"/>
  <c r="E134" i="2"/>
  <c r="F134" i="2" s="1"/>
  <c r="G133" i="2"/>
  <c r="G132" i="2"/>
  <c r="G131" i="2"/>
  <c r="D97" i="2"/>
  <c r="E97" i="2" s="1"/>
  <c r="F97" i="2" s="1"/>
  <c r="G97" i="2" s="1"/>
  <c r="H97" i="2" s="1"/>
  <c r="I97" i="2" s="1"/>
  <c r="F91" i="2"/>
  <c r="F90" i="2"/>
  <c r="F89" i="2"/>
  <c r="F88" i="2"/>
  <c r="F87" i="2"/>
  <c r="F86" i="2"/>
  <c r="I85" i="2"/>
  <c r="F85" i="2"/>
  <c r="F84" i="2"/>
  <c r="F83" i="2"/>
  <c r="F82" i="2"/>
  <c r="F81" i="2"/>
  <c r="F80" i="2"/>
  <c r="F79" i="2"/>
  <c r="F78" i="2"/>
  <c r="F77" i="2"/>
  <c r="F76" i="2"/>
  <c r="F75" i="2"/>
  <c r="F74" i="2"/>
  <c r="F73" i="2"/>
  <c r="F72" i="2"/>
  <c r="F71" i="2"/>
  <c r="F70" i="2"/>
  <c r="F69" i="2"/>
  <c r="F68" i="2"/>
  <c r="F67" i="2"/>
  <c r="F66" i="2"/>
  <c r="F65" i="2"/>
  <c r="F64" i="2"/>
  <c r="F63" i="2"/>
  <c r="P62" i="2"/>
  <c r="I62" i="2"/>
  <c r="D54" i="2"/>
  <c r="E54" i="2" s="1"/>
  <c r="F54" i="2" s="1"/>
  <c r="D41" i="2"/>
  <c r="E41" i="2" s="1"/>
  <c r="F41" i="2" s="1"/>
  <c r="I34" i="2"/>
  <c r="F33" i="2"/>
  <c r="F32" i="2" s="1"/>
  <c r="E32" i="2"/>
  <c r="M29" i="2"/>
  <c r="N29" i="2" s="1"/>
  <c r="M28" i="2"/>
  <c r="N28" i="2" s="1"/>
  <c r="N25" i="2"/>
  <c r="M25" i="2"/>
  <c r="L25" i="2"/>
  <c r="K25" i="2"/>
  <c r="J25" i="2"/>
  <c r="I25" i="2"/>
  <c r="H25" i="2"/>
  <c r="G25" i="2"/>
  <c r="F25" i="2"/>
  <c r="E25" i="2"/>
  <c r="D25" i="2"/>
  <c r="C25" i="2"/>
  <c r="K21" i="2"/>
  <c r="L21" i="2" s="1"/>
  <c r="M21" i="2" s="1"/>
  <c r="N21" i="2" s="1"/>
  <c r="K20" i="2"/>
  <c r="L20" i="2" s="1"/>
  <c r="M20" i="2" s="1"/>
  <c r="N20" i="2" s="1"/>
  <c r="K19" i="2"/>
  <c r="L19" i="2" s="1"/>
  <c r="M19" i="2" s="1"/>
  <c r="N19" i="2" s="1"/>
  <c r="N16" i="2"/>
  <c r="M16" i="2"/>
  <c r="L16" i="2"/>
  <c r="K16" i="2"/>
  <c r="J16" i="2"/>
  <c r="I16" i="2"/>
  <c r="H16" i="2"/>
  <c r="G16" i="2"/>
  <c r="F16" i="2"/>
  <c r="E16" i="2"/>
  <c r="D16" i="2"/>
  <c r="C16" i="2"/>
  <c r="C9" i="2"/>
  <c r="C8" i="2"/>
  <c r="C7" i="2"/>
  <c r="A3" i="2"/>
  <c r="A2" i="2"/>
  <c r="C8" i="1"/>
  <c r="E196" i="2" s="1"/>
  <c r="C6" i="1"/>
  <c r="C6" i="1" a="1"/>
  <c r="A3" i="1"/>
  <c r="B53" i="5" l="1"/>
  <c r="B24" i="5"/>
  <c r="E9" i="10"/>
  <c r="P372" i="2"/>
  <c r="P350" i="2"/>
  <c r="P336" i="2"/>
  <c r="P329" i="2"/>
  <c r="P327" i="2"/>
  <c r="P320" i="2"/>
  <c r="P361" i="2"/>
  <c r="P358" i="2"/>
  <c r="P355" i="2"/>
  <c r="P352" i="2"/>
  <c r="P341" i="2"/>
  <c r="P337" i="2"/>
  <c r="P332" i="2"/>
  <c r="P325" i="2"/>
  <c r="P315" i="2"/>
  <c r="P357" i="2"/>
  <c r="P333" i="2"/>
  <c r="P321" i="2"/>
  <c r="P318" i="2"/>
  <c r="P375" i="2"/>
  <c r="P360" i="2"/>
  <c r="P376" i="2"/>
  <c r="P368" i="2"/>
  <c r="P330" i="2"/>
  <c r="P324" i="2"/>
  <c r="P353" i="2"/>
  <c r="P364" i="2"/>
  <c r="P365" i="2"/>
  <c r="P340" i="2"/>
  <c r="P338" i="2"/>
  <c r="P323" i="2"/>
  <c r="P354" i="2"/>
  <c r="P334" i="2"/>
  <c r="P369" i="2"/>
  <c r="P359" i="2"/>
  <c r="P343" i="2"/>
  <c r="P326" i="2"/>
  <c r="P322" i="2"/>
  <c r="P378" i="2"/>
  <c r="P342" i="2"/>
  <c r="P373" i="2"/>
  <c r="P356" i="2"/>
  <c r="P377" i="2"/>
  <c r="P328" i="2"/>
  <c r="P331" i="2"/>
  <c r="P316" i="2"/>
  <c r="P370" i="2"/>
  <c r="P374" i="2"/>
  <c r="P363" i="2"/>
  <c r="P339" i="2"/>
  <c r="P317" i="2"/>
  <c r="P367" i="2"/>
  <c r="P351" i="2"/>
  <c r="P366" i="2"/>
  <c r="P362" i="2"/>
  <c r="P371" i="2"/>
  <c r="P335" i="2"/>
  <c r="G79" i="6"/>
  <c r="H79" i="2"/>
  <c r="H83" i="2"/>
  <c r="H91" i="2"/>
  <c r="H81" i="2"/>
  <c r="H86" i="2"/>
  <c r="H87" i="2"/>
  <c r="H85" i="2"/>
  <c r="H80" i="2"/>
  <c r="H89" i="2"/>
  <c r="H78" i="2"/>
  <c r="H84" i="2"/>
  <c r="H77" i="2"/>
  <c r="I88" i="2"/>
  <c r="H88" i="2"/>
  <c r="I90" i="2"/>
  <c r="H90" i="2"/>
  <c r="H82" i="2"/>
  <c r="H56" i="7"/>
  <c r="H55" i="7"/>
  <c r="G41" i="2"/>
  <c r="H41" i="2" s="1"/>
  <c r="I41" i="2" s="1"/>
  <c r="F7" i="14"/>
  <c r="D6" i="13"/>
  <c r="E6" i="12"/>
  <c r="H7" i="14"/>
  <c r="J7" i="11"/>
  <c r="G7" i="13"/>
  <c r="F7" i="11"/>
  <c r="G7" i="10"/>
  <c r="E7" i="12"/>
  <c r="F7" i="9"/>
  <c r="E7" i="8"/>
  <c r="F112" i="7"/>
  <c r="D6" i="14"/>
  <c r="D6" i="10"/>
  <c r="E7" i="9"/>
  <c r="D7" i="8"/>
  <c r="E112" i="7"/>
  <c r="I7" i="12"/>
  <c r="F7" i="7"/>
  <c r="F7" i="6"/>
  <c r="H7" i="6"/>
  <c r="D6" i="8"/>
  <c r="G7" i="6"/>
  <c r="H7" i="10"/>
  <c r="D111" i="7"/>
  <c r="D6" i="7"/>
  <c r="E7" i="6"/>
  <c r="F7" i="13"/>
  <c r="H7" i="12"/>
  <c r="F6" i="11"/>
  <c r="G7" i="8"/>
  <c r="H7" i="13"/>
  <c r="I7" i="11"/>
  <c r="D112" i="7"/>
  <c r="G7" i="5"/>
  <c r="D7" i="13"/>
  <c r="G7" i="11"/>
  <c r="H7" i="7"/>
  <c r="E6" i="6"/>
  <c r="E7" i="13"/>
  <c r="H7" i="11"/>
  <c r="F7" i="5"/>
  <c r="E7" i="5"/>
  <c r="G7" i="7"/>
  <c r="D7" i="5"/>
  <c r="G7" i="14"/>
  <c r="F7" i="8"/>
  <c r="E7" i="10"/>
  <c r="D6" i="9"/>
  <c r="D7" i="10"/>
  <c r="E7" i="14"/>
  <c r="D6" i="5"/>
  <c r="H112" i="7"/>
  <c r="G112" i="7"/>
  <c r="E7" i="7"/>
  <c r="G7" i="9"/>
  <c r="D52" i="14"/>
  <c r="F7" i="10"/>
  <c r="H7" i="5"/>
  <c r="D7" i="14"/>
  <c r="H7" i="9"/>
  <c r="D7" i="7"/>
  <c r="D7" i="9"/>
  <c r="G7" i="12"/>
  <c r="I7" i="6"/>
  <c r="O90" i="2"/>
  <c r="O80" i="2"/>
  <c r="O88" i="2"/>
  <c r="O84" i="2"/>
  <c r="O77" i="2"/>
  <c r="O79" i="2"/>
  <c r="P82" i="2"/>
  <c r="O82" i="2"/>
  <c r="O89" i="2"/>
  <c r="P86" i="2"/>
  <c r="O86" i="2"/>
  <c r="O81" i="2"/>
  <c r="P90" i="2"/>
  <c r="O83" i="2"/>
  <c r="O78" i="2"/>
  <c r="O87" i="2"/>
  <c r="P80" i="2"/>
  <c r="P91" i="2"/>
  <c r="O91" i="2"/>
  <c r="P79" i="2"/>
  <c r="P83" i="2"/>
  <c r="P85" i="2"/>
  <c r="P78" i="2"/>
  <c r="O85" i="2"/>
  <c r="G54" i="2"/>
  <c r="H54" i="2" s="1"/>
  <c r="I54" i="2" s="1"/>
  <c r="P87" i="2"/>
  <c r="I80" i="2"/>
  <c r="E82" i="6"/>
  <c r="E94" i="6" s="1"/>
  <c r="Q374" i="2"/>
  <c r="P319" i="2"/>
  <c r="H7" i="8"/>
  <c r="K72" i="5"/>
  <c r="E96" i="7"/>
  <c r="E98" i="7" s="1"/>
  <c r="J45" i="8"/>
  <c r="E80" i="5"/>
  <c r="H15" i="11"/>
  <c r="H17" i="11" s="1"/>
  <c r="H24" i="11" s="1"/>
  <c r="F35" i="2"/>
  <c r="C13" i="6"/>
  <c r="B22" i="5"/>
  <c r="K76" i="5"/>
  <c r="E199" i="2"/>
  <c r="D69" i="7"/>
  <c r="J61" i="7"/>
  <c r="D179" i="7"/>
  <c r="E137" i="2"/>
  <c r="F137" i="2" s="1"/>
  <c r="K74" i="5"/>
  <c r="K86" i="5"/>
  <c r="G82" i="6"/>
  <c r="G94" i="6" s="1"/>
  <c r="G33" i="2"/>
  <c r="O314" i="2"/>
  <c r="P314" i="2" s="1"/>
  <c r="Q314" i="2" s="1"/>
  <c r="R314" i="2" s="1"/>
  <c r="S314" i="2" s="1"/>
  <c r="F43" i="7"/>
  <c r="G68" i="7"/>
  <c r="G72" i="7" s="1"/>
  <c r="G74" i="7" s="1"/>
  <c r="D68" i="7"/>
  <c r="Q339" i="2"/>
  <c r="G43" i="7"/>
  <c r="F75" i="6"/>
  <c r="G84" i="7"/>
  <c r="G85" i="7"/>
  <c r="G97" i="7" s="1"/>
  <c r="G104" i="7" s="1"/>
  <c r="G70" i="5" s="1"/>
  <c r="G34" i="2"/>
  <c r="F92" i="7"/>
  <c r="F96" i="7" s="1"/>
  <c r="F98" i="7" s="1"/>
  <c r="F78" i="6"/>
  <c r="F72" i="6"/>
  <c r="F81" i="6" s="1"/>
  <c r="F93" i="6" s="1"/>
  <c r="F47" i="13"/>
  <c r="F66" i="13" s="1"/>
  <c r="D54" i="14"/>
  <c r="D88" i="5" s="1"/>
  <c r="A3" i="15"/>
  <c r="F34" i="2"/>
  <c r="E200" i="2"/>
  <c r="E195" i="2"/>
  <c r="E135" i="2"/>
  <c r="F135" i="2" s="1"/>
  <c r="E36" i="2"/>
  <c r="E34" i="2"/>
  <c r="E131" i="2"/>
  <c r="F131" i="2" s="1"/>
  <c r="B128" i="2"/>
  <c r="F30" i="11"/>
  <c r="B47" i="7"/>
  <c r="L34" i="2"/>
  <c r="J34" i="2"/>
  <c r="E136" i="2"/>
  <c r="F136" i="2" s="1"/>
  <c r="A3" i="16"/>
  <c r="B11" i="7"/>
  <c r="E198" i="2"/>
  <c r="E132" i="2"/>
  <c r="F132" i="2" s="1"/>
  <c r="K34" i="2"/>
  <c r="E203" i="2"/>
  <c r="E35" i="2"/>
  <c r="E197" i="2"/>
  <c r="K78" i="5"/>
  <c r="B15" i="6"/>
  <c r="G7" i="16"/>
  <c r="F7" i="16"/>
  <c r="B7" i="16"/>
  <c r="A8" i="16"/>
  <c r="C15" i="6"/>
  <c r="G75" i="6"/>
  <c r="F174" i="7"/>
  <c r="F176" i="7" s="1"/>
  <c r="F210" i="7" s="1"/>
  <c r="F36" i="2"/>
  <c r="F32" i="11" s="1"/>
  <c r="I84" i="2"/>
  <c r="I79" i="2"/>
  <c r="I83" i="2"/>
  <c r="I91" i="2"/>
  <c r="I87" i="2"/>
  <c r="I81" i="2"/>
  <c r="I86" i="2"/>
  <c r="H78" i="6"/>
  <c r="G174" i="7"/>
  <c r="G176" i="7" s="1"/>
  <c r="G210" i="7" s="1"/>
  <c r="G36" i="2"/>
  <c r="G32" i="11" s="1"/>
  <c r="J62" i="2"/>
  <c r="K85" i="5"/>
  <c r="E43" i="7"/>
  <c r="H84" i="7"/>
  <c r="H85" i="7"/>
  <c r="H97" i="7" s="1"/>
  <c r="I78" i="6"/>
  <c r="H174" i="7"/>
  <c r="H176" i="7" s="1"/>
  <c r="H210" i="7" s="1"/>
  <c r="D20" i="7"/>
  <c r="D19" i="7"/>
  <c r="I77" i="2"/>
  <c r="E201" i="2"/>
  <c r="K87" i="5"/>
  <c r="H68" i="7"/>
  <c r="H72" i="7" s="1"/>
  <c r="E133" i="2"/>
  <c r="F133" i="2" s="1"/>
  <c r="E138" i="2"/>
  <c r="F138" i="2" s="1"/>
  <c r="K83" i="5"/>
  <c r="E75" i="6"/>
  <c r="E79" i="6" s="1"/>
  <c r="H43" i="7"/>
  <c r="D92" i="7"/>
  <c r="J90" i="7"/>
  <c r="I82" i="2"/>
  <c r="E56" i="7"/>
  <c r="E73" i="7" s="1"/>
  <c r="E104" i="7" s="1"/>
  <c r="E70" i="5" s="1"/>
  <c r="E55" i="7"/>
  <c r="E72" i="7" s="1"/>
  <c r="E74" i="7" s="1"/>
  <c r="F69" i="7"/>
  <c r="F73" i="7" s="1"/>
  <c r="E202" i="2"/>
  <c r="G69" i="7"/>
  <c r="J49" i="9"/>
  <c r="J51" i="9"/>
  <c r="J53" i="9"/>
  <c r="H34" i="2"/>
  <c r="I78" i="2"/>
  <c r="I89" i="2"/>
  <c r="K73" i="5"/>
  <c r="K81" i="5"/>
  <c r="I75" i="6"/>
  <c r="G56" i="7"/>
  <c r="G73" i="7" s="1"/>
  <c r="D73" i="7"/>
  <c r="H69" i="7"/>
  <c r="J22" i="8"/>
  <c r="G47" i="13"/>
  <c r="G66" i="13" s="1"/>
  <c r="I66" i="13"/>
  <c r="J80" i="7"/>
  <c r="N339" i="2"/>
  <c r="J84" i="7"/>
  <c r="J59" i="8"/>
  <c r="E85" i="7"/>
  <c r="E97" i="7" s="1"/>
  <c r="D85" i="7"/>
  <c r="K82" i="5"/>
  <c r="P81" i="2"/>
  <c r="Q62" i="2"/>
  <c r="P88" i="2"/>
  <c r="P84" i="2"/>
  <c r="P77" i="2"/>
  <c r="P89" i="2"/>
  <c r="B6" i="16"/>
  <c r="H6" i="16"/>
  <c r="E39" i="7"/>
  <c r="J39" i="7" s="1"/>
  <c r="G92" i="7"/>
  <c r="F56" i="9"/>
  <c r="F45" i="12"/>
  <c r="G69" i="10"/>
  <c r="H45" i="12"/>
  <c r="J36" i="11"/>
  <c r="G63" i="9"/>
  <c r="I36" i="11"/>
  <c r="F63" i="9"/>
  <c r="F36" i="11"/>
  <c r="D76" i="10"/>
  <c r="H92" i="7"/>
  <c r="H96" i="7" s="1"/>
  <c r="H98" i="7" s="1"/>
  <c r="G36" i="11"/>
  <c r="E19" i="11"/>
  <c r="C87" i="9"/>
  <c r="C9" i="15"/>
  <c r="E41" i="11"/>
  <c r="C23" i="14"/>
  <c r="D69" i="12"/>
  <c r="D56" i="12"/>
  <c r="E45" i="11"/>
  <c r="E15" i="11"/>
  <c r="C71" i="9"/>
  <c r="C70" i="8"/>
  <c r="C55" i="8"/>
  <c r="C104" i="7"/>
  <c r="C89" i="7"/>
  <c r="C69" i="7"/>
  <c r="C39" i="7"/>
  <c r="C35" i="7"/>
  <c r="C30" i="7"/>
  <c r="C13" i="7"/>
  <c r="C78" i="5"/>
  <c r="C22" i="14"/>
  <c r="E12" i="11"/>
  <c r="C72" i="10"/>
  <c r="C83" i="9"/>
  <c r="C45" i="8"/>
  <c r="C42" i="8"/>
  <c r="C21" i="8"/>
  <c r="C14" i="8"/>
  <c r="C67" i="8"/>
  <c r="C20" i="8"/>
  <c r="C80" i="7"/>
  <c r="C68" i="7"/>
  <c r="C64" i="7"/>
  <c r="C59" i="7"/>
  <c r="C51" i="7"/>
  <c r="C45" i="7"/>
  <c r="C82" i="5"/>
  <c r="C83" i="5"/>
  <c r="I58" i="6"/>
  <c r="I60" i="6" s="1"/>
  <c r="C15" i="7"/>
  <c r="D55" i="7"/>
  <c r="C60" i="7"/>
  <c r="C18" i="8"/>
  <c r="C49" i="8"/>
  <c r="H36" i="11"/>
  <c r="D40" i="12"/>
  <c r="G56" i="9"/>
  <c r="F74" i="7" l="1"/>
  <c r="F104" i="7"/>
  <c r="F70" i="5" s="1"/>
  <c r="B136" i="2"/>
  <c r="B18" i="8" s="1"/>
  <c r="B76" i="5" s="1"/>
  <c r="B139" i="2"/>
  <c r="B21" i="8" s="1"/>
  <c r="B79" i="5" s="1"/>
  <c r="B135" i="2"/>
  <c r="B17" i="8" s="1"/>
  <c r="B75" i="5" s="1"/>
  <c r="B137" i="2"/>
  <c r="B19" i="8" s="1"/>
  <c r="B77" i="5" s="1"/>
  <c r="B132" i="2"/>
  <c r="B14" i="8" s="1"/>
  <c r="B72" i="5" s="1"/>
  <c r="B134" i="2"/>
  <c r="B16" i="8" s="1"/>
  <c r="B74" i="5" s="1"/>
  <c r="B133" i="2"/>
  <c r="B15" i="8" s="1"/>
  <c r="B73" i="5" s="1"/>
  <c r="B138" i="2"/>
  <c r="B20" i="8" s="1"/>
  <c r="B78" i="5" s="1"/>
  <c r="J68" i="7"/>
  <c r="D72" i="7"/>
  <c r="F5" i="11"/>
  <c r="F27" i="11" s="1"/>
  <c r="F35" i="11"/>
  <c r="G6" i="11"/>
  <c r="F34" i="11"/>
  <c r="F79" i="6"/>
  <c r="O375" i="2"/>
  <c r="O353" i="2"/>
  <c r="O340" i="2"/>
  <c r="O376" i="2"/>
  <c r="O373" i="2"/>
  <c r="O370" i="2"/>
  <c r="O367" i="2"/>
  <c r="O364" i="2"/>
  <c r="O330" i="2"/>
  <c r="O323" i="2"/>
  <c r="O318" i="2"/>
  <c r="O361" i="2"/>
  <c r="O358" i="2"/>
  <c r="O355" i="2"/>
  <c r="O352" i="2"/>
  <c r="O341" i="2"/>
  <c r="O337" i="2"/>
  <c r="O332" i="2"/>
  <c r="O325" i="2"/>
  <c r="O320" i="2"/>
  <c r="O372" i="2"/>
  <c r="O336" i="2"/>
  <c r="O368" i="2"/>
  <c r="O324" i="2"/>
  <c r="O357" i="2"/>
  <c r="O333" i="2"/>
  <c r="O327" i="2"/>
  <c r="O315" i="2"/>
  <c r="O321" i="2"/>
  <c r="O319" i="2"/>
  <c r="O365" i="2"/>
  <c r="O338" i="2"/>
  <c r="O354" i="2"/>
  <c r="O334" i="2"/>
  <c r="O369" i="2"/>
  <c r="O329" i="2"/>
  <c r="O326" i="2"/>
  <c r="O374" i="2"/>
  <c r="O322" i="2"/>
  <c r="O339" i="2"/>
  <c r="O342" i="2"/>
  <c r="O366" i="2"/>
  <c r="O362" i="2"/>
  <c r="O356" i="2"/>
  <c r="O371" i="2"/>
  <c r="O360" i="2"/>
  <c r="O335" i="2"/>
  <c r="O359" i="2"/>
  <c r="O343" i="2"/>
  <c r="O363" i="2"/>
  <c r="O378" i="2"/>
  <c r="O317" i="2"/>
  <c r="O351" i="2"/>
  <c r="O377" i="2"/>
  <c r="O328" i="2"/>
  <c r="O331" i="2"/>
  <c r="O316" i="2"/>
  <c r="O350" i="2"/>
  <c r="J73" i="7"/>
  <c r="S355" i="2"/>
  <c r="S315" i="2"/>
  <c r="S327" i="2"/>
  <c r="S363" i="2"/>
  <c r="S360" i="2"/>
  <c r="S357" i="2"/>
  <c r="S354" i="2"/>
  <c r="S351" i="2"/>
  <c r="S322" i="2"/>
  <c r="S317" i="2"/>
  <c r="S356" i="2"/>
  <c r="S352" i="2"/>
  <c r="S326" i="2"/>
  <c r="S318" i="2"/>
  <c r="S353" i="2"/>
  <c r="S358" i="2"/>
  <c r="S362" i="2"/>
  <c r="S328" i="2"/>
  <c r="S350" i="2"/>
  <c r="S319" i="2"/>
  <c r="S361" i="2"/>
  <c r="S323" i="2"/>
  <c r="S325" i="2"/>
  <c r="S321" i="2"/>
  <c r="S324" i="2"/>
  <c r="S320" i="2"/>
  <c r="S316" i="2"/>
  <c r="S359" i="2"/>
  <c r="M367" i="2"/>
  <c r="M364" i="2"/>
  <c r="M339" i="2"/>
  <c r="M335" i="2"/>
  <c r="M376" i="2"/>
  <c r="M373" i="2"/>
  <c r="M370" i="2"/>
  <c r="M330" i="2"/>
  <c r="M341" i="2"/>
  <c r="M336" i="2"/>
  <c r="M365" i="2"/>
  <c r="M372" i="2"/>
  <c r="M333" i="2"/>
  <c r="M331" i="2"/>
  <c r="M375" i="2"/>
  <c r="M338" i="2"/>
  <c r="M369" i="2"/>
  <c r="M329" i="2"/>
  <c r="M368" i="2"/>
  <c r="M337" i="2"/>
  <c r="M340" i="2"/>
  <c r="M334" i="2"/>
  <c r="M343" i="2"/>
  <c r="M374" i="2"/>
  <c r="M378" i="2"/>
  <c r="M332" i="2"/>
  <c r="M342" i="2"/>
  <c r="M366" i="2"/>
  <c r="M377" i="2"/>
  <c r="M371" i="2"/>
  <c r="G32" i="2"/>
  <c r="H33" i="2"/>
  <c r="J69" i="7"/>
  <c r="E6" i="7"/>
  <c r="D5" i="7"/>
  <c r="F6" i="12"/>
  <c r="E5" i="12"/>
  <c r="E23" i="12" s="1"/>
  <c r="E33" i="12" s="1"/>
  <c r="E36" i="12" s="1"/>
  <c r="E38" i="12"/>
  <c r="J55" i="7"/>
  <c r="Q86" i="2"/>
  <c r="Q76" i="2"/>
  <c r="Q77" i="2"/>
  <c r="Q65" i="2"/>
  <c r="Q69" i="2"/>
  <c r="Q81" i="2"/>
  <c r="Q73" i="2"/>
  <c r="R62" i="2"/>
  <c r="Q87" i="2"/>
  <c r="Q72" i="2"/>
  <c r="Q84" i="2"/>
  <c r="Q82" i="2"/>
  <c r="Q67" i="2"/>
  <c r="Q91" i="2"/>
  <c r="Q70" i="2"/>
  <c r="Q90" i="2"/>
  <c r="Q88" i="2"/>
  <c r="Q74" i="2"/>
  <c r="Q80" i="2"/>
  <c r="Q75" i="2"/>
  <c r="Q66" i="2"/>
  <c r="Q64" i="2"/>
  <c r="Q79" i="2"/>
  <c r="Q68" i="2"/>
  <c r="Q83" i="2"/>
  <c r="Q85" i="2"/>
  <c r="Q78" i="2"/>
  <c r="Q63" i="2"/>
  <c r="Q71" i="2"/>
  <c r="Q89" i="2"/>
  <c r="G96" i="7"/>
  <c r="G98" i="7" s="1"/>
  <c r="Q369" i="2"/>
  <c r="Q361" i="2"/>
  <c r="Q342" i="2"/>
  <c r="Q341" i="2"/>
  <c r="Q337" i="2"/>
  <c r="Q332" i="2"/>
  <c r="Q325" i="2"/>
  <c r="Q320" i="2"/>
  <c r="Q315" i="2"/>
  <c r="Q366" i="2"/>
  <c r="Q376" i="2"/>
  <c r="Q368" i="2"/>
  <c r="Q330" i="2"/>
  <c r="Q327" i="2"/>
  <c r="Q324" i="2"/>
  <c r="Q375" i="2"/>
  <c r="Q364" i="2"/>
  <c r="Q329" i="2"/>
  <c r="Q353" i="2"/>
  <c r="Q321" i="2"/>
  <c r="Q318" i="2"/>
  <c r="Q360" i="2"/>
  <c r="Q371" i="2"/>
  <c r="Q370" i="2"/>
  <c r="Q354" i="2"/>
  <c r="Q334" i="2"/>
  <c r="Q359" i="2"/>
  <c r="Q363" i="2"/>
  <c r="Q378" i="2"/>
  <c r="Q358" i="2"/>
  <c r="Q317" i="2"/>
  <c r="Q373" i="2"/>
  <c r="Q367" i="2"/>
  <c r="Q357" i="2"/>
  <c r="Q356" i="2"/>
  <c r="Q336" i="2"/>
  <c r="Q372" i="2"/>
  <c r="Q328" i="2"/>
  <c r="Q335" i="2"/>
  <c r="Q316" i="2"/>
  <c r="Q350" i="2"/>
  <c r="Q343" i="2"/>
  <c r="Q326" i="2"/>
  <c r="Q322" i="2"/>
  <c r="Q352" i="2"/>
  <c r="Q333" i="2"/>
  <c r="Q351" i="2"/>
  <c r="Q362" i="2"/>
  <c r="Q377" i="2"/>
  <c r="Q331" i="2"/>
  <c r="Q355" i="2"/>
  <c r="Q319" i="2"/>
  <c r="Q340" i="2"/>
  <c r="Q365" i="2"/>
  <c r="Q338" i="2"/>
  <c r="Q323" i="2"/>
  <c r="E6" i="14"/>
  <c r="D5" i="14"/>
  <c r="D18" i="14"/>
  <c r="F82" i="6"/>
  <c r="F94" i="6" s="1"/>
  <c r="D5" i="13"/>
  <c r="E6" i="13"/>
  <c r="F103" i="7"/>
  <c r="F105" i="7" s="1"/>
  <c r="F45" i="7"/>
  <c r="D51" i="14"/>
  <c r="E52" i="14"/>
  <c r="J89" i="2"/>
  <c r="J65" i="2"/>
  <c r="J83" i="2"/>
  <c r="J91" i="2"/>
  <c r="J87" i="2"/>
  <c r="J64" i="2"/>
  <c r="J80" i="2"/>
  <c r="J68" i="2"/>
  <c r="J84" i="2"/>
  <c r="J86" i="2"/>
  <c r="J71" i="2"/>
  <c r="J79" i="2"/>
  <c r="J63" i="2"/>
  <c r="J82" i="2"/>
  <c r="J77" i="2"/>
  <c r="J66" i="2"/>
  <c r="J72" i="2"/>
  <c r="J81" i="2"/>
  <c r="J76" i="2"/>
  <c r="J73" i="2"/>
  <c r="J75" i="2"/>
  <c r="K62" i="2"/>
  <c r="J88" i="2"/>
  <c r="J70" i="2"/>
  <c r="J90" i="2"/>
  <c r="J74" i="2"/>
  <c r="J85" i="2"/>
  <c r="J69" i="2"/>
  <c r="J78" i="2"/>
  <c r="J67" i="2"/>
  <c r="B196" i="2"/>
  <c r="B200" i="2"/>
  <c r="B67" i="8" s="1"/>
  <c r="B84" i="5" s="1"/>
  <c r="B198" i="2"/>
  <c r="B203" i="2"/>
  <c r="B70" i="8" s="1"/>
  <c r="B87" i="5" s="1"/>
  <c r="B201" i="2"/>
  <c r="B68" i="8" s="1"/>
  <c r="B85" i="5" s="1"/>
  <c r="B199" i="2"/>
  <c r="B66" i="8" s="1"/>
  <c r="B83" i="5" s="1"/>
  <c r="B202" i="2"/>
  <c r="B69" i="8" s="1"/>
  <c r="B86" i="5" s="1"/>
  <c r="B197" i="2"/>
  <c r="E6" i="10"/>
  <c r="D5" i="10"/>
  <c r="D67" i="10"/>
  <c r="D97" i="7"/>
  <c r="J97" i="7" s="1"/>
  <c r="J85" i="7"/>
  <c r="J56" i="7"/>
  <c r="E66" i="6"/>
  <c r="F6" i="6"/>
  <c r="E5" i="6"/>
  <c r="E111" i="7"/>
  <c r="D110" i="7"/>
  <c r="D212" i="7" s="1"/>
  <c r="D211" i="7"/>
  <c r="I82" i="6"/>
  <c r="I94" i="6" s="1"/>
  <c r="I79" i="6"/>
  <c r="H82" i="6"/>
  <c r="H94" i="6" s="1"/>
  <c r="H79" i="6"/>
  <c r="N378" i="2"/>
  <c r="N364" i="2"/>
  <c r="N334" i="2"/>
  <c r="N335" i="2"/>
  <c r="N376" i="2"/>
  <c r="N373" i="2"/>
  <c r="N370" i="2"/>
  <c r="N367" i="2"/>
  <c r="N330" i="2"/>
  <c r="N365" i="2"/>
  <c r="N333" i="2"/>
  <c r="N368" i="2"/>
  <c r="N372" i="2"/>
  <c r="N341" i="2"/>
  <c r="N336" i="2"/>
  <c r="N375" i="2"/>
  <c r="N340" i="2"/>
  <c r="N338" i="2"/>
  <c r="N343" i="2"/>
  <c r="N329" i="2"/>
  <c r="N337" i="2"/>
  <c r="N332" i="2"/>
  <c r="N342" i="2"/>
  <c r="N377" i="2"/>
  <c r="N371" i="2"/>
  <c r="N369" i="2"/>
  <c r="N374" i="2"/>
  <c r="N366" i="2"/>
  <c r="N331" i="2"/>
  <c r="G45" i="7"/>
  <c r="E6" i="5"/>
  <c r="D5" i="5"/>
  <c r="G35" i="2"/>
  <c r="D96" i="7"/>
  <c r="J92" i="7"/>
  <c r="K80" i="5"/>
  <c r="J56" i="9"/>
  <c r="E6" i="8"/>
  <c r="D5" i="8"/>
  <c r="D12" i="8"/>
  <c r="H73" i="7"/>
  <c r="H104" i="7" s="1"/>
  <c r="H70" i="5" s="1"/>
  <c r="J20" i="7"/>
  <c r="D44" i="7"/>
  <c r="G8" i="16"/>
  <c r="B8" i="16"/>
  <c r="H8" i="16"/>
  <c r="F8" i="16"/>
  <c r="A9" i="16"/>
  <c r="H103" i="7"/>
  <c r="H105" i="7" s="1"/>
  <c r="H45" i="7"/>
  <c r="D5" i="9"/>
  <c r="D42" i="9"/>
  <c r="D57" i="9" s="1"/>
  <c r="E6" i="9"/>
  <c r="E103" i="7"/>
  <c r="E105" i="7" s="1"/>
  <c r="E45" i="7"/>
  <c r="D43" i="7"/>
  <c r="J19" i="7"/>
  <c r="R358" i="2"/>
  <c r="R322" i="2"/>
  <c r="R315" i="2"/>
  <c r="R320" i="2"/>
  <c r="R327" i="2"/>
  <c r="R361" i="2"/>
  <c r="R353" i="2"/>
  <c r="R321" i="2"/>
  <c r="R318" i="2"/>
  <c r="R360" i="2"/>
  <c r="R356" i="2"/>
  <c r="R359" i="2"/>
  <c r="R326" i="2"/>
  <c r="R351" i="2"/>
  <c r="R328" i="2"/>
  <c r="R316" i="2"/>
  <c r="R350" i="2"/>
  <c r="R323" i="2"/>
  <c r="R363" i="2"/>
  <c r="R352" i="2"/>
  <c r="R317" i="2"/>
  <c r="R357" i="2"/>
  <c r="R325" i="2"/>
  <c r="R362" i="2"/>
  <c r="R324" i="2"/>
  <c r="R355" i="2"/>
  <c r="R319" i="2"/>
  <c r="R354" i="2"/>
  <c r="I15" i="11"/>
  <c r="I17" i="11" s="1"/>
  <c r="I24" i="11" s="1"/>
  <c r="D71" i="5" l="1"/>
  <c r="B58" i="5"/>
  <c r="B29" i="5"/>
  <c r="B16" i="5"/>
  <c r="B45" i="5"/>
  <c r="E42" i="9"/>
  <c r="E57" i="9" s="1"/>
  <c r="E5" i="9"/>
  <c r="F6" i="9"/>
  <c r="B14" i="5"/>
  <c r="B43" i="5"/>
  <c r="D98" i="7"/>
  <c r="J98" i="7" s="1"/>
  <c r="J96" i="7"/>
  <c r="B50" i="5"/>
  <c r="B21" i="5"/>
  <c r="G35" i="11"/>
  <c r="G5" i="11"/>
  <c r="G27" i="11" s="1"/>
  <c r="G34" i="11"/>
  <c r="H6" i="11"/>
  <c r="B46" i="5"/>
  <c r="B17" i="5"/>
  <c r="E12" i="8"/>
  <c r="E71" i="5" s="1"/>
  <c r="E5" i="8"/>
  <c r="F6" i="8"/>
  <c r="B18" i="5"/>
  <c r="B47" i="5"/>
  <c r="F9" i="16"/>
  <c r="G9" i="16"/>
  <c r="B9" i="16"/>
  <c r="H9" i="16"/>
  <c r="A10" i="16"/>
  <c r="F6" i="5"/>
  <c r="E5" i="5"/>
  <c r="H74" i="7"/>
  <c r="E40" i="12"/>
  <c r="E60" i="12" s="1"/>
  <c r="E211" i="7"/>
  <c r="F111" i="7"/>
  <c r="E110" i="7"/>
  <c r="E212" i="7" s="1"/>
  <c r="F6" i="10"/>
  <c r="E5" i="10"/>
  <c r="E67" i="10"/>
  <c r="E51" i="14"/>
  <c r="F52" i="14"/>
  <c r="E54" i="14"/>
  <c r="E88" i="5" s="1"/>
  <c r="E5" i="13"/>
  <c r="F6" i="13"/>
  <c r="F5" i="12"/>
  <c r="F23" i="12" s="1"/>
  <c r="F33" i="12" s="1"/>
  <c r="F36" i="12" s="1"/>
  <c r="G6" i="12"/>
  <c r="F38" i="12"/>
  <c r="H32" i="2"/>
  <c r="I33" i="2"/>
  <c r="H35" i="2"/>
  <c r="H36" i="2"/>
  <c r="H32" i="11" s="1"/>
  <c r="D180" i="7"/>
  <c r="B55" i="5"/>
  <c r="B26" i="5"/>
  <c r="F6" i="7"/>
  <c r="E5" i="7"/>
  <c r="E179" i="7"/>
  <c r="E180" i="7" s="1"/>
  <c r="F37" i="11"/>
  <c r="F41" i="11" s="1"/>
  <c r="E105" i="6"/>
  <c r="E106" i="6" s="1"/>
  <c r="E48" i="12"/>
  <c r="D74" i="7"/>
  <c r="J74" i="7" s="1"/>
  <c r="J72" i="7"/>
  <c r="G103" i="7"/>
  <c r="G105" i="7" s="1"/>
  <c r="B25" i="5"/>
  <c r="B54" i="5"/>
  <c r="K80" i="2"/>
  <c r="K70" i="2"/>
  <c r="K91" i="2"/>
  <c r="K87" i="2"/>
  <c r="K64" i="2"/>
  <c r="K68" i="2"/>
  <c r="K76" i="2"/>
  <c r="K72" i="2"/>
  <c r="K86" i="2"/>
  <c r="K71" i="2"/>
  <c r="K84" i="2"/>
  <c r="K79" i="2"/>
  <c r="K69" i="2"/>
  <c r="K77" i="2"/>
  <c r="K74" i="2"/>
  <c r="K89" i="2"/>
  <c r="K82" i="2"/>
  <c r="K88" i="2"/>
  <c r="K81" i="2"/>
  <c r="K85" i="2"/>
  <c r="K65" i="2"/>
  <c r="K67" i="2"/>
  <c r="K73" i="2"/>
  <c r="K75" i="2"/>
  <c r="L62" i="2"/>
  <c r="K66" i="2"/>
  <c r="K90" i="2"/>
  <c r="K83" i="2"/>
  <c r="K78" i="2"/>
  <c r="K63" i="2"/>
  <c r="B20" i="5"/>
  <c r="B49" i="5"/>
  <c r="B48" i="5"/>
  <c r="B19" i="5"/>
  <c r="J43" i="7"/>
  <c r="D45" i="7"/>
  <c r="J45" i="7" s="1"/>
  <c r="D103" i="7"/>
  <c r="F66" i="6"/>
  <c r="G6" i="6"/>
  <c r="F5" i="6"/>
  <c r="J44" i="7"/>
  <c r="D104" i="7"/>
  <c r="B57" i="5"/>
  <c r="B28" i="5"/>
  <c r="R91" i="2"/>
  <c r="R77" i="2"/>
  <c r="R67" i="2"/>
  <c r="R69" i="2"/>
  <c r="R81" i="2"/>
  <c r="R73" i="2"/>
  <c r="S62" i="2"/>
  <c r="R89" i="2"/>
  <c r="R85" i="2"/>
  <c r="R84" i="2"/>
  <c r="R82" i="2"/>
  <c r="R87" i="2"/>
  <c r="R72" i="2"/>
  <c r="R75" i="2"/>
  <c r="R66" i="2"/>
  <c r="R64" i="2"/>
  <c r="R79" i="2"/>
  <c r="R70" i="2"/>
  <c r="R90" i="2"/>
  <c r="R83" i="2"/>
  <c r="R78" i="2"/>
  <c r="R63" i="2"/>
  <c r="R71" i="2"/>
  <c r="R86" i="2"/>
  <c r="R68" i="2"/>
  <c r="R88" i="2"/>
  <c r="R74" i="2"/>
  <c r="R65" i="2"/>
  <c r="R80" i="2"/>
  <c r="R76" i="2"/>
  <c r="J15" i="11"/>
  <c r="J17" i="11" s="1"/>
  <c r="J24" i="11" s="1"/>
  <c r="B56" i="5"/>
  <c r="B27" i="5"/>
  <c r="E18" i="14"/>
  <c r="F6" i="14"/>
  <c r="E5" i="14"/>
  <c r="B44" i="5"/>
  <c r="B15" i="5"/>
  <c r="F40" i="12" l="1"/>
  <c r="F60" i="12" s="1"/>
  <c r="F18" i="14"/>
  <c r="G6" i="14"/>
  <c r="F5" i="14"/>
  <c r="H6" i="12"/>
  <c r="G38" i="12"/>
  <c r="G5" i="12"/>
  <c r="G6" i="5"/>
  <c r="F5" i="5"/>
  <c r="J103" i="7"/>
  <c r="D105" i="7"/>
  <c r="J105" i="7" s="1"/>
  <c r="F105" i="6"/>
  <c r="F106" i="6" s="1"/>
  <c r="F48" i="12"/>
  <c r="F5" i="13"/>
  <c r="G6" i="13"/>
  <c r="L85" i="2"/>
  <c r="L75" i="2"/>
  <c r="L68" i="2"/>
  <c r="L80" i="2"/>
  <c r="L76" i="2"/>
  <c r="L72" i="2"/>
  <c r="L88" i="2"/>
  <c r="L84" i="2"/>
  <c r="L91" i="2"/>
  <c r="L89" i="2"/>
  <c r="L77" i="2"/>
  <c r="L74" i="2"/>
  <c r="M62" i="2"/>
  <c r="L79" i="2"/>
  <c r="L69" i="2"/>
  <c r="L64" i="2"/>
  <c r="L73" i="2"/>
  <c r="L66" i="2"/>
  <c r="L86" i="2"/>
  <c r="L81" i="2"/>
  <c r="L83" i="2"/>
  <c r="L65" i="2"/>
  <c r="L63" i="2"/>
  <c r="L71" i="2"/>
  <c r="L90" i="2"/>
  <c r="L70" i="2"/>
  <c r="L78" i="2"/>
  <c r="L67" i="2"/>
  <c r="L82" i="2"/>
  <c r="L87" i="2"/>
  <c r="F5" i="8"/>
  <c r="F12" i="8"/>
  <c r="F71" i="5" s="1"/>
  <c r="G6" i="8"/>
  <c r="F39" i="11"/>
  <c r="F43" i="11" s="1"/>
  <c r="F40" i="11"/>
  <c r="D74" i="10"/>
  <c r="D70" i="5"/>
  <c r="J104" i="7"/>
  <c r="F51" i="14"/>
  <c r="G52" i="14"/>
  <c r="F54" i="14"/>
  <c r="F88" i="5" s="1"/>
  <c r="B10" i="16"/>
  <c r="A11" i="16"/>
  <c r="H10" i="16"/>
  <c r="G10" i="16"/>
  <c r="F10" i="16"/>
  <c r="I32" i="2"/>
  <c r="J33" i="2"/>
  <c r="I35" i="2"/>
  <c r="I36" i="2"/>
  <c r="I32" i="11" s="1"/>
  <c r="H35" i="11"/>
  <c r="H34" i="11"/>
  <c r="H5" i="11"/>
  <c r="H27" i="11" s="1"/>
  <c r="I6" i="11"/>
  <c r="S82" i="2"/>
  <c r="S72" i="2"/>
  <c r="S81" i="2"/>
  <c r="S73" i="2"/>
  <c r="T62" i="2"/>
  <c r="S89" i="2"/>
  <c r="S85" i="2"/>
  <c r="S78" i="2"/>
  <c r="S66" i="2"/>
  <c r="S67" i="2"/>
  <c r="S80" i="2"/>
  <c r="S70" i="2"/>
  <c r="S87" i="2"/>
  <c r="S77" i="2"/>
  <c r="S90" i="2"/>
  <c r="S75" i="2"/>
  <c r="S86" i="2"/>
  <c r="S88" i="2"/>
  <c r="C6" i="2" s="1"/>
  <c r="S63" i="2"/>
  <c r="S76" i="2"/>
  <c r="S64" i="2"/>
  <c r="S84" i="2"/>
  <c r="S79" i="2"/>
  <c r="S68" i="2"/>
  <c r="S83" i="2"/>
  <c r="S74" i="2"/>
  <c r="S65" i="2"/>
  <c r="S71" i="2"/>
  <c r="S69" i="2"/>
  <c r="S91" i="2"/>
  <c r="F5" i="7"/>
  <c r="G6" i="7"/>
  <c r="F179" i="7"/>
  <c r="F180" i="7" s="1"/>
  <c r="F67" i="10"/>
  <c r="G6" i="10"/>
  <c r="F5" i="10"/>
  <c r="G37" i="11"/>
  <c r="G41" i="11" s="1"/>
  <c r="F42" i="9"/>
  <c r="F57" i="9" s="1"/>
  <c r="F5" i="9"/>
  <c r="G6" i="9"/>
  <c r="H6" i="6"/>
  <c r="G66" i="6"/>
  <c r="G5" i="6"/>
  <c r="G111" i="7"/>
  <c r="F211" i="7"/>
  <c r="F110" i="7"/>
  <c r="F212" i="7" s="1"/>
  <c r="T63" i="2" l="1"/>
  <c r="T66" i="2"/>
  <c r="T74" i="2"/>
  <c r="T70" i="2"/>
  <c r="T75" i="2"/>
  <c r="T65" i="2"/>
  <c r="T72" i="2"/>
  <c r="T64" i="2"/>
  <c r="T76" i="2"/>
  <c r="T69" i="2"/>
  <c r="T68" i="2"/>
  <c r="U62" i="2"/>
  <c r="T67" i="2"/>
  <c r="T71" i="2"/>
  <c r="T73" i="2"/>
  <c r="G5" i="7"/>
  <c r="H6" i="7"/>
  <c r="I31" i="7" s="1"/>
  <c r="G179" i="7"/>
  <c r="I72" i="7"/>
  <c r="I39" i="7"/>
  <c r="K33" i="2"/>
  <c r="J32" i="2"/>
  <c r="J35" i="2"/>
  <c r="J36" i="2"/>
  <c r="J32" i="11" s="1"/>
  <c r="K70" i="5"/>
  <c r="H38" i="12"/>
  <c r="I6" i="12"/>
  <c r="H5" i="12"/>
  <c r="I26" i="7"/>
  <c r="H6" i="14"/>
  <c r="G18" i="14"/>
  <c r="G5" i="14"/>
  <c r="G211" i="7"/>
  <c r="H111" i="7"/>
  <c r="G110" i="7"/>
  <c r="G212" i="7" s="1"/>
  <c r="G39" i="11"/>
  <c r="G43" i="11" s="1"/>
  <c r="G40" i="11"/>
  <c r="E74" i="10"/>
  <c r="B11" i="16"/>
  <c r="G11" i="16"/>
  <c r="F11" i="16"/>
  <c r="H11" i="16"/>
  <c r="A12" i="16"/>
  <c r="M66" i="2"/>
  <c r="M76" i="2"/>
  <c r="M72" i="2"/>
  <c r="M65" i="2"/>
  <c r="M69" i="2"/>
  <c r="M64" i="2"/>
  <c r="M74" i="2"/>
  <c r="N62" i="2"/>
  <c r="M71" i="2"/>
  <c r="M73" i="2"/>
  <c r="M75" i="2"/>
  <c r="M68" i="2"/>
  <c r="M70" i="2"/>
  <c r="M67" i="2"/>
  <c r="M63" i="2"/>
  <c r="G5" i="13"/>
  <c r="H6" i="13"/>
  <c r="H5" i="13" s="1"/>
  <c r="I5" i="11"/>
  <c r="I27" i="11" s="1"/>
  <c r="I35" i="11"/>
  <c r="I34" i="11"/>
  <c r="J6" i="11"/>
  <c r="G5" i="10"/>
  <c r="G67" i="10"/>
  <c r="H6" i="10"/>
  <c r="I6" i="6"/>
  <c r="H66" i="6"/>
  <c r="H5" i="6"/>
  <c r="H37" i="11"/>
  <c r="H41" i="11" s="1"/>
  <c r="H52" i="14"/>
  <c r="G51" i="14"/>
  <c r="G54" i="14"/>
  <c r="G88" i="5" s="1"/>
  <c r="D96" i="5"/>
  <c r="F44" i="11"/>
  <c r="D69" i="5" s="1"/>
  <c r="G5" i="5"/>
  <c r="H6" i="5"/>
  <c r="D77" i="9"/>
  <c r="F45" i="11"/>
  <c r="G42" i="9"/>
  <c r="G57" i="9" s="1"/>
  <c r="G5" i="9"/>
  <c r="H6" i="9"/>
  <c r="I52" i="9" s="1"/>
  <c r="I61" i="7"/>
  <c r="G5" i="8"/>
  <c r="H6" i="8"/>
  <c r="I43" i="8" s="1"/>
  <c r="G12" i="8"/>
  <c r="G71" i="5" s="1"/>
  <c r="G23" i="12"/>
  <c r="G33" i="12" s="1"/>
  <c r="G36" i="12" s="1"/>
  <c r="G40" i="12" s="1"/>
  <c r="G60" i="12" s="1"/>
  <c r="H5" i="5" l="1"/>
  <c r="J85" i="5"/>
  <c r="J70" i="5"/>
  <c r="J76" i="5"/>
  <c r="J74" i="5"/>
  <c r="J84" i="5"/>
  <c r="J81" i="5"/>
  <c r="J71" i="5"/>
  <c r="J80" i="5"/>
  <c r="J86" i="5"/>
  <c r="J83" i="5"/>
  <c r="J73" i="5"/>
  <c r="J77" i="5"/>
  <c r="J82" i="5"/>
  <c r="J88" i="5"/>
  <c r="J72" i="5"/>
  <c r="J79" i="5"/>
  <c r="J75" i="5"/>
  <c r="J78" i="5"/>
  <c r="J87" i="5"/>
  <c r="I37" i="11"/>
  <c r="I41" i="11" s="1"/>
  <c r="I23" i="7"/>
  <c r="I104" i="7"/>
  <c r="N71" i="2"/>
  <c r="N65" i="2"/>
  <c r="N69" i="2"/>
  <c r="N74" i="2"/>
  <c r="N67" i="2"/>
  <c r="N73" i="2"/>
  <c r="N66" i="2"/>
  <c r="N70" i="2"/>
  <c r="N68" i="2"/>
  <c r="N72" i="2"/>
  <c r="N76" i="2"/>
  <c r="N75" i="2"/>
  <c r="N64" i="2"/>
  <c r="N63" i="2"/>
  <c r="I64" i="7"/>
  <c r="D89" i="5"/>
  <c r="D11" i="5"/>
  <c r="E96" i="5"/>
  <c r="G44" i="11"/>
  <c r="E69" i="5" s="1"/>
  <c r="I103" i="7"/>
  <c r="I35" i="7"/>
  <c r="G105" i="6"/>
  <c r="G106" i="6" s="1"/>
  <c r="G48" i="12"/>
  <c r="D17" i="5"/>
  <c r="D24" i="5"/>
  <c r="D19" i="5"/>
  <c r="D26" i="5"/>
  <c r="D28" i="5"/>
  <c r="D21" i="5"/>
  <c r="D18" i="5"/>
  <c r="D14" i="5"/>
  <c r="D25" i="5"/>
  <c r="D23" i="5"/>
  <c r="D16" i="5"/>
  <c r="D20" i="5"/>
  <c r="D29" i="5"/>
  <c r="D15" i="5"/>
  <c r="D22" i="5"/>
  <c r="D27" i="5"/>
  <c r="D30" i="5"/>
  <c r="D13" i="5"/>
  <c r="G45" i="11"/>
  <c r="E77" i="9"/>
  <c r="L33" i="2"/>
  <c r="K32" i="2"/>
  <c r="K35" i="2"/>
  <c r="K36" i="2"/>
  <c r="I69" i="7"/>
  <c r="I73" i="7"/>
  <c r="I57" i="8"/>
  <c r="H23" i="12"/>
  <c r="H33" i="12" s="1"/>
  <c r="H36" i="12" s="1"/>
  <c r="I66" i="7"/>
  <c r="I20" i="7"/>
  <c r="I13" i="7"/>
  <c r="I14" i="8"/>
  <c r="H211" i="7"/>
  <c r="H110" i="7"/>
  <c r="H212" i="7" s="1"/>
  <c r="I5" i="12"/>
  <c r="I23" i="12" s="1"/>
  <c r="I33" i="12" s="1"/>
  <c r="I36" i="12" s="1"/>
  <c r="I38" i="12"/>
  <c r="I98" i="7"/>
  <c r="I78" i="7"/>
  <c r="I19" i="7"/>
  <c r="I66" i="6"/>
  <c r="I5" i="6"/>
  <c r="H51" i="14"/>
  <c r="H54" i="14"/>
  <c r="H88" i="5" s="1"/>
  <c r="H40" i="12"/>
  <c r="H60" i="12" s="1"/>
  <c r="I60" i="7"/>
  <c r="I25" i="7"/>
  <c r="I14" i="7"/>
  <c r="I15" i="7" s="1"/>
  <c r="I50" i="7"/>
  <c r="I29" i="7"/>
  <c r="I88" i="7"/>
  <c r="I24" i="7"/>
  <c r="H12" i="8"/>
  <c r="H71" i="5" s="1"/>
  <c r="K71" i="5" s="1"/>
  <c r="H5" i="8"/>
  <c r="I56" i="8"/>
  <c r="I55" i="8"/>
  <c r="I70" i="8"/>
  <c r="I68" i="8"/>
  <c r="I16" i="8"/>
  <c r="I58" i="8"/>
  <c r="I44" i="8"/>
  <c r="I59" i="8"/>
  <c r="I20" i="8"/>
  <c r="I41" i="8"/>
  <c r="I15" i="8"/>
  <c r="I67" i="8"/>
  <c r="I18" i="8"/>
  <c r="I17" i="8"/>
  <c r="I45" i="8"/>
  <c r="I42" i="8"/>
  <c r="I66" i="8"/>
  <c r="I22" i="8"/>
  <c r="I21" i="8"/>
  <c r="I19" i="8"/>
  <c r="I69" i="8"/>
  <c r="I49" i="7"/>
  <c r="I56" i="7"/>
  <c r="I65" i="7"/>
  <c r="I96" i="7"/>
  <c r="I30" i="7"/>
  <c r="I55" i="7"/>
  <c r="H5" i="7"/>
  <c r="H179" i="7"/>
  <c r="H180" i="7" s="1"/>
  <c r="I74" i="7"/>
  <c r="I59" i="7"/>
  <c r="I45" i="7"/>
  <c r="I28" i="7"/>
  <c r="I27" i="7"/>
  <c r="I44" i="7"/>
  <c r="I105" i="7"/>
  <c r="I97" i="7"/>
  <c r="I79" i="7"/>
  <c r="H42" i="9"/>
  <c r="H57" i="9" s="1"/>
  <c r="J57" i="9" s="1"/>
  <c r="H5" i="9"/>
  <c r="I49" i="9"/>
  <c r="I56" i="9"/>
  <c r="I57" i="9"/>
  <c r="I54" i="9"/>
  <c r="I51" i="9"/>
  <c r="I47" i="9"/>
  <c r="I50" i="9"/>
  <c r="I48" i="9"/>
  <c r="H67" i="10"/>
  <c r="H5" i="10"/>
  <c r="A13" i="16"/>
  <c r="H12" i="16"/>
  <c r="F12" i="16"/>
  <c r="B12" i="16"/>
  <c r="G12" i="16"/>
  <c r="I37" i="7"/>
  <c r="I89" i="7"/>
  <c r="I68" i="7"/>
  <c r="I71" i="8"/>
  <c r="I85" i="7"/>
  <c r="I43" i="7"/>
  <c r="H40" i="11"/>
  <c r="F74" i="10"/>
  <c r="H39" i="11"/>
  <c r="H43" i="11" s="1"/>
  <c r="D12" i="5"/>
  <c r="I84" i="7"/>
  <c r="I32" i="7"/>
  <c r="I36" i="7"/>
  <c r="U68" i="2"/>
  <c r="U66" i="2"/>
  <c r="U74" i="2"/>
  <c r="U70" i="2"/>
  <c r="U72" i="2"/>
  <c r="U75" i="2"/>
  <c r="U65" i="2"/>
  <c r="U63" i="2"/>
  <c r="U76" i="2"/>
  <c r="U67" i="2"/>
  <c r="U71" i="2"/>
  <c r="U69" i="2"/>
  <c r="U73" i="2"/>
  <c r="U64" i="2"/>
  <c r="I53" i="9"/>
  <c r="J5" i="11"/>
  <c r="J27" i="11" s="1"/>
  <c r="J35" i="11"/>
  <c r="J34" i="11"/>
  <c r="I90" i="7"/>
  <c r="H18" i="14"/>
  <c r="H5" i="14"/>
  <c r="I92" i="7"/>
  <c r="I40" i="7"/>
  <c r="G180" i="7"/>
  <c r="K88" i="5"/>
  <c r="H45" i="11" l="1"/>
  <c r="F77" i="9"/>
  <c r="I51" i="7"/>
  <c r="H48" i="12"/>
  <c r="H105" i="6"/>
  <c r="H106" i="6" s="1"/>
  <c r="E11" i="5"/>
  <c r="E89" i="5"/>
  <c r="E27" i="5"/>
  <c r="E23" i="5"/>
  <c r="E21" i="5"/>
  <c r="E17" i="5"/>
  <c r="E26" i="5"/>
  <c r="E19" i="5"/>
  <c r="E28" i="5"/>
  <c r="E16" i="5"/>
  <c r="E29" i="5"/>
  <c r="E24" i="5"/>
  <c r="E14" i="5"/>
  <c r="E15" i="5"/>
  <c r="E25" i="5"/>
  <c r="E20" i="5"/>
  <c r="E18" i="5"/>
  <c r="E22" i="5"/>
  <c r="E12" i="5"/>
  <c r="E30" i="5"/>
  <c r="E13" i="5"/>
  <c r="F96" i="5"/>
  <c r="H44" i="11"/>
  <c r="F69" i="5" s="1"/>
  <c r="I12" i="8"/>
  <c r="G13" i="16"/>
  <c r="B13" i="16"/>
  <c r="H13" i="16"/>
  <c r="F13" i="16"/>
  <c r="A14" i="16"/>
  <c r="D31" i="5"/>
  <c r="J37" i="11"/>
  <c r="J41" i="11" s="1"/>
  <c r="I80" i="7"/>
  <c r="I40" i="12"/>
  <c r="I60" i="12" s="1"/>
  <c r="I48" i="12"/>
  <c r="I105" i="6"/>
  <c r="I106" i="6" s="1"/>
  <c r="L32" i="2"/>
  <c r="L36" i="2"/>
  <c r="L35" i="2"/>
  <c r="J12" i="8"/>
  <c r="I40" i="11"/>
  <c r="G74" i="10"/>
  <c r="I39" i="11"/>
  <c r="I43" i="11" s="1"/>
  <c r="A15" i="16" l="1"/>
  <c r="G14" i="16"/>
  <c r="B14" i="16"/>
  <c r="F14" i="16"/>
  <c r="H14" i="16"/>
  <c r="G96" i="5"/>
  <c r="I44" i="11"/>
  <c r="G69" i="5" s="1"/>
  <c r="E31" i="5"/>
  <c r="H74" i="10"/>
  <c r="J40" i="11"/>
  <c r="J39" i="11"/>
  <c r="J43" i="11" s="1"/>
  <c r="F11" i="5"/>
  <c r="F89" i="5"/>
  <c r="G77" i="9"/>
  <c r="F21" i="5"/>
  <c r="F29" i="5"/>
  <c r="F24" i="5"/>
  <c r="F17" i="5"/>
  <c r="F16" i="5"/>
  <c r="F28" i="5"/>
  <c r="F18" i="5"/>
  <c r="F26" i="5"/>
  <c r="F15" i="5"/>
  <c r="F14" i="5"/>
  <c r="F20" i="5"/>
  <c r="F25" i="5"/>
  <c r="F23" i="5"/>
  <c r="F27" i="5"/>
  <c r="F19" i="5"/>
  <c r="F22" i="5"/>
  <c r="F12" i="5"/>
  <c r="F30" i="5"/>
  <c r="F13" i="5"/>
  <c r="G11" i="5" l="1"/>
  <c r="G89" i="5"/>
  <c r="K11" i="5"/>
  <c r="G21" i="5"/>
  <c r="G15" i="5"/>
  <c r="G26" i="5"/>
  <c r="G28" i="5"/>
  <c r="G25" i="5"/>
  <c r="G18" i="5"/>
  <c r="G14" i="5"/>
  <c r="G17" i="5"/>
  <c r="G24" i="5"/>
  <c r="G22" i="5"/>
  <c r="G19" i="5"/>
  <c r="G16" i="5"/>
  <c r="G29" i="5"/>
  <c r="G20" i="5"/>
  <c r="G23" i="5"/>
  <c r="G27" i="5"/>
  <c r="G12" i="5"/>
  <c r="G30" i="5"/>
  <c r="G13" i="5"/>
  <c r="J22" i="5"/>
  <c r="J26" i="5"/>
  <c r="J25" i="5"/>
  <c r="K18" i="5"/>
  <c r="J20" i="5"/>
  <c r="K15" i="5"/>
  <c r="F31" i="5"/>
  <c r="K28" i="5"/>
  <c r="I45" i="11"/>
  <c r="G15" i="16"/>
  <c r="B15" i="16"/>
  <c r="H15" i="16"/>
  <c r="F15" i="16"/>
  <c r="A16" i="16"/>
  <c r="H77" i="9"/>
  <c r="H96" i="5"/>
  <c r="J44" i="11"/>
  <c r="H69" i="5" s="1"/>
  <c r="K13" i="5"/>
  <c r="J11" i="5"/>
  <c r="H89" i="5" l="1"/>
  <c r="H11" i="5"/>
  <c r="H17" i="5"/>
  <c r="H26" i="5"/>
  <c r="H27" i="5"/>
  <c r="H20" i="5"/>
  <c r="H23" i="5"/>
  <c r="H25" i="5"/>
  <c r="H18" i="5"/>
  <c r="H21" i="5"/>
  <c r="H14" i="5"/>
  <c r="H28" i="5"/>
  <c r="H19" i="5"/>
  <c r="H29" i="5"/>
  <c r="H16" i="5"/>
  <c r="H22" i="5"/>
  <c r="H15" i="5"/>
  <c r="H24" i="5"/>
  <c r="H12" i="5"/>
  <c r="J19" i="5"/>
  <c r="J12" i="5"/>
  <c r="J31" i="5" s="1"/>
  <c r="H30" i="5"/>
  <c r="H13" i="5"/>
  <c r="J27" i="5"/>
  <c r="J16" i="5"/>
  <c r="K26" i="5"/>
  <c r="J21" i="5"/>
  <c r="K19" i="5"/>
  <c r="J29" i="5"/>
  <c r="K20" i="5"/>
  <c r="K23" i="5"/>
  <c r="J28" i="5"/>
  <c r="J14" i="5"/>
  <c r="J13" i="5"/>
  <c r="J23" i="5"/>
  <c r="J15" i="5"/>
  <c r="K12" i="5"/>
  <c r="K31" i="5" s="1"/>
  <c r="J17" i="5"/>
  <c r="J18" i="5"/>
  <c r="K16" i="5"/>
  <c r="J24" i="5"/>
  <c r="K17" i="5"/>
  <c r="K21" i="5"/>
  <c r="K22" i="5"/>
  <c r="K27" i="5"/>
  <c r="K30" i="5"/>
  <c r="K14" i="5"/>
  <c r="K29" i="5"/>
  <c r="J45" i="11"/>
  <c r="K69" i="5"/>
  <c r="K89" i="5" s="1"/>
  <c r="K24" i="5"/>
  <c r="A17" i="16"/>
  <c r="H16" i="16"/>
  <c r="G16" i="16"/>
  <c r="F16" i="16"/>
  <c r="B16" i="16"/>
  <c r="G31" i="5"/>
  <c r="J30" i="5"/>
  <c r="K25" i="5"/>
  <c r="J69" i="5"/>
  <c r="J89" i="5" s="1"/>
  <c r="B17" i="16" l="1"/>
  <c r="G17" i="16"/>
  <c r="F17" i="16"/>
  <c r="A18" i="16"/>
  <c r="H17" i="16"/>
  <c r="H31" i="5"/>
  <c r="G18" i="16" l="1"/>
  <c r="B18" i="16"/>
  <c r="A19" i="16"/>
  <c r="H18" i="16"/>
  <c r="F18" i="16"/>
  <c r="F19" i="16" l="1"/>
  <c r="B19" i="16"/>
  <c r="A20" i="16"/>
  <c r="H19" i="16"/>
  <c r="G19" i="16"/>
  <c r="B20" i="16" l="1"/>
  <c r="A21" i="16"/>
  <c r="G20" i="16"/>
  <c r="F20" i="16"/>
  <c r="H20" i="16"/>
  <c r="B21" i="16" l="1"/>
  <c r="H21" i="16"/>
  <c r="A22" i="16"/>
  <c r="F21" i="16"/>
  <c r="G21" i="16"/>
  <c r="G22" i="16" l="1"/>
  <c r="H22" i="16"/>
  <c r="A23" i="16"/>
  <c r="F22" i="16"/>
  <c r="B22" i="16"/>
  <c r="B23" i="16" l="1"/>
  <c r="F23" i="16"/>
  <c r="A24" i="16"/>
  <c r="G23" i="16"/>
  <c r="H23" i="16"/>
  <c r="B24" i="16" l="1"/>
  <c r="G24" i="16"/>
  <c r="A25" i="16"/>
  <c r="H24" i="16"/>
  <c r="F24" i="16"/>
  <c r="B25" i="16" l="1"/>
  <c r="H25" i="16"/>
  <c r="G25" i="16"/>
  <c r="F25" i="16"/>
  <c r="A26" i="16"/>
  <c r="B26" i="16" l="1"/>
  <c r="A27" i="16"/>
  <c r="G26" i="16"/>
  <c r="F26" i="16"/>
  <c r="H26" i="16"/>
  <c r="G27" i="16" l="1"/>
  <c r="B27" i="16"/>
  <c r="H27" i="16"/>
  <c r="A28" i="16"/>
  <c r="F27" i="16"/>
  <c r="D21" i="10"/>
  <c r="D40" i="10" l="1"/>
  <c r="A29" i="16"/>
  <c r="G28" i="16"/>
  <c r="B28" i="16"/>
  <c r="F28" i="16"/>
  <c r="H28" i="16"/>
  <c r="E21" i="10"/>
  <c r="E40" i="10" l="1"/>
  <c r="D42" i="10"/>
  <c r="G29" i="16"/>
  <c r="B29" i="16"/>
  <c r="F29" i="16"/>
  <c r="A30" i="16"/>
  <c r="H29" i="16"/>
  <c r="D29" i="9" l="1"/>
  <c r="E96" i="6"/>
  <c r="A31" i="16"/>
  <c r="F30" i="16"/>
  <c r="H30" i="16"/>
  <c r="G30" i="16"/>
  <c r="B30" i="16"/>
  <c r="D59" i="10"/>
  <c r="D46" i="10"/>
  <c r="E42" i="10"/>
  <c r="F21" i="10"/>
  <c r="F40" i="10" l="1"/>
  <c r="E45" i="10"/>
  <c r="D65" i="10"/>
  <c r="E99" i="6"/>
  <c r="E109" i="6" s="1"/>
  <c r="D31" i="9"/>
  <c r="E46" i="10"/>
  <c r="F45" i="10" s="1"/>
  <c r="E59" i="10"/>
  <c r="B31" i="16"/>
  <c r="F31" i="16"/>
  <c r="A32" i="16"/>
  <c r="H31" i="16"/>
  <c r="G31" i="16"/>
  <c r="E108" i="6"/>
  <c r="E110" i="6" s="1"/>
  <c r="A33" i="16" l="1"/>
  <c r="H32" i="16"/>
  <c r="G32" i="16"/>
  <c r="F32" i="16"/>
  <c r="B32" i="16"/>
  <c r="D34" i="9"/>
  <c r="D40" i="9"/>
  <c r="D68" i="10"/>
  <c r="D66" i="10"/>
  <c r="E65" i="10"/>
  <c r="E100" i="6"/>
  <c r="F42" i="10"/>
  <c r="E29" i="9" l="1"/>
  <c r="F96" i="6"/>
  <c r="E46" i="12"/>
  <c r="D73" i="10"/>
  <c r="D97" i="5" s="1"/>
  <c r="D72" i="10"/>
  <c r="D75" i="10" s="1"/>
  <c r="D70" i="10"/>
  <c r="G21" i="10"/>
  <c r="F59" i="10"/>
  <c r="F46" i="10"/>
  <c r="G33" i="16"/>
  <c r="A34" i="16"/>
  <c r="B33" i="16"/>
  <c r="H33" i="16"/>
  <c r="F33" i="16"/>
  <c r="E68" i="10"/>
  <c r="E66" i="10"/>
  <c r="D66" i="9"/>
  <c r="D44" i="9"/>
  <c r="A35" i="16" l="1"/>
  <c r="F34" i="16"/>
  <c r="H34" i="16"/>
  <c r="G34" i="16"/>
  <c r="B34" i="16"/>
  <c r="G40" i="10"/>
  <c r="G45" i="10"/>
  <c r="F65" i="10"/>
  <c r="H21" i="10"/>
  <c r="G96" i="6"/>
  <c r="F29" i="9"/>
  <c r="D83" i="9"/>
  <c r="D64" i="9"/>
  <c r="D77" i="10"/>
  <c r="D57" i="5"/>
  <c r="D48" i="5"/>
  <c r="D55" i="5"/>
  <c r="D58" i="5"/>
  <c r="D47" i="5"/>
  <c r="D53" i="5"/>
  <c r="D50" i="5"/>
  <c r="D46" i="5"/>
  <c r="D51" i="5"/>
  <c r="D54" i="5"/>
  <c r="D45" i="5"/>
  <c r="D52" i="5"/>
  <c r="D56" i="5"/>
  <c r="D43" i="5"/>
  <c r="D44" i="5"/>
  <c r="D49" i="5"/>
  <c r="D59" i="5"/>
  <c r="D42" i="5"/>
  <c r="D41" i="5"/>
  <c r="D40" i="5"/>
  <c r="F46" i="12"/>
  <c r="E73" i="10"/>
  <c r="E97" i="5" s="1"/>
  <c r="E72" i="10"/>
  <c r="E75" i="10" s="1"/>
  <c r="E70" i="10"/>
  <c r="F100" i="6"/>
  <c r="F108" i="6"/>
  <c r="F110" i="6" s="1"/>
  <c r="F99" i="6"/>
  <c r="F109" i="6" s="1"/>
  <c r="E31" i="9"/>
  <c r="H40" i="10" l="1"/>
  <c r="E55" i="5"/>
  <c r="E47" i="5"/>
  <c r="E57" i="5"/>
  <c r="E50" i="5"/>
  <c r="E45" i="5"/>
  <c r="E48" i="5"/>
  <c r="E58" i="5"/>
  <c r="E53" i="5"/>
  <c r="E46" i="5"/>
  <c r="E54" i="5"/>
  <c r="E43" i="5"/>
  <c r="E44" i="5"/>
  <c r="E56" i="5"/>
  <c r="E49" i="5"/>
  <c r="E52" i="5"/>
  <c r="E51" i="5"/>
  <c r="E41" i="5"/>
  <c r="E59" i="5"/>
  <c r="E42" i="5"/>
  <c r="E40" i="5"/>
  <c r="D67" i="9"/>
  <c r="D68" i="9" s="1"/>
  <c r="D70" i="9" s="1"/>
  <c r="D71" i="9"/>
  <c r="B35" i="16"/>
  <c r="F35" i="16"/>
  <c r="A36" i="16"/>
  <c r="H35" i="16"/>
  <c r="G35" i="16"/>
  <c r="G42" i="10"/>
  <c r="E64" i="9"/>
  <c r="E77" i="10"/>
  <c r="E40" i="9"/>
  <c r="E34" i="9"/>
  <c r="E66" i="12"/>
  <c r="G99" i="6"/>
  <c r="G109" i="6" s="1"/>
  <c r="F31" i="9"/>
  <c r="G108" i="6"/>
  <c r="G110" i="6" s="1"/>
  <c r="D60" i="5"/>
  <c r="F68" i="10"/>
  <c r="F66" i="10"/>
  <c r="E66" i="9" l="1"/>
  <c r="E67" i="9" s="1"/>
  <c r="E44" i="9"/>
  <c r="D85" i="9"/>
  <c r="E60" i="5"/>
  <c r="G29" i="9"/>
  <c r="H96" i="6"/>
  <c r="E71" i="9"/>
  <c r="G46" i="12"/>
  <c r="F73" i="10"/>
  <c r="F97" i="5" s="1"/>
  <c r="F72" i="10"/>
  <c r="F75" i="10" s="1"/>
  <c r="F70" i="10"/>
  <c r="E67" i="12"/>
  <c r="G46" i="10"/>
  <c r="G59" i="10"/>
  <c r="F40" i="9"/>
  <c r="F34" i="9"/>
  <c r="G36" i="16"/>
  <c r="A37" i="16"/>
  <c r="H36" i="16"/>
  <c r="F36" i="16"/>
  <c r="B36" i="16"/>
  <c r="H42" i="10"/>
  <c r="G100" i="6"/>
  <c r="F45" i="5" l="1"/>
  <c r="F43" i="5"/>
  <c r="F44" i="5"/>
  <c r="F46" i="5"/>
  <c r="F55" i="5"/>
  <c r="F48" i="5"/>
  <c r="F53" i="5"/>
  <c r="F52" i="5"/>
  <c r="F58" i="5"/>
  <c r="F57" i="5"/>
  <c r="F47" i="5"/>
  <c r="F54" i="5"/>
  <c r="F49" i="5"/>
  <c r="F56" i="5"/>
  <c r="F50" i="5"/>
  <c r="F51" i="5"/>
  <c r="F41" i="5"/>
  <c r="F59" i="5"/>
  <c r="F42" i="5"/>
  <c r="F40" i="5"/>
  <c r="B37" i="16"/>
  <c r="A38" i="16"/>
  <c r="H37" i="16"/>
  <c r="F37" i="16"/>
  <c r="G37" i="16"/>
  <c r="H108" i="6"/>
  <c r="F66" i="9"/>
  <c r="F44" i="9"/>
  <c r="F83" i="9" s="1"/>
  <c r="D90" i="5"/>
  <c r="E68" i="12"/>
  <c r="D87" i="9"/>
  <c r="H99" i="6"/>
  <c r="H109" i="6" s="1"/>
  <c r="G31" i="9"/>
  <c r="H45" i="10"/>
  <c r="G65" i="10"/>
  <c r="E83" i="9"/>
  <c r="E68" i="9"/>
  <c r="E70" i="9" s="1"/>
  <c r="H46" i="10"/>
  <c r="H59" i="10"/>
  <c r="F64" i="9"/>
  <c r="F77" i="10"/>
  <c r="H65" i="10" l="1"/>
  <c r="H66" i="10" s="1"/>
  <c r="G34" i="9"/>
  <c r="B38" i="16"/>
  <c r="G38" i="16"/>
  <c r="A39" i="16"/>
  <c r="F38" i="16"/>
  <c r="H38" i="16"/>
  <c r="D91" i="5"/>
  <c r="F67" i="9"/>
  <c r="F68" i="9" s="1"/>
  <c r="F70" i="9" s="1"/>
  <c r="F71" i="9"/>
  <c r="E69" i="12"/>
  <c r="E70" i="12" s="1"/>
  <c r="E49" i="12"/>
  <c r="E50" i="12" s="1"/>
  <c r="E52" i="12" s="1"/>
  <c r="E62" i="12" s="1"/>
  <c r="D32" i="5"/>
  <c r="F60" i="5"/>
  <c r="H68" i="10"/>
  <c r="I96" i="6"/>
  <c r="H29" i="9"/>
  <c r="E85" i="9"/>
  <c r="G66" i="12"/>
  <c r="F66" i="12"/>
  <c r="E87" i="9"/>
  <c r="E91" i="5" s="1"/>
  <c r="H110" i="6"/>
  <c r="H100" i="6"/>
  <c r="G68" i="10"/>
  <c r="G40" i="9"/>
  <c r="G66" i="10"/>
  <c r="G66" i="9" l="1"/>
  <c r="G44" i="9"/>
  <c r="H46" i="12"/>
  <c r="G72" i="10"/>
  <c r="G75" i="10" s="1"/>
  <c r="G73" i="10"/>
  <c r="G97" i="5" s="1"/>
  <c r="G70" i="10"/>
  <c r="I108" i="6"/>
  <c r="D92" i="5"/>
  <c r="E64" i="12"/>
  <c r="D93" i="5" s="1"/>
  <c r="I46" i="12"/>
  <c r="H72" i="10"/>
  <c r="H75" i="10" s="1"/>
  <c r="H73" i="10"/>
  <c r="H97" i="5" s="1"/>
  <c r="H70" i="10"/>
  <c r="F67" i="12"/>
  <c r="F85" i="9"/>
  <c r="G67" i="12"/>
  <c r="G39" i="16"/>
  <c r="F39" i="16"/>
  <c r="B39" i="16"/>
  <c r="A40" i="16"/>
  <c r="H39" i="16"/>
  <c r="D61" i="5"/>
  <c r="E90" i="5"/>
  <c r="F68" i="12"/>
  <c r="F69" i="12" s="1"/>
  <c r="H31" i="9"/>
  <c r="I99" i="6"/>
  <c r="I109" i="6" s="1"/>
  <c r="F70" i="12" l="1"/>
  <c r="H34" i="9"/>
  <c r="H40" i="9"/>
  <c r="H64" i="9"/>
  <c r="H77" i="10"/>
  <c r="G68" i="12"/>
  <c r="F90" i="5"/>
  <c r="F87" i="9"/>
  <c r="D33" i="5"/>
  <c r="D34" i="5" s="1"/>
  <c r="D62" i="5"/>
  <c r="D63" i="5" s="1"/>
  <c r="D94" i="5"/>
  <c r="I110" i="6"/>
  <c r="F49" i="12"/>
  <c r="F50" i="12" s="1"/>
  <c r="F52" i="12" s="1"/>
  <c r="F62" i="12" s="1"/>
  <c r="I100" i="6"/>
  <c r="H46" i="5"/>
  <c r="H55" i="5"/>
  <c r="H48" i="5"/>
  <c r="H58" i="5"/>
  <c r="H50" i="5"/>
  <c r="H52" i="5"/>
  <c r="H44" i="5"/>
  <c r="H56" i="5"/>
  <c r="H43" i="5"/>
  <c r="H49" i="5"/>
  <c r="H45" i="5"/>
  <c r="H53" i="5"/>
  <c r="H51" i="5"/>
  <c r="H54" i="5"/>
  <c r="H57" i="5"/>
  <c r="H47" i="5"/>
  <c r="H41" i="5"/>
  <c r="H59" i="5"/>
  <c r="H42" i="5"/>
  <c r="H40" i="5"/>
  <c r="J40" i="5"/>
  <c r="J42" i="5"/>
  <c r="K40" i="5"/>
  <c r="J59" i="5"/>
  <c r="J57" i="5"/>
  <c r="K42" i="5"/>
  <c r="J49" i="5"/>
  <c r="J58" i="5"/>
  <c r="J53" i="5"/>
  <c r="J44" i="5"/>
  <c r="J54" i="5"/>
  <c r="J48" i="5"/>
  <c r="K45" i="5"/>
  <c r="J47" i="5"/>
  <c r="J41" i="5"/>
  <c r="K46" i="5"/>
  <c r="J55" i="5"/>
  <c r="J52" i="5"/>
  <c r="J51" i="5"/>
  <c r="K59" i="5"/>
  <c r="J45" i="5"/>
  <c r="J46" i="5"/>
  <c r="J43" i="5"/>
  <c r="J56" i="5"/>
  <c r="J50" i="5"/>
  <c r="E32" i="5"/>
  <c r="E61" i="5"/>
  <c r="G47" i="5"/>
  <c r="G45" i="5"/>
  <c r="G55" i="5"/>
  <c r="G46" i="5"/>
  <c r="G44" i="5"/>
  <c r="G52" i="5"/>
  <c r="G58" i="5"/>
  <c r="G50" i="5"/>
  <c r="G43" i="5"/>
  <c r="G53" i="5"/>
  <c r="G49" i="5"/>
  <c r="G51" i="5"/>
  <c r="G48" i="5"/>
  <c r="G54" i="5"/>
  <c r="G57" i="5"/>
  <c r="G56" i="5"/>
  <c r="G41" i="5"/>
  <c r="G42" i="5"/>
  <c r="G59" i="5"/>
  <c r="G40" i="5"/>
  <c r="K41" i="5"/>
  <c r="K44" i="5"/>
  <c r="K48" i="5"/>
  <c r="K56" i="5"/>
  <c r="K55" i="5"/>
  <c r="K50" i="5"/>
  <c r="K57" i="5"/>
  <c r="K47" i="5"/>
  <c r="K58" i="5"/>
  <c r="K53" i="5"/>
  <c r="K52" i="5"/>
  <c r="K54" i="5"/>
  <c r="K43" i="5"/>
  <c r="K49" i="5"/>
  <c r="K51" i="5"/>
  <c r="G64" i="9"/>
  <c r="G77" i="10"/>
  <c r="F40" i="16"/>
  <c r="A41" i="16"/>
  <c r="H40" i="16"/>
  <c r="G40" i="16"/>
  <c r="B40" i="16"/>
  <c r="G83" i="9"/>
  <c r="G60" i="5" l="1"/>
  <c r="H66" i="12"/>
  <c r="F91" i="5"/>
  <c r="E92" i="5"/>
  <c r="F64" i="12"/>
  <c r="E93" i="5" s="1"/>
  <c r="G69" i="12"/>
  <c r="G70" i="12" s="1"/>
  <c r="G49" i="12"/>
  <c r="G50" i="12" s="1"/>
  <c r="G52" i="12" s="1"/>
  <c r="G62" i="12" s="1"/>
  <c r="F32" i="5"/>
  <c r="F61" i="5"/>
  <c r="B41" i="16"/>
  <c r="H41" i="16"/>
  <c r="G41" i="16"/>
  <c r="F41" i="16"/>
  <c r="A42" i="16"/>
  <c r="H71" i="9"/>
  <c r="K60" i="5"/>
  <c r="G67" i="9"/>
  <c r="G68" i="9" s="1"/>
  <c r="G70" i="9" s="1"/>
  <c r="G71" i="9"/>
  <c r="J60" i="5"/>
  <c r="H66" i="9"/>
  <c r="H67" i="9" s="1"/>
  <c r="H44" i="9"/>
  <c r="H60" i="5"/>
  <c r="G85" i="9" l="1"/>
  <c r="F92" i="5"/>
  <c r="G64" i="12"/>
  <c r="F93" i="5" s="1"/>
  <c r="I71" i="9"/>
  <c r="J71" i="9"/>
  <c r="E33" i="5"/>
  <c r="E34" i="5" s="1"/>
  <c r="E62" i="5"/>
  <c r="E63" i="5" s="1"/>
  <c r="E94" i="5"/>
  <c r="B42" i="16"/>
  <c r="A43" i="16"/>
  <c r="H42" i="16"/>
  <c r="G42" i="16"/>
  <c r="F42" i="16"/>
  <c r="H83" i="9"/>
  <c r="I44" i="9"/>
  <c r="J44" i="9"/>
  <c r="H68" i="9"/>
  <c r="H70" i="9" s="1"/>
  <c r="H67" i="12"/>
  <c r="G43" i="16" l="1"/>
  <c r="A44" i="16"/>
  <c r="H43" i="16"/>
  <c r="F43" i="16"/>
  <c r="B43" i="16"/>
  <c r="H85" i="9"/>
  <c r="H87" i="9" s="1"/>
  <c r="I70" i="9"/>
  <c r="F33" i="5"/>
  <c r="F34" i="5" s="1"/>
  <c r="F62" i="5"/>
  <c r="F63" i="5" s="1"/>
  <c r="F94" i="5"/>
  <c r="J70" i="9"/>
  <c r="G90" i="5"/>
  <c r="H68" i="12"/>
  <c r="J85" i="9"/>
  <c r="G87" i="9"/>
  <c r="I66" i="12"/>
  <c r="I83" i="9"/>
  <c r="J83" i="9"/>
  <c r="I68" i="12" l="1"/>
  <c r="I69" i="12" s="1"/>
  <c r="H90" i="5"/>
  <c r="I85" i="9"/>
  <c r="I67" i="12"/>
  <c r="H91" i="5"/>
  <c r="I87" i="9"/>
  <c r="G91" i="5"/>
  <c r="K91" i="5" s="1"/>
  <c r="J87" i="9"/>
  <c r="H44" i="16"/>
  <c r="A45" i="16"/>
  <c r="G44" i="16"/>
  <c r="B44" i="16"/>
  <c r="F44" i="16"/>
  <c r="H69" i="12"/>
  <c r="H70" i="12" s="1"/>
  <c r="H49" i="12"/>
  <c r="H50" i="12" s="1"/>
  <c r="H52" i="12" s="1"/>
  <c r="H62" i="12" s="1"/>
  <c r="G32" i="5"/>
  <c r="K32" i="5"/>
  <c r="K90" i="5"/>
  <c r="K61" i="5" l="1"/>
  <c r="B45" i="16"/>
  <c r="F45" i="16"/>
  <c r="A46" i="16"/>
  <c r="H45" i="16"/>
  <c r="G45" i="16"/>
  <c r="I49" i="12"/>
  <c r="I50" i="12" s="1"/>
  <c r="I52" i="12" s="1"/>
  <c r="I62" i="12" s="1"/>
  <c r="J91" i="5"/>
  <c r="I70" i="12"/>
  <c r="G61" i="5"/>
  <c r="G92" i="5"/>
  <c r="H64" i="12"/>
  <c r="G93" i="5" s="1"/>
  <c r="H61" i="5"/>
  <c r="H32" i="5"/>
  <c r="J61" i="5"/>
  <c r="J32" i="5"/>
  <c r="J90" i="5"/>
  <c r="G94" i="5" l="1"/>
  <c r="H92" i="5"/>
  <c r="I64" i="12"/>
  <c r="H93" i="5" s="1"/>
  <c r="J93" i="5" s="1"/>
  <c r="G46" i="16"/>
  <c r="H46" i="16"/>
  <c r="F46" i="16"/>
  <c r="A47" i="16"/>
  <c r="B46" i="16"/>
  <c r="K93" i="5"/>
  <c r="G33" i="5"/>
  <c r="G34" i="5" s="1"/>
  <c r="G62" i="5"/>
  <c r="G63" i="5" s="1"/>
  <c r="K62" i="5" l="1"/>
  <c r="K63" i="5" s="1"/>
  <c r="F47" i="16"/>
  <c r="B47" i="16"/>
  <c r="A48" i="16"/>
  <c r="H47" i="16"/>
  <c r="G47" i="16"/>
  <c r="K33" i="5"/>
  <c r="K34" i="5" s="1"/>
  <c r="K92" i="5"/>
  <c r="K94" i="5" s="1"/>
  <c r="H33" i="5"/>
  <c r="H34" i="5" s="1"/>
  <c r="H62" i="5"/>
  <c r="H63" i="5" s="1"/>
  <c r="J62" i="5"/>
  <c r="J63" i="5" s="1"/>
  <c r="J33" i="5"/>
  <c r="J34" i="5" s="1"/>
  <c r="J92" i="5"/>
  <c r="J94" i="5" s="1"/>
  <c r="H94" i="5"/>
  <c r="B48" i="16" l="1"/>
  <c r="G48" i="16"/>
  <c r="H48" i="16"/>
  <c r="F48" i="16"/>
  <c r="A49" i="16"/>
  <c r="F49" i="16" l="1"/>
  <c r="B49" i="16"/>
  <c r="H49" i="16"/>
  <c r="A50" i="16"/>
  <c r="G49" i="16"/>
  <c r="G50" i="16" l="1"/>
  <c r="B50" i="16"/>
  <c r="A51" i="16"/>
  <c r="H50" i="16"/>
  <c r="F50" i="16"/>
  <c r="A52" i="16" l="1"/>
  <c r="H51" i="16"/>
  <c r="F51" i="16"/>
  <c r="B51" i="16"/>
  <c r="G51" i="16"/>
  <c r="B52" i="16" l="1"/>
  <c r="A53" i="16"/>
  <c r="F52" i="16"/>
  <c r="H52" i="16"/>
  <c r="G52" i="16"/>
  <c r="G53" i="16" l="1"/>
  <c r="A54" i="16"/>
  <c r="H53" i="16"/>
  <c r="F53" i="16"/>
  <c r="B53" i="16"/>
  <c r="B54" i="16" l="1"/>
  <c r="G54" i="16"/>
  <c r="H54" i="16"/>
  <c r="F54" i="16"/>
  <c r="A55" i="16"/>
  <c r="B55" i="16" l="1"/>
  <c r="G55" i="16"/>
  <c r="H55" i="16"/>
  <c r="A56" i="16"/>
  <c r="F55" i="16"/>
  <c r="F56" i="16" l="1"/>
  <c r="B56" i="16"/>
  <c r="A57" i="16"/>
  <c r="H56" i="16"/>
  <c r="G56" i="16"/>
  <c r="G57" i="16" l="1"/>
  <c r="B57" i="16"/>
  <c r="H57" i="16"/>
  <c r="F57" i="16"/>
  <c r="A58" i="16"/>
  <c r="A59" i="16" l="1"/>
  <c r="G58" i="16"/>
  <c r="F58" i="16"/>
  <c r="B58" i="16"/>
  <c r="H58" i="16"/>
  <c r="B59" i="16" l="1"/>
  <c r="H59" i="16"/>
  <c r="A60" i="16"/>
  <c r="G59" i="16"/>
  <c r="F59" i="16"/>
  <c r="G60" i="16" l="1"/>
  <c r="A61" i="16"/>
  <c r="H60" i="16"/>
  <c r="F60" i="16"/>
  <c r="B60" i="16"/>
  <c r="H61" i="16" l="1"/>
  <c r="A62" i="16"/>
  <c r="B61" i="16"/>
  <c r="G61" i="16"/>
  <c r="F61" i="16"/>
  <c r="B62" i="16" l="1"/>
  <c r="H62" i="16"/>
  <c r="G62" i="16"/>
  <c r="F62" i="16"/>
  <c r="A63" i="16"/>
  <c r="G63" i="16" l="1"/>
  <c r="F63" i="16"/>
  <c r="B63" i="16"/>
  <c r="H63" i="16"/>
  <c r="A64" i="16"/>
  <c r="G64" i="16" l="1"/>
  <c r="H64" i="16"/>
  <c r="A65" i="16"/>
  <c r="F64" i="16"/>
  <c r="B64" i="16"/>
  <c r="F65" i="16" l="1"/>
  <c r="A66" i="16"/>
  <c r="H65" i="16"/>
  <c r="G65" i="16"/>
  <c r="B65" i="16"/>
  <c r="B66" i="16" l="1"/>
  <c r="H66" i="16"/>
  <c r="A67" i="16"/>
  <c r="G66" i="16"/>
  <c r="F66" i="16"/>
  <c r="G67" i="16" l="1"/>
  <c r="B67" i="16"/>
  <c r="A68" i="16"/>
  <c r="F67" i="16"/>
  <c r="H67" i="16"/>
  <c r="A69" i="16" l="1"/>
  <c r="H68" i="16"/>
  <c r="G68" i="16"/>
  <c r="F68" i="16"/>
  <c r="B68" i="16"/>
  <c r="B69" i="16" l="1"/>
  <c r="A70" i="16"/>
  <c r="F69" i="16"/>
  <c r="H69" i="16"/>
  <c r="G69" i="16"/>
  <c r="G70" i="16" l="1"/>
  <c r="B70" i="16"/>
  <c r="H70" i="16"/>
  <c r="F70" i="16"/>
  <c r="A71" i="16"/>
  <c r="G71" i="16" l="1"/>
  <c r="A72" i="16"/>
  <c r="H71" i="16"/>
  <c r="F71" i="16"/>
  <c r="B71" i="16"/>
  <c r="F72" i="16" l="1"/>
  <c r="B72" i="16"/>
  <c r="H72" i="16"/>
  <c r="G72" i="16"/>
  <c r="A73" i="16"/>
  <c r="B73" i="16" l="1"/>
  <c r="A74" i="16"/>
  <c r="H73" i="16"/>
  <c r="G73" i="16"/>
  <c r="F73" i="16"/>
  <c r="G74" i="16" l="1"/>
  <c r="B74" i="16"/>
  <c r="F74" i="16"/>
  <c r="A75" i="16"/>
  <c r="H74" i="16"/>
  <c r="A76" i="16" l="1"/>
  <c r="B75" i="16"/>
  <c r="H75" i="16"/>
  <c r="F75" i="16"/>
  <c r="G75" i="16"/>
  <c r="B76" i="16" l="1"/>
  <c r="G76" i="16"/>
  <c r="F76" i="16"/>
  <c r="A77" i="16"/>
  <c r="H76" i="16"/>
  <c r="A78" i="16" l="1"/>
  <c r="G77" i="16"/>
  <c r="F77" i="16"/>
  <c r="H77" i="16"/>
  <c r="B77" i="16"/>
  <c r="G78" i="16" l="1"/>
  <c r="H78" i="16"/>
  <c r="B78" i="16"/>
  <c r="F78" i="16"/>
  <c r="A79" i="16"/>
  <c r="A80" i="16" l="1"/>
  <c r="H79" i="16"/>
  <c r="G79" i="16"/>
  <c r="F79" i="16"/>
  <c r="B79" i="16"/>
  <c r="B80" i="16" l="1"/>
  <c r="G80" i="16"/>
  <c r="F80" i="16"/>
  <c r="A81" i="16"/>
  <c r="H80" i="16"/>
  <c r="G81" i="16" l="1"/>
  <c r="A82" i="16"/>
  <c r="F81" i="16"/>
  <c r="H81" i="16"/>
  <c r="B81" i="16"/>
  <c r="F82" i="16" l="1"/>
  <c r="G82" i="16"/>
  <c r="B82" i="16"/>
  <c r="H82" i="16"/>
  <c r="A83" i="16"/>
  <c r="B83" i="16" l="1"/>
  <c r="A84" i="16"/>
  <c r="G83" i="16"/>
  <c r="F83" i="16"/>
  <c r="H83" i="16"/>
  <c r="B84" i="16" l="1"/>
  <c r="G84" i="16"/>
  <c r="F84" i="16"/>
  <c r="H84" i="16"/>
  <c r="A85" i="16"/>
  <c r="G85" i="16" l="1"/>
  <c r="A86" i="16"/>
  <c r="H85" i="16"/>
  <c r="B85" i="16"/>
  <c r="F85" i="16"/>
  <c r="H86" i="16" l="1"/>
  <c r="G86" i="16"/>
  <c r="A87" i="16"/>
  <c r="B86" i="16"/>
  <c r="F86" i="16"/>
  <c r="B87" i="16" l="1"/>
  <c r="G87" i="16"/>
  <c r="H87" i="16"/>
  <c r="F87" i="16"/>
  <c r="A88" i="16"/>
  <c r="G88" i="16" l="1"/>
  <c r="H88" i="16"/>
  <c r="A89" i="16"/>
  <c r="F88" i="16"/>
  <c r="B88" i="16"/>
  <c r="F89" i="16" l="1"/>
  <c r="G89" i="16"/>
  <c r="B89" i="16"/>
  <c r="A90" i="16"/>
  <c r="H89" i="16"/>
  <c r="B90" i="16" l="1"/>
  <c r="H90" i="16"/>
  <c r="G90" i="16"/>
  <c r="F90" i="16"/>
  <c r="A91" i="16"/>
  <c r="B91" i="16" l="1"/>
  <c r="H91" i="16"/>
  <c r="G91" i="16"/>
  <c r="F91" i="16"/>
  <c r="A92" i="16"/>
  <c r="G92" i="16" l="1"/>
  <c r="A93" i="16"/>
  <c r="H92" i="16"/>
  <c r="F92" i="16"/>
  <c r="B92" i="16"/>
  <c r="H93" i="16" l="1"/>
  <c r="F93" i="16"/>
  <c r="B93" i="16"/>
  <c r="A94" i="16"/>
  <c r="G93" i="16"/>
  <c r="B94" i="16" l="1"/>
  <c r="H94" i="16"/>
  <c r="A95" i="16"/>
  <c r="F94" i="16"/>
  <c r="G94" i="16"/>
  <c r="G95" i="16" l="1"/>
  <c r="H95" i="16"/>
  <c r="F95" i="16"/>
  <c r="B95" i="16"/>
  <c r="A96" i="16"/>
  <c r="H96" i="16" l="1"/>
  <c r="A97" i="16"/>
  <c r="F96" i="16"/>
  <c r="B96" i="16"/>
  <c r="G96" i="16"/>
  <c r="B97" i="16" l="1"/>
  <c r="G97" i="16"/>
  <c r="F97" i="16"/>
  <c r="A98" i="16"/>
  <c r="H97" i="16"/>
  <c r="H98" i="16" l="1"/>
  <c r="F98" i="16"/>
  <c r="A99" i="16"/>
  <c r="B98" i="16"/>
  <c r="G98" i="16"/>
  <c r="G99" i="16" l="1"/>
  <c r="B99" i="16"/>
  <c r="H99" i="16"/>
  <c r="A100" i="16"/>
  <c r="F99" i="16"/>
  <c r="A101" i="16" l="1"/>
  <c r="H100" i="16"/>
  <c r="F100" i="16"/>
  <c r="B100" i="16"/>
  <c r="G100" i="16"/>
  <c r="B101" i="16" l="1"/>
  <c r="A102" i="16"/>
  <c r="F101" i="16"/>
  <c r="H101" i="16"/>
  <c r="G101" i="16"/>
  <c r="G102" i="16" l="1"/>
  <c r="A103" i="16"/>
  <c r="H102" i="16"/>
  <c r="F102" i="16"/>
  <c r="B102" i="16"/>
  <c r="F103" i="16" l="1"/>
  <c r="B103" i="16"/>
  <c r="H103" i="16"/>
  <c r="G103" i="16"/>
  <c r="A104" i="16"/>
  <c r="B104" i="16" l="1"/>
  <c r="G104" i="16"/>
  <c r="H104" i="16"/>
  <c r="A105" i="16"/>
  <c r="F104" i="16"/>
  <c r="F105" i="16" l="1"/>
  <c r="B105" i="16"/>
  <c r="A106" i="16"/>
  <c r="G105" i="16"/>
  <c r="H105" i="16"/>
  <c r="G106" i="16" l="1"/>
  <c r="B106" i="16"/>
  <c r="A107" i="16"/>
  <c r="H106" i="16"/>
  <c r="F106" i="16"/>
  <c r="A108" i="16" l="1"/>
  <c r="F107" i="16"/>
  <c r="B107" i="16"/>
  <c r="G107" i="16"/>
  <c r="H107" i="16"/>
  <c r="B108" i="16" l="1"/>
  <c r="A109" i="16"/>
  <c r="H108" i="16"/>
  <c r="G108" i="16"/>
  <c r="F108" i="16"/>
  <c r="G109" i="16" l="1"/>
  <c r="A110" i="16"/>
  <c r="F109" i="16"/>
  <c r="B109" i="16"/>
  <c r="H109" i="16"/>
  <c r="H110" i="16" l="1"/>
  <c r="A111" i="16"/>
  <c r="F110" i="16"/>
  <c r="G110" i="16"/>
  <c r="B110" i="16"/>
  <c r="B111" i="16" l="1"/>
  <c r="H111" i="16"/>
  <c r="G111" i="16"/>
  <c r="F111" i="16"/>
  <c r="A112" i="16"/>
  <c r="G112" i="16" l="1"/>
  <c r="B112" i="16"/>
  <c r="A113" i="16"/>
  <c r="F112" i="16"/>
  <c r="H112" i="16"/>
  <c r="G113" i="16" l="1"/>
  <c r="H113" i="16"/>
  <c r="F113" i="16"/>
  <c r="A114" i="16"/>
  <c r="B113" i="16"/>
  <c r="F114" i="16" l="1"/>
  <c r="B114" i="16"/>
  <c r="H114" i="16"/>
  <c r="G114" i="16"/>
  <c r="A115" i="16"/>
  <c r="B115" i="16" l="1"/>
  <c r="H115" i="16"/>
  <c r="G115" i="16"/>
  <c r="A116" i="16"/>
  <c r="F115" i="16"/>
  <c r="G116" i="16" l="1"/>
  <c r="B116" i="16"/>
  <c r="H116" i="16"/>
  <c r="F116" i="16"/>
  <c r="A117" i="16"/>
  <c r="A118" i="16" l="1"/>
  <c r="H117" i="16"/>
  <c r="G117" i="16"/>
  <c r="F117" i="16"/>
  <c r="B117" i="16"/>
  <c r="B118" i="16" l="1"/>
  <c r="A119" i="16"/>
  <c r="G118" i="16"/>
  <c r="F118" i="16"/>
  <c r="H118" i="16"/>
  <c r="G119" i="16" l="1"/>
  <c r="A120" i="16"/>
  <c r="H119" i="16"/>
  <c r="F119" i="16"/>
  <c r="B119" i="16"/>
  <c r="G120" i="16" l="1"/>
  <c r="A121" i="16"/>
  <c r="B120" i="16"/>
  <c r="H120" i="16"/>
  <c r="F120" i="16"/>
  <c r="F121" i="16" l="1"/>
  <c r="A122" i="16"/>
  <c r="H121" i="16"/>
  <c r="G121" i="16"/>
  <c r="B121" i="16"/>
  <c r="B122" i="16" l="1"/>
  <c r="A123" i="16"/>
  <c r="G122" i="16"/>
  <c r="F122" i="16"/>
  <c r="H122" i="16"/>
  <c r="G123" i="16" l="1"/>
  <c r="B123" i="16"/>
  <c r="A124" i="16"/>
  <c r="H123" i="16"/>
  <c r="F123" i="16"/>
  <c r="A125" i="16" l="1"/>
  <c r="H124" i="16"/>
  <c r="B124" i="16"/>
  <c r="G124" i="16"/>
  <c r="F124" i="16"/>
  <c r="B125" i="16" l="1"/>
  <c r="F125" i="16"/>
  <c r="G125" i="16"/>
  <c r="A126" i="16"/>
  <c r="H125" i="16"/>
  <c r="A127" i="16" l="1"/>
  <c r="H126" i="16"/>
  <c r="G126" i="16"/>
  <c r="F126" i="16"/>
  <c r="B126" i="16"/>
  <c r="G127" i="16" l="1"/>
  <c r="H127" i="16"/>
  <c r="A128" i="16"/>
  <c r="F127" i="16"/>
  <c r="B127" i="16"/>
  <c r="A129" i="16" l="1"/>
  <c r="H128" i="16"/>
  <c r="G128" i="16"/>
  <c r="F128" i="16"/>
  <c r="B128" i="16"/>
  <c r="B129" i="16" l="1"/>
  <c r="G129" i="16"/>
  <c r="H129" i="16"/>
  <c r="F129" i="16"/>
  <c r="A130" i="16"/>
  <c r="G130" i="16" l="1"/>
  <c r="A131" i="16"/>
  <c r="H130" i="16"/>
  <c r="B130" i="16"/>
  <c r="F130" i="16"/>
  <c r="F131" i="16" l="1"/>
  <c r="B131" i="16"/>
  <c r="H131" i="16"/>
  <c r="G131" i="16"/>
  <c r="A132" i="16"/>
  <c r="B132" i="16" l="1"/>
  <c r="A133" i="16"/>
  <c r="H132" i="16"/>
  <c r="G132" i="16"/>
  <c r="F132" i="16"/>
  <c r="B133" i="16" l="1"/>
  <c r="G133" i="16"/>
  <c r="F133" i="16"/>
  <c r="H133" i="16"/>
  <c r="A134" i="16"/>
  <c r="G134" i="16" l="1"/>
  <c r="A135" i="16"/>
  <c r="H134" i="16"/>
  <c r="B134" i="16"/>
  <c r="F134" i="16"/>
  <c r="A136" i="16" l="1"/>
  <c r="F135" i="16"/>
  <c r="B135" i="16"/>
  <c r="H135" i="16"/>
  <c r="G135" i="16"/>
  <c r="B136" i="16" l="1"/>
  <c r="G136" i="16"/>
  <c r="H136" i="16"/>
  <c r="F136" i="16"/>
  <c r="A137" i="16"/>
  <c r="G137" i="16" l="1"/>
  <c r="A138" i="16"/>
  <c r="H137" i="16"/>
  <c r="F137" i="16"/>
  <c r="B137" i="16"/>
  <c r="F138" i="16" l="1"/>
  <c r="B138" i="16"/>
  <c r="H138" i="16"/>
  <c r="G138" i="16"/>
  <c r="A139" i="16"/>
  <c r="B139" i="16" l="1"/>
  <c r="A140" i="16"/>
  <c r="F139" i="16"/>
  <c r="H139" i="16"/>
  <c r="G139" i="16"/>
  <c r="B140" i="16" l="1"/>
  <c r="F140" i="16"/>
  <c r="A141" i="16"/>
  <c r="G140" i="16"/>
  <c r="H140" i="16"/>
  <c r="G141" i="16" l="1"/>
  <c r="A142" i="16"/>
  <c r="H141" i="16"/>
  <c r="F141" i="16"/>
  <c r="B141" i="16"/>
  <c r="H142" i="16" l="1"/>
  <c r="F142" i="16"/>
  <c r="B142" i="16"/>
  <c r="G142" i="16"/>
  <c r="A143" i="16"/>
  <c r="B143" i="16" l="1"/>
  <c r="H143" i="16"/>
  <c r="G143" i="16"/>
  <c r="F143" i="16"/>
  <c r="A144" i="16"/>
  <c r="G144" i="16" l="1"/>
  <c r="H144" i="16"/>
  <c r="F144" i="16"/>
  <c r="B144" i="16"/>
  <c r="A145" i="16"/>
  <c r="H145" i="16" l="1"/>
  <c r="F145" i="16"/>
  <c r="G145" i="16"/>
  <c r="B145" i="16"/>
  <c r="A146" i="16"/>
  <c r="B146" i="16" l="1"/>
  <c r="G146" i="16"/>
  <c r="H146" i="16"/>
  <c r="F146" i="16"/>
  <c r="A147" i="16"/>
  <c r="B147" i="16" l="1"/>
  <c r="A148" i="16"/>
  <c r="H147" i="16"/>
  <c r="G147" i="16"/>
  <c r="F147" i="16"/>
  <c r="G148" i="16" l="1"/>
  <c r="B148" i="16"/>
  <c r="H148" i="16"/>
  <c r="F148" i="16"/>
  <c r="A149" i="16"/>
  <c r="A150" i="16" l="1"/>
  <c r="H149" i="16"/>
  <c r="G149" i="16"/>
  <c r="F149" i="16"/>
  <c r="B149" i="16"/>
  <c r="B150" i="16" l="1"/>
  <c r="H150" i="16"/>
  <c r="A151" i="16"/>
  <c r="G150" i="16"/>
  <c r="F150" i="16"/>
  <c r="G151" i="16" l="1"/>
  <c r="A152" i="16"/>
  <c r="H151" i="16"/>
  <c r="F151" i="16"/>
  <c r="B151" i="16"/>
  <c r="F152" i="16" l="1"/>
  <c r="H152" i="16"/>
  <c r="G152" i="16"/>
  <c r="B152" i="16"/>
  <c r="A153" i="16"/>
  <c r="B153" i="16" l="1"/>
  <c r="G153" i="16"/>
  <c r="A154" i="16"/>
  <c r="H153" i="16"/>
  <c r="F153" i="16"/>
  <c r="B154" i="16" l="1"/>
  <c r="G154" i="16"/>
  <c r="F154" i="16"/>
  <c r="H154" i="16"/>
  <c r="A155" i="16"/>
  <c r="G155" i="16" l="1"/>
  <c r="B155" i="16"/>
  <c r="A156" i="16"/>
  <c r="H155" i="16"/>
  <c r="F155" i="16"/>
  <c r="A157" i="16" l="1"/>
  <c r="G156" i="16"/>
  <c r="F156" i="16"/>
  <c r="H156" i="16"/>
  <c r="B156" i="16"/>
  <c r="B157" i="16" l="1"/>
  <c r="A158" i="16"/>
  <c r="G157" i="16"/>
  <c r="H157" i="16"/>
  <c r="F157" i="16"/>
  <c r="G158" i="16" l="1"/>
  <c r="A159" i="16"/>
  <c r="H158" i="16"/>
  <c r="B158" i="16"/>
  <c r="F158" i="16"/>
  <c r="H159" i="16" l="1"/>
  <c r="A160" i="16"/>
  <c r="B159" i="16"/>
  <c r="G159" i="16"/>
  <c r="F159" i="16"/>
  <c r="B160" i="16" l="1"/>
  <c r="A161" i="16"/>
  <c r="F160" i="16"/>
  <c r="H160" i="16"/>
  <c r="G160" i="16"/>
  <c r="G161" i="16" l="1"/>
  <c r="H161" i="16"/>
  <c r="A162" i="16"/>
  <c r="F161" i="16"/>
  <c r="B161" i="16"/>
  <c r="G162" i="16" l="1"/>
  <c r="A163" i="16"/>
  <c r="F162" i="16"/>
  <c r="B162" i="16"/>
  <c r="H162" i="16"/>
  <c r="F163" i="16" l="1"/>
  <c r="A164" i="16"/>
  <c r="H163" i="16"/>
  <c r="G163" i="16"/>
  <c r="B163" i="16"/>
  <c r="B164" i="16" l="1"/>
  <c r="A165" i="16"/>
  <c r="H164" i="16"/>
  <c r="G164" i="16"/>
  <c r="F164" i="16"/>
  <c r="G165" i="16" l="1"/>
  <c r="B165" i="16"/>
  <c r="H165" i="16"/>
  <c r="F165" i="16"/>
  <c r="A166" i="16"/>
  <c r="A167" i="16" l="1"/>
  <c r="H166" i="16"/>
  <c r="G166" i="16"/>
  <c r="F166" i="16"/>
  <c r="B166" i="16"/>
  <c r="B167" i="16" l="1"/>
  <c r="G167" i="16"/>
  <c r="F167" i="16"/>
  <c r="A168" i="16"/>
  <c r="H167" i="16"/>
  <c r="G168" i="16" l="1"/>
  <c r="A169" i="16"/>
  <c r="H168" i="16"/>
  <c r="F168" i="16"/>
  <c r="B168" i="16"/>
  <c r="G169" i="16" l="1"/>
  <c r="F169" i="16"/>
  <c r="B169" i="16"/>
  <c r="H169" i="16"/>
  <c r="A170" i="16"/>
  <c r="F170" i="16" l="1"/>
  <c r="H170" i="16"/>
  <c r="G170" i="16"/>
  <c r="B170" i="16"/>
  <c r="A171" i="16"/>
  <c r="B171" i="16" l="1"/>
  <c r="G171" i="16"/>
  <c r="F171" i="16"/>
  <c r="A172" i="16"/>
  <c r="H171" i="16"/>
  <c r="G172" i="16" l="1"/>
  <c r="B172" i="16"/>
  <c r="A173" i="16"/>
  <c r="H172" i="16"/>
  <c r="F172" i="16"/>
  <c r="A174" i="16" l="1"/>
  <c r="G173" i="16"/>
  <c r="F173" i="16"/>
  <c r="H173" i="16"/>
  <c r="B173" i="16"/>
  <c r="B174" i="16" l="1"/>
  <c r="F174" i="16"/>
  <c r="H174" i="16"/>
  <c r="G174" i="16"/>
  <c r="A175" i="16"/>
  <c r="G175" i="16" l="1"/>
  <c r="F175" i="16"/>
  <c r="H175" i="16"/>
  <c r="B175" i="16"/>
  <c r="A176" i="16"/>
  <c r="G176" i="16" l="1"/>
  <c r="H176" i="16"/>
  <c r="F176" i="16"/>
  <c r="B176" i="16"/>
  <c r="A177" i="16"/>
  <c r="G177" i="16" l="1"/>
  <c r="F177" i="16"/>
  <c r="A178" i="16"/>
  <c r="H177" i="16"/>
  <c r="B177" i="16"/>
  <c r="B178" i="16" l="1"/>
  <c r="G178" i="16"/>
  <c r="F178" i="16"/>
  <c r="A179" i="16"/>
  <c r="H178" i="16"/>
  <c r="G179" i="16" l="1"/>
  <c r="H179" i="16"/>
  <c r="F179" i="16"/>
  <c r="B179" i="16"/>
  <c r="A180" i="16"/>
  <c r="F180" i="16" l="1"/>
  <c r="A181" i="16"/>
  <c r="H180" i="16"/>
  <c r="G180" i="16"/>
  <c r="B180" i="16"/>
  <c r="B181" i="16" l="1"/>
  <c r="H181" i="16"/>
  <c r="G181" i="16"/>
  <c r="A182" i="16"/>
  <c r="F181" i="16"/>
  <c r="B182" i="16" l="1"/>
  <c r="A183" i="16"/>
  <c r="F182" i="16"/>
  <c r="G182" i="16"/>
  <c r="H182" i="16"/>
  <c r="G183" i="16" l="1"/>
  <c r="A184" i="16"/>
  <c r="H183" i="16"/>
  <c r="F183" i="16"/>
  <c r="B183" i="16"/>
  <c r="F184" i="16" l="1"/>
  <c r="H184" i="16"/>
  <c r="G184" i="16"/>
  <c r="A185" i="16"/>
  <c r="B184" i="16"/>
  <c r="B185" i="16" l="1"/>
  <c r="G185" i="16"/>
  <c r="H185" i="16"/>
  <c r="F185" i="16"/>
  <c r="A186" i="16"/>
  <c r="H186" i="16" l="1"/>
  <c r="A187" i="16"/>
  <c r="G186" i="16"/>
  <c r="F186" i="16"/>
  <c r="B186" i="16"/>
  <c r="A188" i="16" l="1"/>
  <c r="H187" i="16"/>
  <c r="G187" i="16"/>
  <c r="F187" i="16"/>
  <c r="B187" i="16"/>
  <c r="F188" i="16" l="1"/>
  <c r="G188" i="16"/>
  <c r="B188" i="16"/>
  <c r="H188" i="16"/>
  <c r="A189" i="16"/>
  <c r="A190" i="16" l="1"/>
  <c r="H189" i="16"/>
  <c r="G189" i="16"/>
  <c r="F189" i="16"/>
  <c r="B189" i="16"/>
  <c r="F190" i="16" l="1"/>
  <c r="B190" i="16"/>
  <c r="H190" i="16"/>
  <c r="G190" i="16"/>
  <c r="A191" i="16"/>
  <c r="A192" i="16" l="1"/>
  <c r="H191" i="16"/>
  <c r="G191" i="16"/>
  <c r="B191" i="16"/>
  <c r="F191" i="16"/>
  <c r="H192" i="16" l="1"/>
  <c r="B192" i="16"/>
  <c r="A193" i="16"/>
  <c r="G192" i="16"/>
  <c r="F192" i="16"/>
  <c r="H193" i="16" l="1"/>
  <c r="B193" i="16"/>
  <c r="G193" i="16"/>
  <c r="F193" i="16"/>
  <c r="A194" i="16"/>
  <c r="G194" i="16" l="1"/>
  <c r="B194" i="16"/>
  <c r="A195" i="16"/>
  <c r="H194" i="16"/>
  <c r="F194" i="16"/>
  <c r="F195" i="16" l="1"/>
  <c r="H195" i="16"/>
  <c r="G195" i="16"/>
  <c r="A196" i="16"/>
  <c r="B195" i="16"/>
  <c r="A197" i="16" l="1"/>
  <c r="F196" i="16"/>
  <c r="B196" i="16"/>
  <c r="H196" i="16"/>
  <c r="G196" i="16"/>
  <c r="F197" i="16" l="1"/>
  <c r="B197" i="16"/>
  <c r="H197" i="16"/>
  <c r="G197" i="16"/>
  <c r="A198" i="16"/>
  <c r="G198" i="16" l="1"/>
  <c r="B198" i="16"/>
  <c r="F198" i="16"/>
  <c r="H198" i="16"/>
  <c r="A199" i="16"/>
  <c r="A200" i="16" l="1"/>
  <c r="H199" i="16"/>
  <c r="G199" i="16"/>
  <c r="F199" i="16"/>
  <c r="B199" i="16"/>
  <c r="G200" i="16" l="1"/>
  <c r="B200" i="16"/>
  <c r="A201" i="16"/>
  <c r="H200" i="16"/>
  <c r="F200" i="16"/>
  <c r="A202" i="16" l="1"/>
  <c r="H201" i="16"/>
  <c r="F201" i="16"/>
  <c r="B201" i="16"/>
  <c r="G201" i="16"/>
  <c r="B202" i="16" l="1"/>
  <c r="F202" i="16"/>
  <c r="G202" i="16"/>
  <c r="A203" i="16"/>
  <c r="H202" i="16"/>
  <c r="A204" i="16" l="1"/>
  <c r="H203" i="16"/>
  <c r="B203" i="16"/>
  <c r="F203" i="16"/>
  <c r="G203" i="16"/>
  <c r="G204" i="16" l="1"/>
  <c r="F204" i="16"/>
  <c r="B204" i="16"/>
  <c r="H204" i="16"/>
  <c r="A205" i="16"/>
  <c r="F205" i="16" l="1"/>
  <c r="H205" i="16"/>
  <c r="G205" i="16"/>
  <c r="B205" i="16"/>
  <c r="A206" i="16"/>
  <c r="G206" i="16" l="1"/>
  <c r="F206" i="16"/>
  <c r="H206" i="16"/>
  <c r="B206" i="16"/>
  <c r="A207" i="16"/>
  <c r="G207" i="16" l="1"/>
  <c r="H207" i="16"/>
  <c r="B207" i="16"/>
  <c r="A208" i="16"/>
  <c r="F207" i="16"/>
  <c r="G208" i="16" l="1"/>
  <c r="F208" i="16"/>
  <c r="B208" i="16"/>
  <c r="H208" i="16"/>
  <c r="A209" i="16"/>
  <c r="B209" i="16" l="1"/>
  <c r="G209" i="16"/>
  <c r="A210" i="16"/>
  <c r="H209" i="16"/>
  <c r="F209" i="16"/>
  <c r="G210" i="16" l="1"/>
  <c r="A211" i="16"/>
  <c r="B210" i="16"/>
  <c r="F210" i="16"/>
  <c r="H210" i="16"/>
  <c r="B211" i="16" l="1"/>
  <c r="A212" i="16"/>
  <c r="H211" i="16"/>
  <c r="G211" i="16"/>
  <c r="F211" i="16"/>
  <c r="F212" i="16" l="1"/>
  <c r="H212" i="16"/>
  <c r="A213" i="16"/>
  <c r="G212" i="16"/>
  <c r="B212" i="16"/>
  <c r="A214" i="16" l="1"/>
  <c r="G213" i="16"/>
  <c r="F213" i="16"/>
  <c r="H213" i="16"/>
  <c r="B213" i="16"/>
  <c r="G214" i="16" l="1"/>
  <c r="A215" i="16"/>
  <c r="H214" i="16"/>
  <c r="F214" i="16"/>
  <c r="B214" i="16"/>
  <c r="G215" i="16" l="1"/>
  <c r="A216" i="16"/>
  <c r="H215" i="16"/>
  <c r="B215" i="16"/>
  <c r="F215" i="16"/>
  <c r="B216" i="16" l="1"/>
  <c r="G216" i="16"/>
  <c r="F216" i="16"/>
  <c r="A217" i="16"/>
  <c r="H216" i="16"/>
  <c r="F217" i="16" l="1"/>
  <c r="A218" i="16"/>
  <c r="H217" i="16"/>
  <c r="G217" i="16"/>
  <c r="B217" i="16"/>
  <c r="G218" i="16" l="1"/>
  <c r="H218" i="16"/>
  <c r="A219" i="16"/>
  <c r="F218" i="16"/>
  <c r="B218" i="16"/>
  <c r="B219" i="16" l="1"/>
  <c r="A220" i="16"/>
  <c r="H219" i="16"/>
  <c r="G219" i="16"/>
  <c r="F219" i="16"/>
  <c r="B220" i="16" l="1"/>
  <c r="A221" i="16"/>
  <c r="H220" i="16"/>
  <c r="G220" i="16"/>
  <c r="F220" i="16"/>
  <c r="G221" i="16" l="1"/>
  <c r="A222" i="16"/>
  <c r="B221" i="16"/>
  <c r="H221" i="16"/>
  <c r="F221" i="16"/>
  <c r="A223" i="16" l="1"/>
  <c r="F222" i="16"/>
  <c r="B222" i="16"/>
  <c r="H222" i="16"/>
  <c r="G222" i="16"/>
  <c r="B223" i="16" l="1"/>
  <c r="G223" i="16"/>
  <c r="F223" i="16"/>
  <c r="H223" i="16"/>
  <c r="A224" i="16"/>
  <c r="F224" i="16" l="1"/>
  <c r="A225" i="16"/>
  <c r="H224" i="16"/>
  <c r="G224" i="16"/>
  <c r="B224" i="16"/>
  <c r="G225" i="16" l="1"/>
  <c r="H225" i="16"/>
  <c r="F225" i="16"/>
  <c r="B225" i="16"/>
  <c r="A226" i="16"/>
  <c r="F226" i="16" l="1"/>
  <c r="B226" i="16"/>
  <c r="H226" i="16"/>
  <c r="G226" i="16"/>
  <c r="A227" i="16"/>
  <c r="G227" i="16" l="1"/>
  <c r="B227" i="16"/>
  <c r="H227" i="16"/>
  <c r="A228" i="16"/>
  <c r="F227" i="16"/>
  <c r="G228" i="16" l="1"/>
  <c r="H228" i="16"/>
  <c r="F228" i="16"/>
  <c r="B228" i="16"/>
  <c r="A229" i="16"/>
  <c r="F229" i="16" l="1"/>
  <c r="B229" i="16"/>
  <c r="A230" i="16"/>
  <c r="H229" i="16"/>
  <c r="G229" i="16"/>
  <c r="B230" i="16" l="1"/>
  <c r="A231" i="16"/>
  <c r="F230" i="16"/>
  <c r="H230" i="16"/>
  <c r="G230" i="16"/>
  <c r="B231" i="16" l="1"/>
  <c r="F231" i="16"/>
  <c r="G231" i="16"/>
  <c r="H231" i="16"/>
  <c r="A232" i="16"/>
  <c r="A233" i="16" l="1"/>
  <c r="F232" i="16"/>
  <c r="H232" i="16"/>
  <c r="G232" i="16"/>
  <c r="B232" i="16"/>
  <c r="B233" i="16" l="1"/>
  <c r="G233" i="16"/>
  <c r="A234" i="16"/>
  <c r="F233" i="16"/>
  <c r="H233" i="16"/>
  <c r="F234" i="16" l="1"/>
  <c r="H234" i="16"/>
  <c r="A235" i="16"/>
  <c r="G234" i="16"/>
  <c r="B234" i="16"/>
  <c r="G235" i="16" l="1"/>
  <c r="H235" i="16"/>
  <c r="A236" i="16"/>
  <c r="F235" i="16"/>
  <c r="B235" i="16"/>
  <c r="H236" i="16" l="1"/>
  <c r="F236" i="16"/>
  <c r="G236" i="16"/>
  <c r="B236" i="16"/>
  <c r="A237" i="16"/>
  <c r="B237" i="16" l="1"/>
  <c r="H237" i="16"/>
  <c r="G237" i="16"/>
  <c r="F237" i="16"/>
  <c r="A238" i="16"/>
  <c r="G238" i="16" l="1"/>
  <c r="A239" i="16"/>
  <c r="H238" i="16"/>
  <c r="F238" i="16"/>
  <c r="B238" i="16"/>
  <c r="G239" i="16" l="1"/>
  <c r="F239" i="16"/>
  <c r="B239" i="16"/>
  <c r="H239" i="16"/>
  <c r="A240" i="16"/>
  <c r="B240" i="16" l="1"/>
  <c r="A241" i="16"/>
  <c r="H240" i="16"/>
  <c r="G240" i="16"/>
  <c r="F240" i="16"/>
  <c r="F241" i="16" l="1"/>
  <c r="H241" i="16"/>
  <c r="B241" i="16"/>
  <c r="A242" i="16"/>
  <c r="G241" i="16"/>
  <c r="G242" i="16" l="1"/>
  <c r="H242" i="16"/>
  <c r="A243" i="16"/>
  <c r="F242" i="16"/>
  <c r="B242" i="16"/>
  <c r="F243" i="16" l="1"/>
  <c r="B243" i="16"/>
  <c r="H243" i="16"/>
  <c r="A244" i="16"/>
  <c r="G243" i="16"/>
  <c r="B244" i="16" l="1"/>
  <c r="G244" i="16"/>
  <c r="H244" i="16"/>
  <c r="F244" i="16"/>
  <c r="A245" i="16"/>
  <c r="F245" i="16" l="1"/>
  <c r="G245" i="16"/>
  <c r="A246" i="16"/>
  <c r="H245" i="16"/>
  <c r="B245" i="16"/>
  <c r="B246" i="16" l="1"/>
  <c r="F246" i="16"/>
  <c r="A247" i="16"/>
  <c r="H246" i="16"/>
  <c r="G246" i="16"/>
  <c r="G247" i="16" l="1"/>
  <c r="A248" i="16"/>
  <c r="B247" i="16"/>
  <c r="H247" i="16"/>
  <c r="F247" i="16"/>
  <c r="H248" i="16" l="1"/>
  <c r="G248" i="16"/>
  <c r="A249" i="16"/>
  <c r="F248" i="16"/>
  <c r="B248" i="16"/>
  <c r="G249" i="16" l="1"/>
  <c r="B249" i="16"/>
  <c r="A250" i="16"/>
  <c r="F249" i="16"/>
  <c r="H249" i="16"/>
  <c r="A251" i="16" l="1"/>
  <c r="F250" i="16"/>
  <c r="B250" i="16"/>
  <c r="H250" i="16"/>
  <c r="G250" i="16"/>
  <c r="B251" i="16" l="1"/>
  <c r="A252" i="16"/>
  <c r="H251" i="16"/>
  <c r="G251" i="16"/>
  <c r="F251" i="16"/>
  <c r="B252" i="16" l="1"/>
  <c r="H252" i="16"/>
  <c r="G252" i="16"/>
  <c r="F252" i="16"/>
  <c r="A253" i="16"/>
  <c r="G253" i="16" l="1"/>
  <c r="A254" i="16"/>
  <c r="H253" i="16"/>
  <c r="F253" i="16"/>
  <c r="B253" i="16"/>
  <c r="B254" i="16" l="1"/>
  <c r="A255" i="16"/>
  <c r="H254" i="16"/>
  <c r="G254" i="16"/>
  <c r="F254" i="16"/>
  <c r="H255" i="16" l="1"/>
  <c r="B255" i="16"/>
  <c r="A256" i="16"/>
  <c r="G255" i="16"/>
  <c r="F255" i="16"/>
  <c r="G256" i="16" l="1"/>
  <c r="H256" i="16"/>
  <c r="F256" i="16"/>
  <c r="B256" i="16"/>
  <c r="A257" i="16"/>
  <c r="H257" i="16" l="1"/>
  <c r="F257" i="16"/>
  <c r="A258" i="16"/>
  <c r="B257" i="16"/>
  <c r="G257" i="16"/>
  <c r="B258" i="16" l="1"/>
  <c r="G258" i="16"/>
  <c r="H258" i="16"/>
  <c r="F258" i="16"/>
  <c r="A259" i="16"/>
  <c r="H259" i="16" l="1"/>
  <c r="G259" i="16"/>
  <c r="A260" i="16"/>
  <c r="F259" i="16"/>
  <c r="B259" i="16"/>
  <c r="B260" i="16" l="1"/>
  <c r="A261" i="16"/>
  <c r="F260" i="16"/>
  <c r="H260" i="16"/>
  <c r="G260" i="16"/>
  <c r="G261" i="16" l="1"/>
  <c r="H261" i="16"/>
  <c r="B261" i="16"/>
  <c r="F261" i="16"/>
  <c r="A262" i="16"/>
  <c r="B262" i="16" l="1"/>
  <c r="A263" i="16"/>
  <c r="H262" i="16"/>
  <c r="G262" i="16"/>
  <c r="F262" i="16"/>
  <c r="G263" i="16" l="1"/>
  <c r="B263" i="16"/>
  <c r="H263" i="16"/>
  <c r="A264" i="16"/>
  <c r="F263" i="16"/>
  <c r="A265" i="16" l="1"/>
  <c r="F264" i="16"/>
  <c r="B264" i="16"/>
  <c r="H264" i="16"/>
  <c r="G264" i="16"/>
  <c r="B265" i="16" l="1"/>
  <c r="H265" i="16"/>
  <c r="G265" i="16"/>
  <c r="F265" i="16"/>
  <c r="A266" i="16"/>
  <c r="G266" i="16" l="1"/>
  <c r="H266" i="16"/>
  <c r="F266" i="16"/>
  <c r="B266" i="16"/>
  <c r="A267" i="16"/>
  <c r="G267" i="16" l="1"/>
  <c r="F267" i="16"/>
  <c r="H267" i="16"/>
  <c r="A268" i="16"/>
  <c r="B267" i="16"/>
  <c r="G268" i="16" l="1"/>
  <c r="H268" i="16"/>
  <c r="F268" i="16"/>
  <c r="A269" i="16"/>
  <c r="B268" i="16"/>
  <c r="B269" i="16" l="1"/>
  <c r="F269" i="16"/>
  <c r="A270" i="16"/>
  <c r="H269" i="16"/>
  <c r="G269" i="16"/>
  <c r="G270" i="16" l="1"/>
  <c r="A271" i="16"/>
  <c r="H270" i="16"/>
  <c r="F270" i="16"/>
  <c r="B270" i="16"/>
  <c r="F271" i="16" l="1"/>
  <c r="B271" i="16"/>
  <c r="A272" i="16"/>
  <c r="H271" i="16"/>
  <c r="G271" i="16"/>
  <c r="B272" i="16" l="1"/>
  <c r="F272" i="16"/>
  <c r="A273" i="16"/>
  <c r="H272" i="16"/>
  <c r="G272" i="16"/>
  <c r="B273" i="16" l="1"/>
  <c r="F273" i="16"/>
  <c r="A274" i="16"/>
  <c r="H273" i="16"/>
  <c r="G273" i="16"/>
  <c r="H274" i="16" l="1"/>
  <c r="A275" i="16"/>
  <c r="G274" i="16"/>
  <c r="F274" i="16"/>
  <c r="B274" i="16"/>
  <c r="G275" i="16" l="1"/>
  <c r="H275" i="16"/>
  <c r="F275" i="16"/>
  <c r="B275" i="16"/>
  <c r="A276" i="16"/>
  <c r="G276" i="16" l="1"/>
  <c r="F276" i="16"/>
  <c r="A277" i="16"/>
  <c r="H276" i="16"/>
  <c r="B276" i="16"/>
  <c r="G277" i="16" l="1"/>
  <c r="B277" i="16"/>
  <c r="A278" i="16"/>
  <c r="F277" i="16"/>
  <c r="H277" i="16"/>
  <c r="F278" i="16" l="1"/>
  <c r="G278" i="16"/>
  <c r="A279" i="16"/>
  <c r="H278" i="16"/>
  <c r="B278" i="16"/>
  <c r="B279" i="16" l="1"/>
  <c r="F279" i="16"/>
  <c r="A280" i="16"/>
  <c r="H279" i="16"/>
  <c r="G279" i="16"/>
  <c r="B280" i="16" l="1"/>
  <c r="G280" i="16"/>
  <c r="A281" i="16"/>
  <c r="H280" i="16"/>
  <c r="F280" i="16"/>
  <c r="F281" i="16" l="1"/>
  <c r="A282" i="16"/>
  <c r="G281" i="16"/>
  <c r="B281" i="16"/>
  <c r="H281" i="16"/>
  <c r="B282" i="16" l="1"/>
  <c r="F282" i="16"/>
  <c r="G282" i="16"/>
  <c r="A283" i="16"/>
  <c r="H282" i="16"/>
  <c r="B283" i="16" l="1"/>
  <c r="A284" i="16"/>
  <c r="G283" i="16"/>
  <c r="H283" i="16"/>
  <c r="F283" i="16"/>
  <c r="G284" i="16" l="1"/>
  <c r="A285" i="16"/>
  <c r="H284" i="16"/>
  <c r="B284" i="16"/>
  <c r="F284" i="16"/>
  <c r="H285" i="16" l="1"/>
  <c r="A286" i="16"/>
  <c r="F285" i="16"/>
  <c r="G285" i="16"/>
  <c r="B285" i="16"/>
  <c r="B286" i="16" l="1"/>
  <c r="A287" i="16"/>
  <c r="H286" i="16"/>
  <c r="G286" i="16"/>
  <c r="F286" i="16"/>
  <c r="G287" i="16" l="1"/>
  <c r="H287" i="16"/>
  <c r="F287" i="16"/>
  <c r="B287" i="16"/>
  <c r="A288" i="16"/>
  <c r="G288" i="16" l="1"/>
  <c r="B288" i="16"/>
  <c r="A289" i="16"/>
  <c r="H288" i="16"/>
  <c r="F288" i="16"/>
  <c r="B289" i="16" l="1"/>
  <c r="F289" i="16"/>
  <c r="H289" i="16"/>
  <c r="G289" i="16"/>
  <c r="A290" i="16"/>
  <c r="F290" i="16" l="1"/>
  <c r="B290" i="16"/>
  <c r="A291" i="16"/>
  <c r="G290" i="16"/>
  <c r="H290" i="16"/>
  <c r="G291" i="16" l="1"/>
  <c r="H291" i="16"/>
  <c r="F291" i="16"/>
  <c r="A292" i="16"/>
  <c r="B291" i="16"/>
  <c r="B292" i="16" l="1"/>
  <c r="F292" i="16"/>
  <c r="A293" i="16"/>
  <c r="H292" i="16"/>
  <c r="G292" i="16"/>
  <c r="B293" i="16" l="1"/>
  <c r="H293" i="16"/>
  <c r="F293" i="16"/>
  <c r="A294" i="16"/>
  <c r="G293" i="16"/>
  <c r="B294" i="16" l="1"/>
  <c r="G294" i="16"/>
  <c r="A295" i="16"/>
  <c r="H294" i="16"/>
  <c r="F294" i="16"/>
  <c r="F295" i="16" l="1"/>
  <c r="A296" i="16"/>
  <c r="H295" i="16"/>
  <c r="G295" i="16"/>
  <c r="B295" i="16"/>
  <c r="G296" i="16" l="1"/>
  <c r="A297" i="16"/>
  <c r="H296" i="16"/>
  <c r="B296" i="16"/>
  <c r="F296" i="16"/>
  <c r="B297" i="16" l="1"/>
  <c r="A298" i="16"/>
  <c r="F297" i="16"/>
  <c r="H297" i="16"/>
  <c r="G297" i="16"/>
  <c r="G298" i="16" l="1"/>
  <c r="B298" i="16"/>
  <c r="A299" i="16"/>
  <c r="F298" i="16"/>
  <c r="H298" i="16"/>
  <c r="A300" i="16" l="1"/>
  <c r="B299" i="16"/>
  <c r="G299" i="16"/>
  <c r="F299" i="16"/>
  <c r="H299" i="16"/>
  <c r="B300" i="16" l="1"/>
  <c r="G300" i="16"/>
  <c r="A301" i="16"/>
  <c r="H300" i="16"/>
  <c r="F300" i="16"/>
  <c r="B301" i="16" l="1"/>
  <c r="G301" i="16"/>
  <c r="F301" i="16"/>
  <c r="A302" i="16"/>
  <c r="H301" i="16"/>
  <c r="F302" i="16" l="1"/>
  <c r="A303" i="16"/>
  <c r="H302" i="16"/>
  <c r="G302" i="16"/>
  <c r="B302" i="16"/>
  <c r="A304" i="16" l="1"/>
  <c r="H303" i="16"/>
  <c r="G303" i="16"/>
  <c r="F303" i="16"/>
  <c r="B303" i="16"/>
  <c r="H304" i="16" l="1"/>
  <c r="A305" i="16"/>
  <c r="B304" i="16"/>
  <c r="G304" i="16"/>
  <c r="F304" i="16"/>
  <c r="G305" i="16" l="1"/>
  <c r="H305" i="16"/>
  <c r="A306" i="16"/>
  <c r="B305" i="16"/>
  <c r="F305" i="16"/>
  <c r="H306" i="16" l="1"/>
  <c r="F306" i="16"/>
  <c r="B306" i="16"/>
  <c r="G306" i="16"/>
  <c r="A307" i="16"/>
  <c r="B307" i="16" l="1"/>
  <c r="G307" i="16"/>
  <c r="A308" i="16"/>
  <c r="H307" i="16"/>
  <c r="F307" i="16"/>
  <c r="H308" i="16" l="1"/>
  <c r="B308" i="16"/>
  <c r="G308" i="16"/>
  <c r="A309" i="16"/>
  <c r="F308" i="16"/>
  <c r="B309" i="16" l="1"/>
  <c r="A310" i="16"/>
  <c r="G309" i="16"/>
  <c r="F309" i="16"/>
  <c r="H309" i="16"/>
  <c r="H310" i="16" l="1"/>
  <c r="G310" i="16"/>
  <c r="B310" i="16"/>
  <c r="F310" i="16"/>
  <c r="A311" i="16"/>
  <c r="A312" i="16" l="1"/>
  <c r="H311" i="16"/>
  <c r="G311" i="16"/>
  <c r="F311" i="16"/>
  <c r="B311" i="16"/>
  <c r="G312" i="16" l="1"/>
  <c r="F312" i="16"/>
  <c r="H312" i="16"/>
  <c r="B312" i="16"/>
  <c r="A313" i="16"/>
  <c r="A314" i="16" l="1"/>
  <c r="B313" i="16"/>
  <c r="H313" i="16"/>
  <c r="G313" i="16"/>
  <c r="F313" i="16"/>
  <c r="B314" i="16" l="1"/>
  <c r="F314" i="16"/>
  <c r="H314" i="16"/>
  <c r="G314" i="16"/>
  <c r="A315" i="16"/>
  <c r="A316" i="16" l="1"/>
  <c r="F315" i="16"/>
  <c r="H315" i="16"/>
  <c r="G315" i="16"/>
  <c r="B315" i="16"/>
  <c r="G316" i="16" l="1"/>
  <c r="H316" i="16"/>
  <c r="F316" i="16"/>
  <c r="B316" i="16"/>
  <c r="A317" i="16"/>
  <c r="A318" i="16" l="1"/>
  <c r="H317" i="16"/>
  <c r="G317" i="16"/>
  <c r="B317" i="16"/>
  <c r="F317" i="16"/>
  <c r="B318" i="16" l="1"/>
  <c r="G318" i="16"/>
  <c r="A319" i="16"/>
  <c r="H318" i="16"/>
  <c r="F318" i="16"/>
  <c r="G319" i="16" l="1"/>
  <c r="A320" i="16"/>
  <c r="F319" i="16"/>
  <c r="B319" i="16"/>
  <c r="H319" i="16"/>
  <c r="G320" i="16" l="1"/>
  <c r="F320" i="16"/>
  <c r="A321" i="16"/>
  <c r="H320" i="16"/>
  <c r="B320" i="16"/>
  <c r="B321" i="16" l="1"/>
  <c r="G321" i="16"/>
  <c r="F321" i="16"/>
  <c r="A322" i="16"/>
  <c r="H321" i="16"/>
  <c r="F322" i="16" l="1"/>
  <c r="G322" i="16"/>
  <c r="B322" i="16"/>
  <c r="A323" i="16"/>
  <c r="H322" i="16"/>
  <c r="A324" i="16" l="1"/>
  <c r="H323" i="16"/>
  <c r="G323" i="16"/>
  <c r="F323" i="16"/>
  <c r="B323" i="16"/>
  <c r="G324" i="16" l="1"/>
  <c r="H324" i="16"/>
  <c r="F324" i="16"/>
  <c r="B324" i="16"/>
  <c r="A325" i="16"/>
  <c r="G325" i="16" l="1"/>
  <c r="H325" i="16"/>
  <c r="A326" i="16"/>
  <c r="F325" i="16"/>
  <c r="B325" i="16"/>
  <c r="G326" i="16" l="1"/>
  <c r="F326" i="16"/>
  <c r="B326" i="16"/>
  <c r="A327" i="16"/>
  <c r="H326" i="16"/>
  <c r="F327" i="16" l="1"/>
  <c r="H327" i="16"/>
  <c r="G327" i="16"/>
  <c r="B327" i="16"/>
  <c r="A328" i="16"/>
  <c r="B328" i="16" l="1"/>
  <c r="F328" i="16"/>
  <c r="A329" i="16"/>
  <c r="H328" i="16"/>
  <c r="G328" i="16"/>
  <c r="B329" i="16" l="1"/>
  <c r="H329" i="16"/>
  <c r="F329" i="16"/>
  <c r="A330" i="16"/>
  <c r="G329" i="16"/>
  <c r="F330" i="16" l="1"/>
  <c r="H330" i="16"/>
  <c r="G330" i="16"/>
  <c r="B330" i="16"/>
  <c r="A331" i="16"/>
  <c r="F331" i="16" l="1"/>
  <c r="B331" i="16"/>
  <c r="H331" i="16"/>
  <c r="G331" i="16"/>
  <c r="A332" i="16"/>
  <c r="A333" i="16" l="1"/>
  <c r="B332" i="16"/>
  <c r="H332" i="16"/>
  <c r="G332" i="16"/>
  <c r="F332" i="16"/>
  <c r="G333" i="16" l="1"/>
  <c r="J333" i="16" s="1"/>
  <c r="A334" i="16"/>
  <c r="F333" i="16"/>
  <c r="I333" i="16" s="1"/>
  <c r="H333" i="16"/>
  <c r="K333" i="16" s="1"/>
  <c r="B333" i="16"/>
  <c r="H334" i="16" l="1"/>
  <c r="A335" i="16"/>
  <c r="B334" i="16"/>
  <c r="G334" i="16"/>
  <c r="F334" i="16"/>
  <c r="I334" i="16" s="1"/>
  <c r="K334" i="16"/>
  <c r="J334" i="16"/>
  <c r="B335" i="16" l="1"/>
  <c r="A336" i="16"/>
  <c r="G335" i="16"/>
  <c r="F335" i="16"/>
  <c r="I335" i="16" s="1"/>
  <c r="H335" i="16"/>
  <c r="J335" i="16"/>
  <c r="K335" i="16"/>
  <c r="G336" i="16" l="1"/>
  <c r="J336" i="16" s="1"/>
  <c r="F336" i="16"/>
  <c r="I336" i="16" s="1"/>
  <c r="A337" i="16"/>
  <c r="H336" i="16"/>
  <c r="K336" i="16" s="1"/>
  <c r="B336" i="16"/>
  <c r="B337" i="16" l="1"/>
  <c r="G337" i="16"/>
  <c r="J337" i="16" s="1"/>
  <c r="F337" i="16"/>
  <c r="I337" i="16" s="1"/>
  <c r="A338" i="16"/>
  <c r="H337" i="16"/>
  <c r="K337" i="16" s="1"/>
  <c r="F338" i="16" l="1"/>
  <c r="I338" i="16" s="1"/>
  <c r="H338" i="16"/>
  <c r="K338" i="16" s="1"/>
  <c r="G338" i="16"/>
  <c r="J338" i="16" s="1"/>
  <c r="A339" i="16"/>
  <c r="B338" i="16"/>
  <c r="B339" i="16" l="1"/>
  <c r="A340" i="16"/>
  <c r="F339" i="16"/>
  <c r="I339" i="16" s="1"/>
  <c r="H339" i="16"/>
  <c r="K339" i="16" s="1"/>
  <c r="G339" i="16"/>
  <c r="J339" i="16" s="1"/>
  <c r="G340" i="16" l="1"/>
  <c r="J340" i="16" s="1"/>
  <c r="B340" i="16"/>
  <c r="A341" i="16"/>
  <c r="H340" i="16"/>
  <c r="K340" i="16" s="1"/>
  <c r="F340" i="16"/>
  <c r="I340" i="16" s="1"/>
  <c r="A342" i="16" l="1"/>
  <c r="B341" i="16"/>
  <c r="F341" i="16"/>
  <c r="I341" i="16" s="1"/>
  <c r="H341" i="16"/>
  <c r="K341" i="16" s="1"/>
  <c r="G341" i="16"/>
  <c r="J341" i="16" s="1"/>
  <c r="B342" i="16" l="1"/>
  <c r="G342" i="16"/>
  <c r="J342" i="16" s="1"/>
  <c r="H342" i="16"/>
  <c r="K342" i="16" s="1"/>
  <c r="F342" i="16"/>
  <c r="I342" i="16" s="1"/>
  <c r="A343" i="16"/>
  <c r="A344" i="16" l="1"/>
  <c r="B343" i="16"/>
  <c r="H343" i="16"/>
  <c r="K343" i="16" s="1"/>
  <c r="G343" i="16"/>
  <c r="J343" i="16" s="1"/>
  <c r="F343" i="16"/>
  <c r="I343" i="16" s="1"/>
  <c r="A345" i="16" l="1"/>
  <c r="H344" i="16"/>
  <c r="K344" i="16" s="1"/>
  <c r="F344" i="16"/>
  <c r="I344" i="16" s="1"/>
  <c r="B344" i="16"/>
  <c r="G344" i="16"/>
  <c r="J344" i="16" s="1"/>
  <c r="B345" i="16" l="1"/>
  <c r="G345" i="16"/>
  <c r="J345" i="16" s="1"/>
  <c r="F345" i="16"/>
  <c r="I345" i="16" s="1"/>
  <c r="A346" i="16"/>
  <c r="H345" i="16"/>
  <c r="K345" i="16" s="1"/>
  <c r="B346" i="16" l="1"/>
  <c r="H346" i="16"/>
  <c r="K346" i="16" s="1"/>
  <c r="A347" i="16"/>
  <c r="G346" i="16"/>
  <c r="J346" i="16" s="1"/>
  <c r="F346" i="16"/>
  <c r="I346" i="16" s="1"/>
  <c r="G347" i="16" l="1"/>
  <c r="J347" i="16" s="1"/>
  <c r="B347" i="16"/>
  <c r="F347" i="16"/>
  <c r="I347" i="16" s="1"/>
  <c r="A348" i="16"/>
  <c r="H347" i="16"/>
  <c r="K347" i="16" s="1"/>
  <c r="H348" i="16" l="1"/>
  <c r="K348" i="16" s="1"/>
  <c r="A349" i="16"/>
  <c r="G348" i="16"/>
  <c r="J348" i="16" s="1"/>
  <c r="B348" i="16"/>
  <c r="F348" i="16"/>
  <c r="I348" i="16" s="1"/>
  <c r="B349" i="16" l="1"/>
  <c r="F349" i="16"/>
  <c r="I349" i="16" s="1"/>
  <c r="H349" i="16"/>
  <c r="K349" i="16" s="1"/>
  <c r="G349" i="16"/>
  <c r="J349" i="16" s="1"/>
  <c r="A350" i="16"/>
  <c r="A351" i="16" l="1"/>
  <c r="H350" i="16"/>
  <c r="K350" i="16" s="1"/>
  <c r="F350" i="16"/>
  <c r="I350" i="16" s="1"/>
  <c r="B350" i="16"/>
  <c r="G350" i="16"/>
  <c r="J350" i="16" s="1"/>
  <c r="H351" i="16" l="1"/>
  <c r="K351" i="16" s="1"/>
  <c r="F351" i="16"/>
  <c r="I351" i="16" s="1"/>
  <c r="A352" i="16"/>
  <c r="B351" i="16"/>
  <c r="G351" i="16"/>
  <c r="J351" i="16" s="1"/>
  <c r="H352" i="16" l="1"/>
  <c r="K352" i="16" s="1"/>
  <c r="G352" i="16"/>
  <c r="J352" i="16" s="1"/>
  <c r="A353" i="16"/>
  <c r="F352" i="16"/>
  <c r="I352" i="16" s="1"/>
  <c r="B352" i="16"/>
  <c r="G353" i="16" l="1"/>
  <c r="J353" i="16" s="1"/>
  <c r="F353" i="16"/>
  <c r="I353" i="16" s="1"/>
  <c r="B353" i="16"/>
  <c r="A354" i="16"/>
  <c r="H353" i="16"/>
  <c r="K353" i="16" s="1"/>
  <c r="G354" i="16" l="1"/>
  <c r="J354" i="16" s="1"/>
  <c r="H354" i="16"/>
  <c r="K354" i="16" s="1"/>
  <c r="F354" i="16"/>
  <c r="I354" i="16" s="1"/>
  <c r="B354" i="16"/>
  <c r="A355" i="16"/>
  <c r="F355" i="16" l="1"/>
  <c r="I355" i="16" s="1"/>
  <c r="G355" i="16"/>
  <c r="J355" i="16" s="1"/>
  <c r="A356" i="16"/>
  <c r="H355" i="16"/>
  <c r="K355" i="16" s="1"/>
  <c r="B355" i="16"/>
  <c r="B356" i="16" l="1"/>
  <c r="G356" i="16"/>
  <c r="J356" i="16" s="1"/>
  <c r="A357" i="16"/>
  <c r="H356" i="16"/>
  <c r="K356" i="16" s="1"/>
  <c r="F356" i="16"/>
  <c r="I356" i="16" s="1"/>
  <c r="B357" i="16" l="1"/>
  <c r="G357" i="16"/>
  <c r="J357" i="16" s="1"/>
  <c r="A358" i="16"/>
  <c r="F357" i="16"/>
  <c r="I357" i="16" s="1"/>
  <c r="H357" i="16"/>
  <c r="K357" i="16" s="1"/>
  <c r="A359" i="16" l="1"/>
  <c r="F358" i="16"/>
  <c r="I358" i="16" s="1"/>
  <c r="B358" i="16"/>
  <c r="H358" i="16"/>
  <c r="K358" i="16" s="1"/>
  <c r="G358" i="16"/>
  <c r="J358" i="16" s="1"/>
  <c r="G359" i="16" l="1"/>
  <c r="J359" i="16" s="1"/>
  <c r="H359" i="16"/>
  <c r="K359" i="16" s="1"/>
  <c r="A360" i="16"/>
  <c r="F359" i="16"/>
  <c r="I359" i="16" s="1"/>
  <c r="B359" i="16"/>
  <c r="G360" i="16" l="1"/>
  <c r="J360" i="16" s="1"/>
  <c r="A361" i="16"/>
  <c r="H360" i="16"/>
  <c r="K360" i="16" s="1"/>
  <c r="B360" i="16"/>
  <c r="F360" i="16"/>
  <c r="I360" i="16" s="1"/>
  <c r="G361" i="16" l="1"/>
  <c r="J361" i="16" s="1"/>
  <c r="H361" i="16"/>
  <c r="K361" i="16" s="1"/>
  <c r="A362" i="16"/>
  <c r="F361" i="16"/>
  <c r="I361" i="16" s="1"/>
  <c r="B361" i="16"/>
  <c r="H362" i="16" l="1"/>
  <c r="K362" i="16" s="1"/>
  <c r="B362" i="16"/>
  <c r="A363" i="16"/>
  <c r="G362" i="16"/>
  <c r="J362" i="16" s="1"/>
  <c r="F362" i="16"/>
  <c r="I362" i="16" s="1"/>
  <c r="B363" i="16" l="1"/>
  <c r="H363" i="16"/>
  <c r="K363" i="16" s="1"/>
  <c r="A364" i="16"/>
  <c r="G363" i="16"/>
  <c r="J363" i="16" s="1"/>
  <c r="F363" i="16"/>
  <c r="I363" i="16" s="1"/>
  <c r="B364" i="16" l="1"/>
  <c r="H364" i="16"/>
  <c r="K364" i="16" s="1"/>
  <c r="A365" i="16"/>
  <c r="G364" i="16"/>
  <c r="J364" i="16" s="1"/>
  <c r="F364" i="16"/>
  <c r="I364" i="16" s="1"/>
  <c r="H365" i="16" l="1"/>
  <c r="K365" i="16" s="1"/>
  <c r="B365" i="16"/>
  <c r="G365" i="16"/>
  <c r="J365" i="16" s="1"/>
  <c r="F365" i="16"/>
  <c r="I365" i="16" s="1"/>
  <c r="A366" i="16"/>
  <c r="H366" i="16" l="1"/>
  <c r="K366" i="16" s="1"/>
  <c r="A367" i="16"/>
  <c r="F366" i="16"/>
  <c r="I366" i="16" s="1"/>
  <c r="G366" i="16"/>
  <c r="J366" i="16" s="1"/>
  <c r="B366" i="16"/>
  <c r="H367" i="16" l="1"/>
  <c r="K367" i="16" s="1"/>
  <c r="F367" i="16"/>
  <c r="I367" i="16" s="1"/>
  <c r="A368" i="16"/>
  <c r="G367" i="16"/>
  <c r="J367" i="16" s="1"/>
  <c r="B367" i="16"/>
  <c r="G368" i="16" l="1"/>
  <c r="J368" i="16" s="1"/>
  <c r="H368" i="16"/>
  <c r="K368" i="16" s="1"/>
  <c r="A369" i="16"/>
  <c r="F368" i="16"/>
  <c r="I368" i="16" s="1"/>
  <c r="B368" i="16"/>
  <c r="H369" i="16" l="1"/>
  <c r="K369" i="16" s="1"/>
  <c r="B369" i="16"/>
  <c r="G369" i="16"/>
  <c r="J369" i="16" s="1"/>
  <c r="F369" i="16"/>
  <c r="I369" i="16" s="1"/>
  <c r="A370" i="16"/>
  <c r="B370" i="16" l="1"/>
  <c r="G370" i="16"/>
  <c r="J370" i="16" s="1"/>
  <c r="A371" i="16"/>
  <c r="H370" i="16"/>
  <c r="K370" i="16" s="1"/>
  <c r="F370" i="16"/>
  <c r="I370" i="16" s="1"/>
  <c r="H371" i="16" l="1"/>
  <c r="K371" i="16" s="1"/>
  <c r="F371" i="16"/>
  <c r="I371" i="16" s="1"/>
  <c r="G371" i="16"/>
  <c r="J371" i="16" s="1"/>
  <c r="A372" i="16"/>
  <c r="B371" i="16"/>
  <c r="F372" i="16" l="1"/>
  <c r="I372" i="16" s="1"/>
  <c r="G372" i="16"/>
  <c r="J372" i="16" s="1"/>
  <c r="B372" i="16"/>
  <c r="A373" i="16"/>
  <c r="H372" i="16"/>
  <c r="K372" i="16" s="1"/>
  <c r="H373" i="16" l="1"/>
  <c r="K373" i="16" s="1"/>
  <c r="G373" i="16"/>
  <c r="J373" i="16" s="1"/>
  <c r="F373" i="16"/>
  <c r="I373" i="16" s="1"/>
  <c r="B373" i="16"/>
  <c r="A374" i="16"/>
  <c r="B374" i="16" l="1"/>
  <c r="A375" i="16"/>
  <c r="F374" i="16"/>
  <c r="I374" i="16" s="1"/>
  <c r="H374" i="16"/>
  <c r="K374" i="16" s="1"/>
  <c r="G374" i="16"/>
  <c r="J374" i="16" s="1"/>
  <c r="G375" i="16" l="1"/>
  <c r="J375" i="16" s="1"/>
  <c r="A376" i="16"/>
  <c r="H375" i="16"/>
  <c r="K375" i="16" s="1"/>
  <c r="F375" i="16"/>
  <c r="I375" i="16" s="1"/>
  <c r="B375" i="16"/>
  <c r="B376" i="16" l="1"/>
  <c r="A377" i="16"/>
  <c r="H376" i="16"/>
  <c r="K376" i="16" s="1"/>
  <c r="G376" i="16"/>
  <c r="J376" i="16" s="1"/>
  <c r="F376" i="16"/>
  <c r="I376" i="16" s="1"/>
  <c r="B377" i="16" l="1"/>
  <c r="A378" i="16"/>
  <c r="G377" i="16"/>
  <c r="J377" i="16" s="1"/>
  <c r="H377" i="16"/>
  <c r="K377" i="16" s="1"/>
  <c r="F377" i="16"/>
  <c r="I377" i="16" s="1"/>
  <c r="F378" i="16" l="1"/>
  <c r="I378" i="16" s="1"/>
  <c r="B378" i="16"/>
  <c r="A379" i="16"/>
  <c r="H378" i="16"/>
  <c r="K378" i="16" s="1"/>
  <c r="G378" i="16"/>
  <c r="J378" i="16" s="1"/>
  <c r="G379" i="16" l="1"/>
  <c r="J379" i="16" s="1"/>
  <c r="B379" i="16"/>
  <c r="A380" i="16"/>
  <c r="H379" i="16"/>
  <c r="K379" i="16" s="1"/>
  <c r="F379" i="16"/>
  <c r="I379" i="16" s="1"/>
  <c r="B380" i="16" l="1"/>
  <c r="H380" i="16"/>
  <c r="K380" i="16" s="1"/>
  <c r="G380" i="16"/>
  <c r="J380" i="16" s="1"/>
  <c r="A381" i="16"/>
  <c r="F380" i="16"/>
  <c r="I380" i="16" s="1"/>
  <c r="B381" i="16" l="1"/>
  <c r="H381" i="16"/>
  <c r="K381" i="16" s="1"/>
  <c r="G381" i="16"/>
  <c r="J381" i="16" s="1"/>
  <c r="F381" i="16"/>
  <c r="I381" i="16" s="1"/>
  <c r="A382" i="16"/>
  <c r="I382" i="16" l="1"/>
  <c r="G382" i="16"/>
  <c r="J382" i="16" s="1"/>
  <c r="F382" i="16"/>
  <c r="B382" i="16"/>
  <c r="H382" i="16"/>
  <c r="K382" i="16" s="1"/>
  <c r="A383" i="16"/>
  <c r="K383" i="16" l="1"/>
  <c r="H383" i="16"/>
  <c r="B383" i="16"/>
  <c r="A384" i="16"/>
  <c r="F383" i="16"/>
  <c r="I383" i="16" s="1"/>
  <c r="G383" i="16"/>
  <c r="J383" i="16" s="1"/>
  <c r="B384" i="16" l="1"/>
  <c r="H384" i="16"/>
  <c r="K384" i="16" s="1"/>
  <c r="A385" i="16"/>
  <c r="F384" i="16"/>
  <c r="I384" i="16" s="1"/>
  <c r="G384" i="16"/>
  <c r="J384" i="16" s="1"/>
  <c r="H385" i="16" l="1"/>
  <c r="K385" i="16" s="1"/>
  <c r="G385" i="16"/>
  <c r="J385" i="16" s="1"/>
  <c r="B385" i="16"/>
  <c r="A386" i="16"/>
  <c r="F385" i="16"/>
  <c r="I385" i="16" s="1"/>
  <c r="H386" i="16" l="1"/>
  <c r="K386" i="16" s="1"/>
  <c r="G386" i="16"/>
  <c r="J386" i="16" s="1"/>
  <c r="F386" i="16"/>
  <c r="I386" i="16" s="1"/>
  <c r="B386" i="16"/>
  <c r="A387" i="16"/>
  <c r="G387" i="16" l="1"/>
  <c r="J387" i="16" s="1"/>
  <c r="F387" i="16"/>
  <c r="I387" i="16" s="1"/>
  <c r="A388" i="16"/>
  <c r="H387" i="16"/>
  <c r="K387" i="16" s="1"/>
  <c r="B387" i="16"/>
  <c r="H388" i="16" l="1"/>
  <c r="K388" i="16" s="1"/>
  <c r="A389" i="16"/>
  <c r="G388" i="16"/>
  <c r="J388" i="16" s="1"/>
  <c r="F388" i="16"/>
  <c r="I388" i="16" s="1"/>
  <c r="B388" i="16"/>
  <c r="G389" i="16" l="1"/>
  <c r="J389" i="16" s="1"/>
  <c r="F389" i="16"/>
  <c r="I389" i="16" s="1"/>
  <c r="B389" i="16"/>
  <c r="A390" i="16"/>
  <c r="H389" i="16"/>
  <c r="K389" i="16" s="1"/>
  <c r="A391" i="16" l="1"/>
  <c r="H390" i="16"/>
  <c r="K390" i="16" s="1"/>
  <c r="G390" i="16"/>
  <c r="J390" i="16" s="1"/>
  <c r="F390" i="16"/>
  <c r="I390" i="16" s="1"/>
  <c r="B390" i="16"/>
  <c r="B391" i="16" l="1"/>
  <c r="F391" i="16"/>
  <c r="I391" i="16" s="1"/>
  <c r="H391" i="16"/>
  <c r="K391" i="16" s="1"/>
  <c r="G391" i="16"/>
  <c r="J391" i="16" s="1"/>
  <c r="A392" i="16"/>
  <c r="A393" i="16" l="1"/>
  <c r="F392" i="16"/>
  <c r="I392" i="16" s="1"/>
  <c r="G392" i="16"/>
  <c r="J392" i="16" s="1"/>
  <c r="B392" i="16"/>
  <c r="H392" i="16"/>
  <c r="K392" i="16" s="1"/>
  <c r="B393" i="16" l="1"/>
  <c r="G393" i="16"/>
  <c r="J393" i="16" s="1"/>
  <c r="A394" i="16"/>
  <c r="H393" i="16"/>
  <c r="K393" i="16" s="1"/>
  <c r="F393" i="16"/>
  <c r="I393" i="16" s="1"/>
  <c r="A395" i="16" l="1"/>
  <c r="H394" i="16"/>
  <c r="K394" i="16" s="1"/>
  <c r="B394" i="16"/>
  <c r="G394" i="16"/>
  <c r="J394" i="16" s="1"/>
  <c r="F394" i="16"/>
  <c r="I394" i="16" s="1"/>
  <c r="H395" i="16" l="1"/>
  <c r="K395" i="16" s="1"/>
  <c r="A396" i="16"/>
  <c r="G395" i="16"/>
  <c r="J395" i="16" s="1"/>
  <c r="F395" i="16"/>
  <c r="I395" i="16" s="1"/>
  <c r="B395" i="16"/>
  <c r="G396" i="16" l="1"/>
  <c r="J396" i="16" s="1"/>
  <c r="F396" i="16"/>
  <c r="I396" i="16" s="1"/>
  <c r="A397" i="16"/>
  <c r="H396" i="16"/>
  <c r="K396" i="16" s="1"/>
  <c r="B396" i="16"/>
  <c r="B397" i="16" l="1"/>
  <c r="G397" i="16"/>
  <c r="J397" i="16" s="1"/>
  <c r="F397" i="16"/>
  <c r="I397" i="16" s="1"/>
  <c r="A398" i="16"/>
  <c r="H397" i="16"/>
  <c r="K397" i="16" s="1"/>
  <c r="B398" i="16" l="1"/>
  <c r="A399" i="16"/>
  <c r="H398" i="16"/>
  <c r="K398" i="16" s="1"/>
  <c r="F398" i="16"/>
  <c r="I398" i="16" s="1"/>
  <c r="G398" i="16"/>
  <c r="J398" i="16" s="1"/>
  <c r="G399" i="16" l="1"/>
  <c r="J399" i="16" s="1"/>
  <c r="H399" i="16"/>
  <c r="K399" i="16" s="1"/>
  <c r="F399" i="16"/>
  <c r="I399" i="16" s="1"/>
  <c r="B399" i="16"/>
  <c r="A400" i="16"/>
  <c r="H400" i="16" l="1"/>
  <c r="K400" i="16" s="1"/>
  <c r="G400" i="16"/>
  <c r="J400" i="16" s="1"/>
  <c r="F400" i="16"/>
  <c r="I400" i="16" s="1"/>
  <c r="B400" i="16"/>
  <c r="A401" i="16"/>
  <c r="A402" i="16" l="1"/>
  <c r="B401" i="16"/>
  <c r="H401" i="16"/>
  <c r="K401" i="16" s="1"/>
  <c r="G401" i="16"/>
  <c r="J401" i="16" s="1"/>
  <c r="F401" i="16"/>
  <c r="I401" i="16" s="1"/>
  <c r="H402" i="16" l="1"/>
  <c r="K402" i="16" s="1"/>
  <c r="G402" i="16"/>
  <c r="J402" i="16" s="1"/>
  <c r="A403" i="16"/>
  <c r="F402" i="16"/>
  <c r="I402" i="16" s="1"/>
  <c r="B402" i="16"/>
  <c r="G403" i="16" l="1"/>
  <c r="J403" i="16" s="1"/>
  <c r="A404" i="16"/>
  <c r="H403" i="16"/>
  <c r="K403" i="16" s="1"/>
  <c r="F403" i="16"/>
  <c r="I403" i="16" s="1"/>
  <c r="B403" i="16"/>
  <c r="G404" i="16" l="1"/>
  <c r="J404" i="16" s="1"/>
  <c r="F404" i="16"/>
  <c r="I404" i="16" s="1"/>
  <c r="B404" i="16"/>
  <c r="A405" i="16"/>
  <c r="H404" i="16"/>
  <c r="K404" i="16" s="1"/>
  <c r="B405" i="16" l="1"/>
  <c r="F405" i="16"/>
  <c r="I405" i="16" s="1"/>
  <c r="H405" i="16"/>
  <c r="K405" i="16" s="1"/>
  <c r="G405" i="16"/>
  <c r="J405" i="16" s="1"/>
  <c r="A406" i="16"/>
  <c r="F406" i="16" l="1"/>
  <c r="I406" i="16" s="1"/>
  <c r="B406" i="16"/>
  <c r="H406" i="16"/>
  <c r="K406" i="16" s="1"/>
  <c r="A407" i="16"/>
  <c r="G406" i="16"/>
  <c r="J406" i="16" s="1"/>
  <c r="A408" i="16" l="1"/>
  <c r="F407" i="16"/>
  <c r="I407" i="16" s="1"/>
  <c r="H407" i="16"/>
  <c r="K407" i="16" s="1"/>
  <c r="G407" i="16"/>
  <c r="J407" i="16" s="1"/>
  <c r="B407" i="16"/>
  <c r="B408" i="16" l="1"/>
  <c r="A409" i="16"/>
  <c r="F408" i="16"/>
  <c r="I408" i="16" s="1"/>
  <c r="G408" i="16"/>
  <c r="J408" i="16" s="1"/>
  <c r="H408" i="16"/>
  <c r="K408" i="16" s="1"/>
  <c r="A410" i="16" l="1"/>
  <c r="F409" i="16"/>
  <c r="I409" i="16" s="1"/>
  <c r="B409" i="16"/>
  <c r="H409" i="16"/>
  <c r="K409" i="16" s="1"/>
  <c r="G409" i="16"/>
  <c r="J409" i="16" s="1"/>
  <c r="G410" i="16" l="1"/>
  <c r="J410" i="16" s="1"/>
  <c r="B410" i="16"/>
  <c r="A411" i="16"/>
  <c r="H410" i="16"/>
  <c r="K410" i="16" s="1"/>
  <c r="F410" i="16"/>
  <c r="I410" i="16" s="1"/>
  <c r="F411" i="16" l="1"/>
  <c r="I411" i="16" s="1"/>
  <c r="A412" i="16"/>
  <c r="H411" i="16"/>
  <c r="K411" i="16" s="1"/>
  <c r="G411" i="16"/>
  <c r="J411" i="16" s="1"/>
  <c r="B411" i="16"/>
  <c r="B412" i="16" l="1"/>
  <c r="A413" i="16"/>
  <c r="H412" i="16"/>
  <c r="K412" i="16" s="1"/>
  <c r="G412" i="16"/>
  <c r="J412" i="16" s="1"/>
  <c r="F412" i="16"/>
  <c r="I412" i="16" s="1"/>
  <c r="H413" i="16" l="1"/>
  <c r="K413" i="16" s="1"/>
  <c r="G413" i="16"/>
  <c r="J413" i="16" s="1"/>
  <c r="V20" i="15" s="1"/>
  <c r="V21" i="15" s="1"/>
  <c r="F413" i="16"/>
  <c r="I413" i="16" s="1"/>
  <c r="V23" i="15" s="1"/>
  <c r="B413" i="16"/>
  <c r="J23" i="15"/>
  <c r="F20" i="15"/>
  <c r="J20" i="15"/>
  <c r="U20" i="15"/>
  <c r="S20" i="15"/>
  <c r="O23" i="15"/>
  <c r="O24" i="15" s="1"/>
  <c r="U23" i="15"/>
  <c r="Q20" i="15"/>
  <c r="P23" i="15"/>
  <c r="T20" i="15"/>
  <c r="K23" i="15"/>
  <c r="K24" i="15" s="1"/>
  <c r="T23" i="15"/>
  <c r="I23" i="15"/>
  <c r="H20" i="15"/>
  <c r="G23" i="15"/>
  <c r="E20" i="15"/>
  <c r="I20" i="15"/>
  <c r="D23" i="15"/>
  <c r="P20" i="15"/>
  <c r="P21" i="15" s="1"/>
  <c r="F23" i="15"/>
  <c r="L23" i="15"/>
  <c r="R20" i="15"/>
  <c r="G20" i="15"/>
  <c r="G21" i="15" s="1"/>
  <c r="E23" i="15"/>
  <c r="O20" i="15"/>
  <c r="H23" i="15"/>
  <c r="H24" i="15" s="1"/>
  <c r="M23" i="15"/>
  <c r="M20" i="15"/>
  <c r="L20" i="15"/>
  <c r="N23" i="15"/>
  <c r="R23" i="15"/>
  <c r="D20" i="15"/>
  <c r="N20" i="15"/>
  <c r="N21" i="15" s="1"/>
  <c r="Q23" i="15"/>
  <c r="S23" i="15"/>
  <c r="S24" i="15" s="1"/>
  <c r="K20" i="15"/>
  <c r="K21" i="15" s="1"/>
  <c r="T21" i="15" l="1"/>
  <c r="G24" i="15"/>
  <c r="M21" i="15"/>
  <c r="R21" i="15"/>
  <c r="I24" i="15"/>
  <c r="V24" i="15"/>
  <c r="M24" i="15"/>
  <c r="R24" i="15"/>
  <c r="I21" i="15"/>
  <c r="S21" i="15"/>
  <c r="N24" i="15"/>
  <c r="E21" i="15"/>
  <c r="U21" i="15"/>
  <c r="L21" i="15"/>
  <c r="J21" i="15"/>
  <c r="H21" i="15"/>
  <c r="F21" i="15"/>
  <c r="J24" i="15"/>
  <c r="T24" i="15"/>
  <c r="E24" i="15"/>
  <c r="O21" i="15"/>
  <c r="Q21" i="15"/>
  <c r="L24" i="15"/>
  <c r="U24" i="15"/>
  <c r="P24" i="15"/>
  <c r="Q24" i="15"/>
  <c r="F24" i="1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<sst xmlns="http://schemas.openxmlformats.org/spreadsheetml/2006/main" count="2297" uniqueCount="1067">
  <si>
    <t>Regulatory Financial Performance Report</t>
  </si>
  <si>
    <t xml:space="preserve">                           </t>
  </si>
  <si>
    <t>RIIO-2 start date (enter 2022 for 2021-22)</t>
  </si>
  <si>
    <t>Licensee</t>
  </si>
  <si>
    <t>NGET (TO)</t>
  </si>
  <si>
    <t>Input cells</t>
  </si>
  <si>
    <t>Sector</t>
  </si>
  <si>
    <t>Totals cells (of formula within worksheet)</t>
  </si>
  <si>
    <t>Reporting Year:
(e.g. enter 2022 for 2021-22)</t>
  </si>
  <si>
    <t xml:space="preserve">Linked cells </t>
  </si>
  <si>
    <t>Version (Number)</t>
  </si>
  <si>
    <t>Referencing to other workbooks (Eg. PCFM/ RRP)</t>
  </si>
  <si>
    <t>Submitted Date:</t>
  </si>
  <si>
    <t>Check cells</t>
  </si>
  <si>
    <t>No Input</t>
  </si>
  <si>
    <t>Descriptions and pack data</t>
  </si>
  <si>
    <t>Network Operator Data</t>
  </si>
  <si>
    <t>Cost of Equity</t>
  </si>
  <si>
    <t>check £m</t>
  </si>
  <si>
    <t>ED</t>
  </si>
  <si>
    <t>£m 20/21</t>
  </si>
  <si>
    <t>Sharing Factor</t>
  </si>
  <si>
    <t>ET</t>
  </si>
  <si>
    <t>£m 18/19</t>
  </si>
  <si>
    <t>Notional Gearing</t>
  </si>
  <si>
    <t>GD</t>
  </si>
  <si>
    <t>Price basis</t>
  </si>
  <si>
    <t>GT</t>
  </si>
  <si>
    <t>Deadband threshold for materiality checks for use in R8a (Rows 31-93)</t>
  </si>
  <si>
    <t>ESO</t>
  </si>
  <si>
    <t>Deadband threshold for use in R8a (Row 95)</t>
  </si>
  <si>
    <t>Corporate Tax</t>
  </si>
  <si>
    <t>GD&amp;T</t>
  </si>
  <si>
    <t>Price indices*</t>
  </si>
  <si>
    <t>Actual / Forecast index</t>
  </si>
  <si>
    <t>Year end</t>
  </si>
  <si>
    <t>Reporting Year</t>
  </si>
  <si>
    <t>Financial Year Average RPI - CPIH (PIt)</t>
  </si>
  <si>
    <t>Combined RPI-CPIH price index (financial year end)</t>
  </si>
  <si>
    <t>Consumer Prices Index incl. housing costs (financial year average)</t>
  </si>
  <si>
    <t>Long term CPIH inflation forecast</t>
  </si>
  <si>
    <t>LTCPIHt</t>
  </si>
  <si>
    <t>ED2</t>
  </si>
  <si>
    <t>Price Indices*</t>
  </si>
  <si>
    <t>Price Conversion Factors*</t>
  </si>
  <si>
    <t>RPI-CPIH real to nominal prices CF</t>
  </si>
  <si>
    <t>1 year change in Fin Year Average RPI-CPIH</t>
  </si>
  <si>
    <t>Combined real to nominal prices conversion factor (financial year end)</t>
  </si>
  <si>
    <t xml:space="preserve">*Note:  The price conversion factors are derived from price indices in line with the inflation methodology in the PCFM to reflect actuals through June sourced from Office of National Statistics i.e. ONS (Historical data - https://www.ons.gov.uk/economy/inflationandpriceindices/timeseries/l522/mm23) and the forecast from the Office of Budget Responsibility i.e. OBR (https://obr.uk/data). Please refer to chapter 2 of the Price Control Financial Handbook for more information. </t>
  </si>
  <si>
    <t>Allowed cost of debt %</t>
  </si>
  <si>
    <t>SSES</t>
  </si>
  <si>
    <t>NGED-EMID</t>
  </si>
  <si>
    <t>UKPN-EPN</t>
  </si>
  <si>
    <t>ED - excluding SSES,NGED-EMID,UKPN-EPN</t>
  </si>
  <si>
    <t>SHET</t>
  </si>
  <si>
    <t>ET - excluding SHET</t>
  </si>
  <si>
    <t>GD with Uplift</t>
  </si>
  <si>
    <t>Allowed cost of equity %</t>
  </si>
  <si>
    <t>ET2</t>
  </si>
  <si>
    <t>GD2</t>
  </si>
  <si>
    <t>GT2</t>
  </si>
  <si>
    <t>ESO2</t>
  </si>
  <si>
    <t>Funding Adjustment Rate (Sharing Factor)</t>
  </si>
  <si>
    <t>Gearing</t>
  </si>
  <si>
    <t>RIIO2 Start FY</t>
  </si>
  <si>
    <t>Price Basis</t>
  </si>
  <si>
    <t>CoD Category</t>
  </si>
  <si>
    <t>Allowed cost of debt</t>
  </si>
  <si>
    <t>Allowed cost of equity</t>
  </si>
  <si>
    <t>Default</t>
  </si>
  <si>
    <t>ENWL</t>
  </si>
  <si>
    <t>NPgN</t>
  </si>
  <si>
    <t>NPgY</t>
  </si>
  <si>
    <t>UKPN-LPN</t>
  </si>
  <si>
    <t>UKPN-SPN</t>
  </si>
  <si>
    <t>SPD</t>
  </si>
  <si>
    <t>SPMW</t>
  </si>
  <si>
    <t>SSEH</t>
  </si>
  <si>
    <t>NGED-WMID</t>
  </si>
  <si>
    <t>NGED-SWALES</t>
  </si>
  <si>
    <t>NGED-SWEST</t>
  </si>
  <si>
    <t>Cadent-EOE</t>
  </si>
  <si>
    <t>Cadent-London</t>
  </si>
  <si>
    <t>Cadent-WM</t>
  </si>
  <si>
    <t>Cadent-NW</t>
  </si>
  <si>
    <t>NGN</t>
  </si>
  <si>
    <t>SGN - Scotland</t>
  </si>
  <si>
    <t>SGN - Southern</t>
  </si>
  <si>
    <t>WWU</t>
  </si>
  <si>
    <t>NGGT (TO)</t>
  </si>
  <si>
    <t>NGGT (SO)</t>
  </si>
  <si>
    <t>NGGT (TO+SO)</t>
  </si>
  <si>
    <t>SPT</t>
  </si>
  <si>
    <r>
      <t>Business Plan Incentive (BPI</t>
    </r>
    <r>
      <rPr>
        <vertAlign val="subscript"/>
        <sz val="10"/>
        <color theme="1"/>
        <rFont val="Verdana"/>
        <family val="2"/>
      </rPr>
      <t>t</t>
    </r>
    <r>
      <rPr>
        <sz val="10"/>
        <color theme="1"/>
        <rFont val="Verdana"/>
        <family val="2"/>
      </rPr>
      <t>)</t>
    </r>
  </si>
  <si>
    <t>Output incentives for each sector used to populate R4</t>
  </si>
  <si>
    <t>Input for R4 - Output Incentives</t>
  </si>
  <si>
    <t>Time to connect ODI</t>
  </si>
  <si>
    <t>Broad Measure of Customer Service ODI</t>
  </si>
  <si>
    <t>Interruptions incentive scheme ODI</t>
  </si>
  <si>
    <t>Major connections ODI</t>
  </si>
  <si>
    <t>Consumer Vulnerability ODI</t>
  </si>
  <si>
    <t>Distribution System Operator ODI</t>
  </si>
  <si>
    <t>Dig, Fix and Go ODI (ENWL only)</t>
  </si>
  <si>
    <t>Collaborative Streetworks ODI (EPN, LPN and SPN only)</t>
  </si>
  <si>
    <t>Customer Satisfaction Survey ODI - (SpC 4.2)</t>
  </si>
  <si>
    <t>Complaints metric ODI - (SpC 4.3)</t>
  </si>
  <si>
    <t>Unplanned Interruption Mean Duration ODI [NGN, SGN and WWU] - (SpC 4.5)</t>
  </si>
  <si>
    <t>`</t>
  </si>
  <si>
    <t>Unplanned Interruption Mean Duration ODI [Cadent only]- (SpC 4.6)</t>
  </si>
  <si>
    <t>Shrinkage Management ODI- (SpC 4.4)</t>
  </si>
  <si>
    <t>Collaborative streetworks ODI [Cadent Lon &amp; EoE, SGN So only]- (SpC 4.7)</t>
  </si>
  <si>
    <t>Customer satisfaction survey ODI- (SpC 4.2)</t>
  </si>
  <si>
    <t>Environmental scorecard ODI- (SpC 4.3)</t>
  </si>
  <si>
    <t>Energy not supplied ODI - (SpC 4.2)</t>
  </si>
  <si>
    <t>Reporting &amp; Incentive Arrangements (ESORIt) - SpC 4.3</t>
  </si>
  <si>
    <t>Insulation And Interruption Gas emissions ODI - (SpC 4.3)</t>
  </si>
  <si>
    <t>Timely Connections ODI - (SpC 4.4)</t>
  </si>
  <si>
    <t>Quality of connections satisfaction survey ODI - (SpC 4.5)</t>
  </si>
  <si>
    <t>SO-TO Optimisation ODI - (SpC 4.7)</t>
  </si>
  <si>
    <t>Environmental scorecard ODI - (SpC 4.6)</t>
  </si>
  <si>
    <t>Other Revenue Allowances (ORA) - Innovation and Incentives only, for each sector used to populate R4</t>
  </si>
  <si>
    <t>Input for R4 - Other Revenue Allowances</t>
  </si>
  <si>
    <t>Network Innovation Allowance</t>
  </si>
  <si>
    <t>Carry-over Network Innovation Allowance</t>
  </si>
  <si>
    <t>RIIO-2 network innovation allowance  - (SpC 5.2)</t>
  </si>
  <si>
    <t>Carry-over Network Innovation Allowance - (SpC 5.3)</t>
  </si>
  <si>
    <t>Network Innovation Allowance- (SpC 5.2)</t>
  </si>
  <si>
    <t>Carry Over RIIO-1 Network Innovation Allowance- (SpC 5.3)</t>
  </si>
  <si>
    <t>Strategic Innovation Fund- (SpC 5.7)</t>
  </si>
  <si>
    <t>Constraint management incentive revenue- (SpC 5.5)</t>
  </si>
  <si>
    <t>Residual balancing incentive - (SpC 5.6)</t>
  </si>
  <si>
    <t>Quality of demand forecasting incentive - (SpC 5.6)</t>
  </si>
  <si>
    <t>Greenhouse gas emissions incentive- (SpC 5.6)</t>
  </si>
  <si>
    <t>Maintenance incentive - (SpC 5.6)</t>
  </si>
  <si>
    <t>Carry Over RIIO-1 Network Innovation Allowance - (SpC 5.3)</t>
  </si>
  <si>
    <t>Constraint management incentive revenue - (SpC 5.5)</t>
  </si>
  <si>
    <t>Greenhouse gas emissions incentive - (SpC 5.6)</t>
  </si>
  <si>
    <t>RIIO-2 network innovation allowance - (SpC 4.6)</t>
  </si>
  <si>
    <t>RIIO-2 network innovation allowance - (SpC 5.2)</t>
  </si>
  <si>
    <t>Carry-over Network Innovation Allowance - (SpC 4.7)</t>
  </si>
  <si>
    <t>Data validation lists for F3-F6 debt tabs</t>
  </si>
  <si>
    <t>sector</t>
  </si>
  <si>
    <t>licensee</t>
  </si>
  <si>
    <t>category</t>
  </si>
  <si>
    <t>Rank</t>
  </si>
  <si>
    <t>Type</t>
  </si>
  <si>
    <t>Maturity Type</t>
  </si>
  <si>
    <t>Core Debt/ Liquidity</t>
  </si>
  <si>
    <t>identifier</t>
  </si>
  <si>
    <t>Pricing Date</t>
  </si>
  <si>
    <t>issue_date</t>
  </si>
  <si>
    <t>maturity_date</t>
  </si>
  <si>
    <t>Early repayment date</t>
  </si>
  <si>
    <t>1st Call Date</t>
  </si>
  <si>
    <t>Currency</t>
  </si>
  <si>
    <t>Amount Issued on Issue Date/ Max loan amount</t>
  </si>
  <si>
    <t>Current Amount Outstanding</t>
  </si>
  <si>
    <t>Amount Issued on Issue Date/ Max loan amount_GBP equiv</t>
  </si>
  <si>
    <t>Current Amount Outstanding_GBP equiv</t>
  </si>
  <si>
    <t>Amount for Use</t>
  </si>
  <si>
    <t>Coupon/ Margin</t>
  </si>
  <si>
    <t>Issue Price</t>
  </si>
  <si>
    <t>Yield to Maturity at Issue Date</t>
  </si>
  <si>
    <t>Rate for use</t>
  </si>
  <si>
    <t>floating_ref_rate</t>
  </si>
  <si>
    <t>inflation_ref_rate</t>
  </si>
  <si>
    <t>Inflation_lag</t>
  </si>
  <si>
    <t>Inflation_Base_Index</t>
  </si>
  <si>
    <t>Commitment Fee</t>
  </si>
  <si>
    <t>LT Issue Rating at Issue Date (S&amp;P/Moodys/Fitch)</t>
  </si>
  <si>
    <t>Current LT Issue Rating (S&amp;P/Moodys/Fitch)</t>
  </si>
  <si>
    <t>Counterparty</t>
  </si>
  <si>
    <t>Transaction expenses</t>
  </si>
  <si>
    <t>Description</t>
  </si>
  <si>
    <t>If amortising, profile submitted?</t>
  </si>
  <si>
    <t>Split flag</t>
  </si>
  <si>
    <t>Bond</t>
  </si>
  <si>
    <t>Senior</t>
  </si>
  <si>
    <t>Fixed</t>
  </si>
  <si>
    <t>Bullet</t>
  </si>
  <si>
    <t>Core debt</t>
  </si>
  <si>
    <t>GBP</t>
  </si>
  <si>
    <t>LIBOR 1 Month</t>
  </si>
  <si>
    <t>RPI</t>
  </si>
  <si>
    <t>Y</t>
  </si>
  <si>
    <t>SGN Scot</t>
  </si>
  <si>
    <t>External Loan</t>
  </si>
  <si>
    <t>Subordinated</t>
  </si>
  <si>
    <t>Floating</t>
  </si>
  <si>
    <t>Bullet 3m par call</t>
  </si>
  <si>
    <t>Liquidity</t>
  </si>
  <si>
    <t>USD</t>
  </si>
  <si>
    <t>LIBOR 3 Month</t>
  </si>
  <si>
    <t>CPI</t>
  </si>
  <si>
    <t>N</t>
  </si>
  <si>
    <t>SGN South</t>
  </si>
  <si>
    <t>Private Placement</t>
  </si>
  <si>
    <t>Class A</t>
  </si>
  <si>
    <t>Inflation Linked</t>
  </si>
  <si>
    <t>Amortising</t>
  </si>
  <si>
    <t>CAD</t>
  </si>
  <si>
    <t>LIBOR 6 Month</t>
  </si>
  <si>
    <t>CPIH</t>
  </si>
  <si>
    <t>N/A</t>
  </si>
  <si>
    <t>Cadent</t>
  </si>
  <si>
    <t>Group company loan (licensee lender)</t>
  </si>
  <si>
    <t>Class B</t>
  </si>
  <si>
    <t>Revolving</t>
  </si>
  <si>
    <t>EUR</t>
  </si>
  <si>
    <t>LIBOR 12 Month</t>
  </si>
  <si>
    <t>Group company loan (licensee borrower)</t>
  </si>
  <si>
    <t>Super Senior</t>
  </si>
  <si>
    <t>Callable</t>
  </si>
  <si>
    <t>NOK</t>
  </si>
  <si>
    <t>SONIA</t>
  </si>
  <si>
    <t>Group Loan from Finco back to back with finco bond issue</t>
  </si>
  <si>
    <t>Other</t>
  </si>
  <si>
    <t>AUD</t>
  </si>
  <si>
    <t>1 day GBP SONIA</t>
  </si>
  <si>
    <t>Swap Pay Leg</t>
  </si>
  <si>
    <t>HKD</t>
  </si>
  <si>
    <t>NGET</t>
  </si>
  <si>
    <t>Swap Receive Leg</t>
  </si>
  <si>
    <t>JPY</t>
  </si>
  <si>
    <t>NGGT</t>
  </si>
  <si>
    <t>Swap pay leg – finco back to back</t>
  </si>
  <si>
    <t>CHF</t>
  </si>
  <si>
    <t>Swap receive leg – finco back to back</t>
  </si>
  <si>
    <t>UKPN EPN</t>
  </si>
  <si>
    <t>UKPN LPN</t>
  </si>
  <si>
    <t>UKPN SPN</t>
  </si>
  <si>
    <t>NGED EMID</t>
  </si>
  <si>
    <t>NGED SWALES</t>
  </si>
  <si>
    <t>NGED SWEST</t>
  </si>
  <si>
    <t>NGED WMID</t>
  </si>
  <si>
    <t>Example</t>
  </si>
  <si>
    <t>Only data validation options to be input above this line</t>
  </si>
  <si>
    <t>Deadband levels for Tax Reconciliation materiality check</t>
  </si>
  <si>
    <t>Table1</t>
  </si>
  <si>
    <t>Deadband values from PCFM - for information purposes (18/19 prices, ED 20/21 prices)</t>
  </si>
  <si>
    <t>Table 2</t>
  </si>
  <si>
    <t>Grossed-up deadband values in Nominal terms - for use in R8a (Rows 46-93)</t>
  </si>
  <si>
    <t>Table3</t>
  </si>
  <si>
    <t>Deadband values from PCFM in Nominal terms - for use in R8a for Corporation Tax Charge (Row 95)</t>
  </si>
  <si>
    <t>Cash Allocation % (F5- Financing)</t>
  </si>
  <si>
    <t>SPM</t>
  </si>
  <si>
    <t>Version control</t>
  </si>
  <si>
    <t xml:space="preserve"> </t>
  </si>
  <si>
    <t>Version:</t>
  </si>
  <si>
    <t>Submission</t>
  </si>
  <si>
    <t>Date submitted</t>
  </si>
  <si>
    <t>Changes</t>
  </si>
  <si>
    <t>Submission 1</t>
  </si>
  <si>
    <t>Submission 2</t>
  </si>
  <si>
    <t>Submission 3</t>
  </si>
  <si>
    <t>Submission 4</t>
  </si>
  <si>
    <t>Submission 5</t>
  </si>
  <si>
    <t>Submission 6</t>
  </si>
  <si>
    <t>Submission 7</t>
  </si>
  <si>
    <t>Submission 8</t>
  </si>
  <si>
    <t>Submission 9</t>
  </si>
  <si>
    <t>Submission 10</t>
  </si>
  <si>
    <t>R1 - RoRE</t>
  </si>
  <si>
    <t>R2 - Rec to Revenue and Profit</t>
  </si>
  <si>
    <t>R3 - Totex - Reconciliation</t>
  </si>
  <si>
    <t>R4 - Incentives and Other Rev</t>
  </si>
  <si>
    <t>R5 - Financing</t>
  </si>
  <si>
    <t>R5a - Financing input</t>
  </si>
  <si>
    <t>R6 - Net Debt</t>
  </si>
  <si>
    <t>R6a - Net Debt input</t>
  </si>
  <si>
    <t>R7 - RAV</t>
  </si>
  <si>
    <t>R8 - Tax</t>
  </si>
  <si>
    <t>R8a - Tax Reconciliation</t>
  </si>
  <si>
    <t>R9 - Corporate Governance</t>
  </si>
  <si>
    <t>R10 - Pensions &amp; other Activities</t>
  </si>
  <si>
    <t>F3 - Fixed Rate Debt</t>
  </si>
  <si>
    <t>F4 - Floating Rate Debt</t>
  </si>
  <si>
    <t>F5 - Inflation Linked Debt</t>
  </si>
  <si>
    <t>F6 - Debt Dataset</t>
  </si>
  <si>
    <t>I1 - Universal Data</t>
  </si>
  <si>
    <t>I2 - Monthly Inflation</t>
  </si>
  <si>
    <t>Change log</t>
  </si>
  <si>
    <t>Version</t>
  </si>
  <si>
    <t>Table Reference</t>
  </si>
  <si>
    <t>Changes made to RFPR template</t>
  </si>
  <si>
    <t>Raised By</t>
  </si>
  <si>
    <t>V2.0</t>
  </si>
  <si>
    <t>R2 - row 24 (RRt)</t>
  </si>
  <si>
    <t>Changed the description to add "per latest PCFM" for more clarity. Guidance document has also been amended.</t>
  </si>
  <si>
    <t>Ofgem</t>
  </si>
  <si>
    <t>R8 - Row 21</t>
  </si>
  <si>
    <t>Corrected cell references in formula</t>
  </si>
  <si>
    <t>R3 - row 116, 121, 133, 142</t>
  </si>
  <si>
    <t>Changed the description to '[Input description, add additional rows as required]'</t>
  </si>
  <si>
    <t>R3 - Rows 36 and 37</t>
  </si>
  <si>
    <t xml:space="preserve">Copied and rolled-over D36:D37 formula into future years </t>
  </si>
  <si>
    <t xml:space="preserve">R1 - J22:K28 and J49:K55 </t>
  </si>
  <si>
    <t>Corrected cell references in formula for 'cumulative' and RIIO-2 period'</t>
  </si>
  <si>
    <t>Row 103 formula corrected (was sum now difference)</t>
  </si>
  <si>
    <t>ESO/NGGT(TO)/NGGT(SO)/NGET(TO)</t>
  </si>
  <si>
    <t>R3 - Row 194 &amp;  196</t>
  </si>
  <si>
    <t>Added formula/ corrected cell references in formula</t>
  </si>
  <si>
    <t>ESO/NGGT(TO)/SPT/NGET</t>
  </si>
  <si>
    <t>R1 row 76</t>
  </si>
  <si>
    <t>Formula in J75:K75 dragged down to populate row 76 which was blank.</t>
  </si>
  <si>
    <t>NGGT(SO)</t>
  </si>
  <si>
    <t>R8 Row 21</t>
  </si>
  <si>
    <t>Included if function because top half R8 only completed for actuals on a T+1 basis; therefore if forecast, amount should be zero</t>
  </si>
  <si>
    <t>R3</t>
  </si>
  <si>
    <t>Formula in row 198 amended to compare to row 196 not 194</t>
  </si>
  <si>
    <t>WWU/SPT</t>
  </si>
  <si>
    <t>Formulas in row 5 amended to reflect show that RAV totals in AIP 2021 PCFM are not actuals, therefore flag should remain as forecast until the AIP after the Reg year has passed (as was the case in RIIO-1). For example RAV value in 21/22 AIP for 21/22 was not an actual and therefore the check in row 27 should not be activated until the next regulatory year. AIP 2022 will contain the actual 21/22 RAV value and therefore a check to ensure this matches can be incorporated from 22/23 onwards.</t>
  </si>
  <si>
    <t>5 rows have been added for row 25-29 for the Enduring Value adjustments to Totex performance</t>
  </si>
  <si>
    <t>7 rows have been added for row 139-145 for the opex reconciling adjustments.</t>
  </si>
  <si>
    <t>R9</t>
  </si>
  <si>
    <t>Cells formatted to 3 decimal places  (rows 27 to 65)</t>
  </si>
  <si>
    <t>R8- Tax, rows 64 and 66</t>
  </si>
  <si>
    <t xml:space="preserve">Corrected to add a minus sign in the beginning of the formula </t>
  </si>
  <si>
    <t>Included SIF celll reference in formula</t>
  </si>
  <si>
    <t>F3, F4, F5, F6, I1, I2</t>
  </si>
  <si>
    <t>10/02/2023: Added these tabs into the template. These have been copied in from the propoesd modification to the RFPR published on 1 April 2022. Only changes to formatting and appearance have been made.</t>
  </si>
  <si>
    <t>R5a and R6a</t>
  </si>
  <si>
    <t>10/02/2023: Replaced these tabs with the versions from the proposed modification to the RFPR published on 1 April 2022.  Only changes to formatting and appearance have been made.</t>
  </si>
  <si>
    <t>R5 and R6</t>
  </si>
  <si>
    <t>10/02/2023: Links to R5a and R6a refreshed.</t>
  </si>
  <si>
    <t>Data</t>
  </si>
  <si>
    <r>
      <t xml:space="preserve">10/02/2023: Old R5a &amp; R6a validation lines in </t>
    </r>
    <r>
      <rPr>
        <i/>
        <sz val="10"/>
        <color theme="1"/>
        <rFont val="Verdana"/>
        <family val="2"/>
      </rPr>
      <t xml:space="preserve">Data </t>
    </r>
    <r>
      <rPr>
        <sz val="10"/>
        <color theme="1"/>
        <rFont val="Verdana"/>
        <family val="2"/>
      </rPr>
      <t xml:space="preserve">rows 264-336 deleted and replaced with new validation lines used in the </t>
    </r>
    <r>
      <rPr>
        <i/>
        <sz val="10"/>
        <color theme="1"/>
        <rFont val="Verdana"/>
        <family val="2"/>
      </rPr>
      <t>F6</t>
    </r>
    <r>
      <rPr>
        <sz val="10"/>
        <color theme="1"/>
        <rFont val="Verdana"/>
        <family val="2"/>
      </rPr>
      <t xml:space="preserve"> tab.</t>
    </r>
  </si>
  <si>
    <t>R8, rows 21</t>
  </si>
  <si>
    <t xml:space="preserve">Formula corrected. Logic was not inflating input in 2018/19 prices to nominal values and 2022 tax rate was used for all years. </t>
  </si>
  <si>
    <t>R8, row 34</t>
  </si>
  <si>
    <t xml:space="preserve">Formula corrected. </t>
  </si>
  <si>
    <t>R8a - Cell D16</t>
  </si>
  <si>
    <t>Formula corrected</t>
  </si>
  <si>
    <t>NG</t>
  </si>
  <si>
    <t>R2</t>
  </si>
  <si>
    <t>DA costs have been separated from other operating expenses in R3 - row 124 and 135. Logic in R2 on rows 71,74,77 and 83 has been amended so that DA and non-regulated DA adjustment can be excluded from this section to derive EBITDA. Other necessary changes have also been made to R3 sheet where appropriate. DA costs and non-regulated DA will now be explicitely reflected in next section i.e. rows 83-90.</t>
  </si>
  <si>
    <t>NGGT(SO), NGET, NGN, NGT</t>
  </si>
  <si>
    <t>Amended formula to include "Opening RAV (after transfers)" i.e. row 17 instead of row 15</t>
  </si>
  <si>
    <t xml:space="preserve">Data tab, R4 </t>
  </si>
  <si>
    <t>Amended to add PCFM acronyms/ references and SpCs where applicable</t>
  </si>
  <si>
    <t>NGT</t>
  </si>
  <si>
    <t>Data tab</t>
  </si>
  <si>
    <t>Cell C10, added deadband threshold for sheet R8a, populated from rows 303-331</t>
  </si>
  <si>
    <t xml:space="preserve">Added tables for deadband values per PCFM - rows 303-331 (presentational and grossed-up) in Data tab </t>
  </si>
  <si>
    <t xml:space="preserve">R8a </t>
  </si>
  <si>
    <t>Coulmn M has been inserted for materiality checks (linkage with cell C10 on Data tab)</t>
  </si>
  <si>
    <t>R5-Financing sheet</t>
  </si>
  <si>
    <t>Changed labeling on rows 38,40,44,66,68,70 and 77. Also added a new descriptor on row 81</t>
  </si>
  <si>
    <t>R1 - RORE</t>
  </si>
  <si>
    <t>Updated the formula in cell D84 to =IFERROR('R5 - Financing'!D85,0) and dragged across the remaining years.</t>
  </si>
  <si>
    <t>NGET, NGN</t>
  </si>
  <si>
    <t xml:space="preserve">Updated the formula in cell D85 to =IFERROR('R5 - Financing'!D87,0) and dragged across the remaining years.
</t>
  </si>
  <si>
    <t xml:space="preserve">Updated the formula in cell D86 to =IFERROR('R8 - Tax'!E60,0) and dragged across the remaining years.
</t>
  </si>
  <si>
    <t xml:space="preserve">Updated the formula in cell D87 to =IFERROR('R8 - Tax'!E62,0) and dragged across the remaining years.
</t>
  </si>
  <si>
    <t>Corrected the formula to refer to column H instead of column I with the exception of row 16 which is correctly comparing CT600 against the gross calculated tax allowance.</t>
  </si>
  <si>
    <t>Data tab M304-S332</t>
  </si>
  <si>
    <t>Gross-up calculation for deadband values per PCFM - rows 303-331 (presentational and grossed-up) in Data tab and created linkage with cell C10</t>
  </si>
  <si>
    <t>Data M304-S332</t>
  </si>
  <si>
    <t>Changed values to nominal and grossed up for tax on tax to feed into materiality checks in rows 44-93 in R8a</t>
  </si>
  <si>
    <t>SGN, WWU</t>
  </si>
  <si>
    <t>Data M339- M367</t>
  </si>
  <si>
    <t>Incorporated a new table to change values to nominal that feed into materiality check in row 95 (tax charge)</t>
  </si>
  <si>
    <t>Data tab - Cell C10</t>
  </si>
  <si>
    <t>Added to lookup deadband threshold values from Table 2 (M04-S332) for materiality checks for use in R8a (Rows 44-93)</t>
  </si>
  <si>
    <t>Data tab - Cell C11</t>
  </si>
  <si>
    <t>Added to lookup deadband threshold values from Table 3 (M04-S332) for materiality checks for use in R8a - Tax charge (Row95)</t>
  </si>
  <si>
    <t>Data D273-D274</t>
  </si>
  <si>
    <t>Added in Data tab “Swap pay leg – finco back to back” in D273, and “Swap receive leg – finco back to back” in D274.</t>
  </si>
  <si>
    <t>R8a</t>
  </si>
  <si>
    <t xml:space="preserve">Previous version of Col I and J deleted </t>
  </si>
  <si>
    <t>Deleted materiality checks from row 31 and above as it's not mandatory for licensees to explain those differences</t>
  </si>
  <si>
    <t>Corrected formula in col L to look up correct cell references</t>
  </si>
  <si>
    <t>SPEN, ESO, NGET</t>
  </si>
  <si>
    <t>Removed the word 'turnover' in cells A35, A38 and A41</t>
  </si>
  <si>
    <t>ESO, NGET</t>
  </si>
  <si>
    <t>R8</t>
  </si>
  <si>
    <t xml:space="preserve">Changed the label in cell B11 and description in cell J11 </t>
  </si>
  <si>
    <t>SPEN, ESO</t>
  </si>
  <si>
    <t>Labels are now fomula driven in cells B11 and B45 to include "repex" term only referring to GD2</t>
  </si>
  <si>
    <t>SPEN</t>
  </si>
  <si>
    <t>R8 - Cell J11</t>
  </si>
  <si>
    <t>Comment amended to - "R8 row 11 must match with worksheet R8a row 95 minus regulatory adjustments."</t>
  </si>
  <si>
    <t>R4</t>
  </si>
  <si>
    <t>Added formulae/ logic to generate cumulative values in col I and J</t>
  </si>
  <si>
    <t>v2.0</t>
  </si>
  <si>
    <t>R6</t>
  </si>
  <si>
    <t>15/06/2023: Added in new section for reconciliation to statutory accounts:
R6 cell B21: row label changed from "Total Debt per Statutory Accounts" to "Total Modelled Debt"
R6 add in thirteen new rows below row 46 ("Closing regulatory net debt including forecast new debt/refinancing". These rows are headed "Conversion from Regulatory (RIIO-2) Definition of Net Debt to Statutory Net Debt"</t>
  </si>
  <si>
    <t>R5a</t>
  </si>
  <si>
    <t>15/06/2023: Added in additional overwrite lines for Debt Interest Expense
R5a add in five new rows below row 53. This adds in five new "Other adjustment (Overwrite)" lines above "Sub Total: "Debt Interest Expense"
R5a row 59 "Sub Total: "Debt Interest Expense" formula amended to incorporate the five new rows. In Column M, changed from "=SUM(M40:M53)" to "=SUM(M40:M58)" and pasted across the row.</t>
  </si>
  <si>
    <t>R1-R10, F3-F6, I1-I2</t>
  </si>
  <si>
    <t xml:space="preserve">Non-input cells have been password protected to prevent any over-writing </t>
  </si>
  <si>
    <t>unprotected sheet/ unlocked all cells</t>
  </si>
  <si>
    <t>R8a - Cell G16</t>
  </si>
  <si>
    <t>modified the label to correct PCFM reference for ESO</t>
  </si>
  <si>
    <t>Ofgem, ESO</t>
  </si>
  <si>
    <t>corrected error in calculation - modified the formula to exclude H90 (Profits used to offset outstanding losses - excluded from Corporation Tax)</t>
  </si>
  <si>
    <t xml:space="preserve">R6a </t>
  </si>
  <si>
    <t>Unlocked yellow input cells in rows 65-76</t>
  </si>
  <si>
    <t>Ofgem, NGET</t>
  </si>
  <si>
    <t>Corrected formula in row 59</t>
  </si>
  <si>
    <t>Monhly Inflation tab</t>
  </si>
  <si>
    <t>Updated actuals through June 2023</t>
  </si>
  <si>
    <t>Updated "I1 - Universal Data" cells P15:Q16 with the latest inflation data per PCFM for use in AIP (with Actuals through June 2023)</t>
  </si>
  <si>
    <t>Updated "I1 - Universal Data" cells E31:V35 with the latest LIBOR and SONIA rates as of 30 June 2023</t>
  </si>
  <si>
    <t>Updated "I2 - Monthly Inflation" cells C294:D296 with latest inflation data per PCFM for use in AIP  (with Actuals through June 2023)</t>
  </si>
  <si>
    <t>Updated rows C17:J17,C18:J18 and C20:J20 with latest inflation data per PCFM for use in AIP (with actuals through 30 June 2023)</t>
  </si>
  <si>
    <t>v3.0</t>
  </si>
  <si>
    <t>RFPR cover tab</t>
  </si>
  <si>
    <t>Inserted formula in cell C6 for RIIO-2 start date</t>
  </si>
  <si>
    <t xml:space="preserve">Data tab </t>
  </si>
  <si>
    <t>Updated ED sector data for cost of debt, cost of equity, sharing factor, gearing, BPI,ODIs, ORAs &amp; change of WPD name to NGED</t>
  </si>
  <si>
    <t>Updated Combined RPI-CPIH price index on row 17-21 with the latest figures as reflected in the last published PCFM on 30/01/2024</t>
  </si>
  <si>
    <t>Updated Allowed cost of debt from row 41-46 with the latest figures as reflected in the last published PCFM on 30/01/2024</t>
  </si>
  <si>
    <t>Updated Allowed cost of equity from row 51-54 with the latest figures as reflected in the last published PCFM on 30/01/2024</t>
  </si>
  <si>
    <t>R4 - Incentives and other Rev</t>
  </si>
  <si>
    <t>Reconfigured cell D12-H12 to derive BPI figures from the Data tab</t>
  </si>
  <si>
    <t>v3.1</t>
  </si>
  <si>
    <t>R8a - cell D16</t>
  </si>
  <si>
    <t>Corrected - Hardcoded value changed to formula - IFERROR(INDEX('R2 - Rec to Revenue and Profit'!$E$58:$I$58,MATCH('R8a - Tax Reconciliation'!$B$6,'R2 - Rec to Revenue and Profit'!$E$6:$I$6)),0)</t>
  </si>
  <si>
    <t>Ofgem/ NGET</t>
  </si>
  <si>
    <t>I1 - Universal data, cell A9</t>
  </si>
  <si>
    <t>Corrected  text in A9 to "Pricebase Year"</t>
  </si>
  <si>
    <t xml:space="preserve">R3 - C163 </t>
  </si>
  <si>
    <t>Linked price base to cell C9 from Data tab</t>
  </si>
  <si>
    <t>Ofgem/ NGED</t>
  </si>
  <si>
    <t>Data tab  - Rows 310-373</t>
  </si>
  <si>
    <t>Reflected name change from WPD to NGED where applicable</t>
  </si>
  <si>
    <t>Data tab - ED2 combined RPI-CPIH combined price index  (rows 24-29)</t>
  </si>
  <si>
    <t>The new table has been added to include ED2 PIt</t>
  </si>
  <si>
    <t xml:space="preserve">Data tab - Corp Tax line </t>
  </si>
  <si>
    <t>Shifted to row 13</t>
  </si>
  <si>
    <t>Amended formulae for text in cell c13 and c15 and inserted a row for FPt (row 18) to accommodate changes related to ED sector</t>
  </si>
  <si>
    <t>Included formulae in cell B15</t>
  </si>
  <si>
    <t xml:space="preserve">R7 - RAV, cell F30 </t>
  </si>
  <si>
    <t>Changed the logic to add linkages to ED2 table on data tab (rows 24-29)</t>
  </si>
  <si>
    <t>Data tab - rows 132-139</t>
  </si>
  <si>
    <t>Changed to incorporate incentives to feed in R4 sheet for NGGT(TO+SO)</t>
  </si>
  <si>
    <t>I1 Universal data tab</t>
  </si>
  <si>
    <t>Deleted rows 25-28 as these were GD&amp;T only and did not have any inter-linkages</t>
  </si>
  <si>
    <t xml:space="preserve">Deleted column I as t's redundant </t>
  </si>
  <si>
    <t>v3.2</t>
  </si>
  <si>
    <t>Descriptions in cells B163 &amp; B164 and formula in cells D165:H165 adjusted to accommodate requirements related to ED sector</t>
  </si>
  <si>
    <t>R8a - row 30</t>
  </si>
  <si>
    <t>Inserted description "Insert rows as required"</t>
  </si>
  <si>
    <t>WWU/ Ofgem</t>
  </si>
  <si>
    <t>R5 - row 31</t>
  </si>
  <si>
    <t>Renamed to add text "Regulatory" to row 31 - should read as "Regulatory Net Interest including forecast new financing/refinancing costs"</t>
  </si>
  <si>
    <t>R8a - row 93 and 95</t>
  </si>
  <si>
    <t>Renamed the rows to include (pre-group relief) on rows 93 and 95.</t>
  </si>
  <si>
    <t>NGET/WWU</t>
  </si>
  <si>
    <t>R8a - row 93</t>
  </si>
  <si>
    <t>Amended the formula in cell J93 to IF(E$11&lt;&gt;"",IF(OR(B$11="No Filing Date","Enter Filing Date",E$11&lt;D$11),"Error in Filing Date",IF('R8a - Tax Reconciliation'!B$11="Original Filing",D93-H93,E93-H93)),IF(OR(B$11="No Filing Date","Enter Filing Date"),"Error in Filing Date",IF('R8a - Tax Reconciliation'!B$11="Original Filing",D93-H93,E93-H93)))</t>
  </si>
  <si>
    <t>RFPR Template v3.2</t>
  </si>
  <si>
    <t xml:space="preserve">Version unprotected for future circulation
</t>
  </si>
  <si>
    <t>NGT/NPG/Ofgem</t>
  </si>
  <si>
    <t>R5 – Financing (E30)</t>
  </si>
  <si>
    <t>Changed the greyed 'RY2025 Forecast new financing/refinancing Net Interest costs' to a yellow input cell</t>
  </si>
  <si>
    <t>UKPN</t>
  </si>
  <si>
    <t>R7 – RAV (row 32)</t>
  </si>
  <si>
    <t>Updated the formula in cell F32 tab R7 to ''=F24*Data!H36'' i.e, Closing RAV 2020/21 prices x Combined real to nominal prices conversion factor at 2024</t>
  </si>
  <si>
    <t>Data - Rows 19-21, 28-29</t>
  </si>
  <si>
    <t>Updated the values as per the latest inflation data circulated to all companies in April 2024</t>
  </si>
  <si>
    <t>NPG</t>
  </si>
  <si>
    <t>R2 – row 15</t>
  </si>
  <si>
    <t>Inserted text in cell B14 to state that "not applicable to the ED sector"</t>
  </si>
  <si>
    <t>Updated cell B174 to NGET (TO) instead of NGET (SO) to pull through to the R4 tab correctly.</t>
  </si>
  <si>
    <t>NGET/NGED</t>
  </si>
  <si>
    <t xml:space="preserve">"Updated the following formula:
B73: ='R4 - Incentives and Other Rev'!B19
D73: ='R4 - Incentives and Other Rev'!D19
E73: ='R4 - Incentives and Other Rev'!E19
F73: ='R4 - Incentives and Other Rev'!F19
G73: ='R4 - Incentives and Other Rev'!G19
H73: ='R4 - Incentives and Other Rev'!H19"
</t>
  </si>
  <si>
    <t>NGET/NGED/ UKPN</t>
  </si>
  <si>
    <t>RFPR template - Data worksheet</t>
  </si>
  <si>
    <t>Updated the formula in cell E34 to =IF(SectorCov="ED2",E28/INDEX($C$28:$N$28,MATCH($E$27,$C$27:$N$27,0)),E19/INDEX($C$19:$N$19,MATCH($C$18,$C$18:$N$18,0)))</t>
  </si>
  <si>
    <t>Changed text in cell F6 to "check £m"  in place of "Materiality £m"</t>
  </si>
  <si>
    <t>NGT/ Cadent</t>
  </si>
  <si>
    <t>I1 - Universal data</t>
  </si>
  <si>
    <t xml:space="preserve">Data updated in rows 15 and 16 per latest March 2024 OBR release </t>
  </si>
  <si>
    <t xml:space="preserve">Changed/ added new label on rows 15, 24 i.e. "Price Indices"  and on row 31 - "Price conversion factrors"  </t>
  </si>
  <si>
    <t>Added a note on row 37 regarding the price indices and conversion factors</t>
  </si>
  <si>
    <t>Ofgem/ NPg</t>
  </si>
  <si>
    <t>Interest rates updated E26:V30</t>
  </si>
  <si>
    <t>R6a - Net Debt input, cell D65</t>
  </si>
  <si>
    <t>Spare adjustment slot in the 'Conversion to Regulatory (RIIO-2) Definition of Net Debt' section replaced with "Discounts (premiums) for fixed rate debt"</t>
  </si>
  <si>
    <t>C154 (Commitment Fees) cell colour changed from yellow (input) to white (fixed). New row added below (C155) for any other adjustments. "Total Interest Paid as per cash flow statement" (row 156) amended to include the new row in the SUM formula.</t>
  </si>
  <si>
    <t>R8a - Cell D93, E93</t>
  </si>
  <si>
    <t>Changed the formula in these cells to match H93 = (Max(H81-H90),0)</t>
  </si>
  <si>
    <t>v3.3</t>
  </si>
  <si>
    <t>R3 - row 165 ''checks''</t>
  </si>
  <si>
    <t>Amended the ‘error check’ formula to reflect the correct results.</t>
  </si>
  <si>
    <t>Ofgem/NGT</t>
  </si>
  <si>
    <t>R1 - rows 20-21, 49-50, 78-79</t>
  </si>
  <si>
    <t>Rows inserted and logic added to include missed ODIs from R4 tab on 'Collaborative streetworks' and 'Dig Fix Go' incentives</t>
  </si>
  <si>
    <t>Data tab- Rows 19-21, 28-29</t>
  </si>
  <si>
    <t>Updated the values as per the latest inflation data as per the PCFM published on 31 January 2025</t>
  </si>
  <si>
    <t>Data tab- Rows 42 - 59</t>
  </si>
  <si>
    <t>Updated the allowed Cost of debt &amp; Cost of equity data as per the PCFM published on 31 January 2025</t>
  </si>
  <si>
    <t>Updated "I1 - Universal Data" cells M15:O16 with the latest inflation data per the PCFM published on 31 January 2025</t>
  </si>
  <si>
    <t>Added "I2 - Monthly Inflation" cells C306:D308 with latest inflation data per the PCFM published on 31 January 2025</t>
  </si>
  <si>
    <t>v3.4</t>
  </si>
  <si>
    <t>F5 - Row 38</t>
  </si>
  <si>
    <t>Updated the formula in these cells to reflect the cash allocation % between companies where applicable. (currently applies to Cadent only)</t>
  </si>
  <si>
    <t>Ofgem/ Cadent</t>
  </si>
  <si>
    <t>Data tab - Rows 386 - 413</t>
  </si>
  <si>
    <t>Inserted a cash allocation table to accompany the change in F5- Row 38. (currently applies to Cadent only)</t>
  </si>
  <si>
    <t>F3 - Fixed Rate Debt - 211:610</t>
  </si>
  <si>
    <t>Extended dataset and formula to allow for 600 debt instruments</t>
  </si>
  <si>
    <t>F4 - Floating Rate Debt - 211:610</t>
  </si>
  <si>
    <t>F5 - Inflation Linked Debt - 211:610</t>
  </si>
  <si>
    <t>Extended dataset and formula to allow for 1800 debt instruments</t>
  </si>
  <si>
    <t xml:space="preserve">Updated the values as per the latest inflation data (March update) as per the PCFM </t>
  </si>
  <si>
    <t xml:space="preserve">Updated "I1 - Universal Data" cells M15:O16 with the latest inflation data (March update) as per the PCFM </t>
  </si>
  <si>
    <t xml:space="preserve">Added "I2 - Monthly Inflation" cells C309:D317 with latest inflation data (March update) as per the PCFM </t>
  </si>
  <si>
    <t>v4.0</t>
  </si>
  <si>
    <t>R1- rows 48, 49, 50</t>
  </si>
  <si>
    <t>Amended the formulae in rows 48, 49, and 50 to correctly interpret values from the R4 tab.</t>
  </si>
  <si>
    <t>Ofgem/UKPN</t>
  </si>
  <si>
    <t>Updated interest rates inpuit table (rows 26-30) - to note that LIBOR has been discontinued from 2024 onwards</t>
  </si>
  <si>
    <t>v4.1</t>
  </si>
  <si>
    <t>R5 - row 77</t>
  </si>
  <si>
    <t>Modified R5 row 77 to reflect data from the 'Latest PCFM' rather than Latest published PCFM</t>
  </si>
  <si>
    <t>Ofgem/WWU</t>
  </si>
  <si>
    <t>R8a - cell:C98</t>
  </si>
  <si>
    <t>Updated formula in Cell C98 updated to reference "ED2", not "ED" so that is correctly shows as 2020/21 prices</t>
  </si>
  <si>
    <t>NGED/NPg</t>
  </si>
  <si>
    <t>R2 - rows 97 &amp; 98</t>
  </si>
  <si>
    <t>Gitlab #77 : Added 2 new rows after Net interest per Statutory accounts to adjust for the SO and Non-reg business.</t>
  </si>
  <si>
    <t>R6a - cell T111</t>
  </si>
  <si>
    <t>Gitlab #79 : Modified formula to include rounding to ensure no error check appears</t>
  </si>
  <si>
    <t>v5.0</t>
  </si>
  <si>
    <t>Inserted a row under 16 for CPI forecast, with inflation data from March</t>
  </si>
  <si>
    <t>Inserted 3 new columns to Monthly Inflation, for CPI outturn, CPI % forecast, CPI index (E; H; K)</t>
  </si>
  <si>
    <t>F5 - Inflation Linked Debt - BZ11:CR610; LH11:LY610; MB11:MS610; NP11:OG610</t>
  </si>
  <si>
    <t>Formula amended to include ability to adjust to CPI index "$N11 = "CPI")*2"</t>
  </si>
  <si>
    <t>Data tab - cell O284</t>
  </si>
  <si>
    <t>Added CHF to the currency list in the RFPR Data tab</t>
  </si>
  <si>
    <t>Formula amended to look up to columns I:K in Monthly Inflation</t>
  </si>
  <si>
    <t>R1 - Return on Regulatory Equity (RoRE)</t>
  </si>
  <si>
    <t>RIIO-2 period</t>
  </si>
  <si>
    <t>RoRE based on Notional Gearing</t>
  </si>
  <si>
    <t>Allowed Equity Return</t>
  </si>
  <si>
    <t>%</t>
  </si>
  <si>
    <t>a</t>
  </si>
  <si>
    <t>b</t>
  </si>
  <si>
    <t>c</t>
  </si>
  <si>
    <t>d</t>
  </si>
  <si>
    <t>e</t>
  </si>
  <si>
    <t>f</t>
  </si>
  <si>
    <t>g</t>
  </si>
  <si>
    <t>h</t>
  </si>
  <si>
    <t>i</t>
  </si>
  <si>
    <t>ii</t>
  </si>
  <si>
    <t>iii</t>
  </si>
  <si>
    <t>iv</t>
  </si>
  <si>
    <t>v</t>
  </si>
  <si>
    <t>vi</t>
  </si>
  <si>
    <t>vii</t>
  </si>
  <si>
    <t>viii</t>
  </si>
  <si>
    <t>RoRE based on Actual Gearing</t>
  </si>
  <si>
    <t>Debt performance - at actual gearing</t>
  </si>
  <si>
    <t>Tax performance - at actual gearing</t>
  </si>
  <si>
    <t>RoRE input values</t>
  </si>
  <si>
    <t>Equity Return on the RAV</t>
  </si>
  <si>
    <t>Totex outperformance</t>
  </si>
  <si>
    <t>Business Plan Incentive</t>
  </si>
  <si>
    <t>Penalties and fines (Other Activities)</t>
  </si>
  <si>
    <t>RoRE - Operational performance</t>
  </si>
  <si>
    <t>Debt performance - at notional gearing</t>
  </si>
  <si>
    <t>Debt performance - impact of actual gearing</t>
  </si>
  <si>
    <t>Tax performance - at notional gearing</t>
  </si>
  <si>
    <t>Tax performance - impact of actual gearing</t>
  </si>
  <si>
    <t>RoRE - including financing and tax</t>
  </si>
  <si>
    <t>NPV-neutral equity RAV based on notional gearing</t>
  </si>
  <si>
    <t>Equity RAV based on actual gearing</t>
  </si>
  <si>
    <t>R2 - Reconciliation to Revenue and Profit</t>
  </si>
  <si>
    <t>Reconciliation: Regulated Network Revenue to Accounts</t>
  </si>
  <si>
    <t>Allowed Revenue - per latest published PCFM</t>
  </si>
  <si>
    <t>Calculated revenue (as published)</t>
  </si>
  <si>
    <t>£m nominal</t>
  </si>
  <si>
    <t>AIP adjustment term (as published)- not applicable to ED sector</t>
  </si>
  <si>
    <t>Legacy Allowed Revenue</t>
  </si>
  <si>
    <t>K Correction Factor</t>
  </si>
  <si>
    <t>Forecasting penalty (ED only)</t>
  </si>
  <si>
    <t>FPt</t>
  </si>
  <si>
    <t>Allowed Network Revenue</t>
  </si>
  <si>
    <t>(Under) / Over recovery</t>
  </si>
  <si>
    <t>Collected Regulated Network Revenue (per latest PCFM)</t>
  </si>
  <si>
    <t>RRt</t>
  </si>
  <si>
    <t>Other Turnover Items</t>
  </si>
  <si>
    <t>Strategic Innovation Fund (SIF) payments received from TO</t>
  </si>
  <si>
    <t>Legacy Metering Equipment charges</t>
  </si>
  <si>
    <t>Directly Remunerated Services revenue</t>
  </si>
  <si>
    <t>Network Asset Secondary Deliverables incentive/penalty</t>
  </si>
  <si>
    <t>Charging outside the Distribution Services Area (Out of Area Charges)</t>
  </si>
  <si>
    <t>De Minimis Business of the licensee</t>
  </si>
  <si>
    <t>Other consented activities</t>
  </si>
  <si>
    <t>Data Services revenue</t>
  </si>
  <si>
    <t>[Input description, add additional rows as required]</t>
  </si>
  <si>
    <t>Total Other Turnover Items</t>
  </si>
  <si>
    <t>Other adjustments - please list</t>
  </si>
  <si>
    <t>Deeside &amp; RICA NIC</t>
  </si>
  <si>
    <t>NG ETO adjustment (Capital contributions, Asset usage)</t>
  </si>
  <si>
    <t>BritNed Recharges</t>
  </si>
  <si>
    <t xml:space="preserve">Western Link LD </t>
  </si>
  <si>
    <t>National Gas Transmission Transitional Service Agreements</t>
  </si>
  <si>
    <t>Property Disposals</t>
  </si>
  <si>
    <t>Projects that moved from OpEx Customer Funded into CapEx Customer Funded</t>
  </si>
  <si>
    <t>De Minimis Business of the license adjustment</t>
  </si>
  <si>
    <t>Other consented activities adjustment</t>
  </si>
  <si>
    <t>[Input description]</t>
  </si>
  <si>
    <t>Total other adjustments</t>
  </si>
  <si>
    <t>Reconciled total revenue</t>
  </si>
  <si>
    <t>Turnover as per Profit and Loss (Stat Accounts)</t>
  </si>
  <si>
    <t>Check</t>
  </si>
  <si>
    <t>Reconciliation: Regulated Network Profit to Statutory Accounts</t>
  </si>
  <si>
    <t>Turnover/Revenue as per Statutory Accounts</t>
  </si>
  <si>
    <t xml:space="preserve">Collected Regulated Network Revenue </t>
  </si>
  <si>
    <t>To be manually entered by Cadent (combined networks regulated revenue)</t>
  </si>
  <si>
    <t>Operating Costs, Pensions and Other Costs as per Statutory Accounts (excluding depreciation &amp; amortisation)</t>
  </si>
  <si>
    <t>Reconciliation</t>
  </si>
  <si>
    <t>Total Costs not related to the price control Regulated business (excluding depreciation &amp; amortisation)</t>
  </si>
  <si>
    <t>Atypical costs adjustment (reported on cash basis)</t>
  </si>
  <si>
    <t>Total Operating Costs as reported in the latest RRP submission (excluding depreciation &amp; amortisation)</t>
  </si>
  <si>
    <t xml:space="preserve">Difference </t>
  </si>
  <si>
    <t>Earnings/ Operating Profit (EBITDA) per Statutory Accounts</t>
  </si>
  <si>
    <t>Operating Profit related to Regulated business</t>
  </si>
  <si>
    <t>Depreciation and Amortisation costs as per Statutory Accounts</t>
  </si>
  <si>
    <t>Costs not related to the price control Regulated business</t>
  </si>
  <si>
    <t>Depreciation, amortisation related to capex adjustments</t>
  </si>
  <si>
    <t>Other [Input description, add additional rows as required]</t>
  </si>
  <si>
    <t>Total Adjustments</t>
  </si>
  <si>
    <t>Total Depreciation and Amortisation Costs related to the Regulated business</t>
  </si>
  <si>
    <t>Earnings before Interest and Taxes (EBIT) per Statutory Accounts</t>
  </si>
  <si>
    <t>Operating Profit before Interest and Taxes related to Regulated business</t>
  </si>
  <si>
    <t>Net Interest as per Statutory Accounts</t>
  </si>
  <si>
    <t>1.exclude allocated to non-regulted &amp; applicable business (statutory basis)</t>
  </si>
  <si>
    <t>Only appicable for NGT</t>
  </si>
  <si>
    <t>2.exclude allocated to GSO (regulated basis)</t>
  </si>
  <si>
    <t>Net Interest Per Regulatory (RIIO-2) Definition</t>
  </si>
  <si>
    <t>Difference</t>
  </si>
  <si>
    <t>Tax as per Statutory Accounts</t>
  </si>
  <si>
    <t xml:space="preserve">  Less Deferred Taxes</t>
  </si>
  <si>
    <t>Tax as per Statutory Accounts (net of deferred taxes)</t>
  </si>
  <si>
    <t>Tax related to Regulated business</t>
  </si>
  <si>
    <t>Net Profit as per Statutory Accounts</t>
  </si>
  <si>
    <t>Net Profit related to Regulated business</t>
  </si>
  <si>
    <t>Supporting Comments/Narrative</t>
  </si>
  <si>
    <t>R3 - Totex &amp; Reconciliation</t>
  </si>
  <si>
    <t>Totex per the latest PCFM</t>
  </si>
  <si>
    <t>In this section, rows 13-99 do not apply to ESO</t>
  </si>
  <si>
    <t>Latest Totex actuals/forecast</t>
  </si>
  <si>
    <t xml:space="preserve">Totex allowance 
</t>
  </si>
  <si>
    <t>Totex out(under)performance</t>
  </si>
  <si>
    <t>Funding Adjustment Rate (often referred to as 'sharing factor')</t>
  </si>
  <si>
    <t>Customer share of out(under) performance</t>
  </si>
  <si>
    <t>NWO share of performance</t>
  </si>
  <si>
    <t>Enduring Value adjustments to Totex performance</t>
  </si>
  <si>
    <t xml:space="preserve">T1+2 Deferral </t>
  </si>
  <si>
    <t>T1 Non Load</t>
  </si>
  <si>
    <t>ISS Deferral</t>
  </si>
  <si>
    <t>T1/T2 Offset</t>
  </si>
  <si>
    <t>Pre-Con Adjustment + Easements</t>
  </si>
  <si>
    <t>Bridging Allowance Adjustment</t>
  </si>
  <si>
    <t>PCD Adjustment</t>
  </si>
  <si>
    <t>De Minimis</t>
  </si>
  <si>
    <t>Phasing Adjustment</t>
  </si>
  <si>
    <t>Total enduring value adjustments</t>
  </si>
  <si>
    <t>Enduring Value adjustments (UIOLI)</t>
  </si>
  <si>
    <t>[Cross Price Control]</t>
  </si>
  <si>
    <t>[other Enduring Value adjustment]</t>
  </si>
  <si>
    <t>Enduring Value: Customer share of performance</t>
  </si>
  <si>
    <t>Enduring Value: NWO share of performance</t>
  </si>
  <si>
    <t>Total out(under) performance (including enduring value adjustments)</t>
  </si>
  <si>
    <t>Total out (under) performance</t>
  </si>
  <si>
    <t xml:space="preserve">Totex allowance 
  </t>
  </si>
  <si>
    <t>Repex (only applicable for GD2)</t>
  </si>
  <si>
    <t>Latest Repex actuals/forecast</t>
  </si>
  <si>
    <t xml:space="preserve">Totex allowance 
 </t>
  </si>
  <si>
    <t>Totex Summary</t>
  </si>
  <si>
    <t>Total out(under) performance</t>
  </si>
  <si>
    <t>Customer share of performance</t>
  </si>
  <si>
    <t>Total</t>
  </si>
  <si>
    <t>Reconciliation to Totex</t>
  </si>
  <si>
    <t>Total Expenditure Per Accounts</t>
  </si>
  <si>
    <t>Tangible Fixed Asset Additions</t>
  </si>
  <si>
    <t>Intangible Asset Additions (under IFRS) - IT Software</t>
  </si>
  <si>
    <t>Disposals (cash proceeds)
[If Statutory Accounts treat this as an exceptional item, leave the input blank]</t>
  </si>
  <si>
    <t>Customer Contributions Additions</t>
  </si>
  <si>
    <t>Capitalised interest</t>
  </si>
  <si>
    <t>Revaluation of tangible fixed assets</t>
  </si>
  <si>
    <t>Capex Incurred</t>
  </si>
  <si>
    <t>Depreciation and Amortisation</t>
  </si>
  <si>
    <t>Other Operating Expenses (Opex)</t>
  </si>
  <si>
    <t>Other Operational Costs Incurred</t>
  </si>
  <si>
    <t>Opex Incurred (excluding Depreciation &amp; Amortisation)</t>
  </si>
  <si>
    <t>Total Expenditure Incurred</t>
  </si>
  <si>
    <t>Reconciling Items to Total Net costs after non-price control allocations</t>
  </si>
  <si>
    <t>Opex Reconciling Adjustments</t>
  </si>
  <si>
    <t>Costs related to NGET other Co Codes per statutory accounts</t>
  </si>
  <si>
    <t>Other and roundings</t>
  </si>
  <si>
    <t>IFRS 16 Adjustments</t>
  </si>
  <si>
    <t>Provision Movements</t>
  </si>
  <si>
    <t>Pension adjustments</t>
  </si>
  <si>
    <t>Bad Debts</t>
  </si>
  <si>
    <t>Redress payment</t>
  </si>
  <si>
    <t>Costs of Consented and De Minimis Services</t>
  </si>
  <si>
    <t>Remove allocated depreciation</t>
  </si>
  <si>
    <t>Profit/Loss on Disposal</t>
  </si>
  <si>
    <t>Remove BSuoS Pass Through</t>
  </si>
  <si>
    <t>Remove CMA Costs</t>
  </si>
  <si>
    <t>Fines and Penaltes</t>
  </si>
  <si>
    <t>Finance Income &amp; Pass through income</t>
  </si>
  <si>
    <t>ESO Disposal Exceptionals</t>
  </si>
  <si>
    <t>E1.10 Net Zero UIOLI</t>
  </si>
  <si>
    <t>Cust Funded - PY retrospective split of Capex credit</t>
  </si>
  <si>
    <t>Exclude SIF Funding Recognition</t>
  </si>
  <si>
    <t>IT Opex/Capex reclass</t>
  </si>
  <si>
    <t>Total Opex adj. (excluding Depreciation &amp; Amortisation)</t>
  </si>
  <si>
    <t>Capex Reconciling Adjustments</t>
  </si>
  <si>
    <t>E1.11 ET Pipeline Log Totex excluding ASTI prepayments</t>
  </si>
  <si>
    <t>Directly Procured Assets and Strategic Spares</t>
  </si>
  <si>
    <t>Retention Liability &amp; Blanket PO's</t>
  </si>
  <si>
    <t>4YM Phasing Adjustment</t>
  </si>
  <si>
    <t>HVDC Decommissioning Provision Discount Recalculation</t>
  </si>
  <si>
    <t>Load related prepayments</t>
  </si>
  <si>
    <t>VIMRE/CAI adjustment</t>
  </si>
  <si>
    <t>Capitalised depreciation &amp; amortisation</t>
  </si>
  <si>
    <t xml:space="preserve">Total </t>
  </si>
  <si>
    <t>Total Reconciling Items</t>
  </si>
  <si>
    <t>Total Net costs after non-price control allocations</t>
  </si>
  <si>
    <t>Total Costs per latest RRP submission(all sectors except ED &amp; ESO)*</t>
  </si>
  <si>
    <t>licensee to provide cell reference to new RRP</t>
  </si>
  <si>
    <t>Total Costs per latest RRP submission (ED &amp; ESO)*</t>
  </si>
  <si>
    <t>Total Costs per latest RRP submission</t>
  </si>
  <si>
    <t>check</t>
  </si>
  <si>
    <t>Reconciling Items to Totex</t>
  </si>
  <si>
    <t>DRS</t>
  </si>
  <si>
    <t>Pass through costs</t>
  </si>
  <si>
    <t>Total Innovation</t>
  </si>
  <si>
    <t>Scrap Proceeds and Disposals Included in Totex</t>
  </si>
  <si>
    <t>E1.11 ET Pipeline Log included in Totex</t>
  </si>
  <si>
    <t>Total reconciling items not recognised in totex</t>
  </si>
  <si>
    <t>Reconciled Totex</t>
  </si>
  <si>
    <t>PCFM/ RRP reported Totex</t>
  </si>
  <si>
    <t>for ESO and NGET, this row should be inputted directly from the PCFM</t>
  </si>
  <si>
    <t>Not relevant for ESO</t>
  </si>
  <si>
    <t>*Licensee to provide a cell reference to the latest submitted RRP file from where the value is taken and note it in supporting comments/ narrative section below.</t>
  </si>
  <si>
    <t>R4 - Incentives and Other Revenue</t>
  </si>
  <si>
    <t>Output Incentives (Post Tax)</t>
  </si>
  <si>
    <t>Business Plan Incentive (per latest PCFM company-specific Input Sheet)</t>
  </si>
  <si>
    <t>Output Incentives  (per latest PCFM company-specific Input Sheet)</t>
  </si>
  <si>
    <t>Earned Output Incentive revenue as per PCFM</t>
  </si>
  <si>
    <t>Additional Commentary</t>
  </si>
  <si>
    <r>
      <t>Other Revenue Allowances (ORA</t>
    </r>
    <r>
      <rPr>
        <b/>
        <vertAlign val="subscript"/>
        <sz val="14"/>
        <color theme="1"/>
        <rFont val="Verdana"/>
        <family val="2"/>
      </rPr>
      <t>t</t>
    </r>
    <r>
      <rPr>
        <b/>
        <sz val="14"/>
        <color theme="1"/>
        <rFont val="Verdana"/>
        <family val="2"/>
      </rPr>
      <t xml:space="preserve">) - Post Tax </t>
    </r>
  </si>
  <si>
    <t xml:space="preserve">Innovation </t>
  </si>
  <si>
    <t>NIAt</t>
  </si>
  <si>
    <t>Total NIA Expenditure</t>
  </si>
  <si>
    <t>Does not apply to NGGT SO</t>
  </si>
  <si>
    <t>Unrecoverable Expenditure (eg not conforming to technical requirements)</t>
  </si>
  <si>
    <t>Company Compulsory Contribution (including % contribution funded by licensee)</t>
  </si>
  <si>
    <t>Allowed NIA adjustment</t>
  </si>
  <si>
    <t>Network innovation input for RORE</t>
  </si>
  <si>
    <t>Carry Over RIIO-1 Network Innovation Allowance</t>
  </si>
  <si>
    <t>CNIAt</t>
  </si>
  <si>
    <t>Eligible NIA expenditure and Bid Preparation costs</t>
  </si>
  <si>
    <t>Allowed CNIA adjustment</t>
  </si>
  <si>
    <t>Carry-over Network innovation input for RORE</t>
  </si>
  <si>
    <t>Strategic Innovation Fund</t>
  </si>
  <si>
    <t>SIFt</t>
  </si>
  <si>
    <t>SIF Funding</t>
  </si>
  <si>
    <t>SIF Funding Return (Disallowed Expenditure only)</t>
  </si>
  <si>
    <t>Allowed SIF adjustment</t>
  </si>
  <si>
    <t>Strategic innovation input for RORE</t>
  </si>
  <si>
    <t xml:space="preserve">Incentives </t>
  </si>
  <si>
    <t>Actuals may be updated once all incentives are determined - ONLY APPLIES TO NGGT - SO</t>
  </si>
  <si>
    <t>NOTE: Section below excludes ORA (i), (ii) and (iii) which have already been included as part of "Innovation"  section above.</t>
  </si>
  <si>
    <t>Incentives per latest PCFM company-specific Input Sheet</t>
  </si>
  <si>
    <t>Reconciliation with Statutory Accounts</t>
  </si>
  <si>
    <t>Forecast new financing/refinancing Net Interest costs</t>
  </si>
  <si>
    <t>Regulatory Net Interest including forecast new financing/refinancing costs</t>
  </si>
  <si>
    <t>External Net Interest</t>
  </si>
  <si>
    <t>Intra-company Net Interest</t>
  </si>
  <si>
    <t>Memo: Net interest (RIIO-2) Definition that relates to non-cash principal inflation accretion on bonds and loans</t>
  </si>
  <si>
    <t>Inflation component of nominal finance cost</t>
  </si>
  <si>
    <t xml:space="preserve">In-period real finance cost (reg terms) at actual gearing </t>
  </si>
  <si>
    <t>Combined RPI-CPIH real to nominal prices conversion</t>
  </si>
  <si>
    <t>Factor</t>
  </si>
  <si>
    <t>Adjustments to be applied to Assumed Finance cost for performance assessment</t>
  </si>
  <si>
    <t>New/refinanced debt issuance expenses</t>
  </si>
  <si>
    <t>Total Adjustments to be applied for performance assessment (at actual gearing)</t>
  </si>
  <si>
    <t>Cost of Debt out(under)performance at notional gearing</t>
  </si>
  <si>
    <t>Performance against allowance is impacted by deviating from notional levels of gearing</t>
  </si>
  <si>
    <t>Actual Gearing</t>
  </si>
  <si>
    <t>In-period real finance cost (reg terms) at actual gearing</t>
  </si>
  <si>
    <t>Adjustment to regulatory finance cost relating to variance from notional gearing</t>
  </si>
  <si>
    <t>In-period real finance cost (reg terms) at notional gearing</t>
  </si>
  <si>
    <t>Adjustments to be applied for performance assessment (at notional gearing)</t>
  </si>
  <si>
    <t>Cost of Debt Allowance</t>
  </si>
  <si>
    <t xml:space="preserve">The latest PCFM contains the allowed cost of debt rate (%) for the reporting year. </t>
  </si>
  <si>
    <t>Real Cost of Debt Allowance as per latest PCFM (prior year AIP)</t>
  </si>
  <si>
    <t>Out(under) performance</t>
  </si>
  <si>
    <t xml:space="preserve">The real cost of debt is compared against the regulatory debt allowance (set in real terms) for an assessment of performance given the inflation protection provided by RAV indexation. </t>
  </si>
  <si>
    <t>Pre-Tax performance</t>
  </si>
  <si>
    <t>Pre-Tax Cost of Debt out(under)performance at actual gearing</t>
  </si>
  <si>
    <t>Pre-Tax Cost of Debt out(under)performance at notional gearing</t>
  </si>
  <si>
    <t>Pre-Tax Impact on out(under) performance relating to deviating from notional levels of gearing</t>
  </si>
  <si>
    <t>Opening Cash, short term deposits and overdrafts (per Balance Sheet)</t>
  </si>
  <si>
    <t>Closing Cash, short term deposits and overdrafts (per Balance Sheet)</t>
  </si>
  <si>
    <t>Total Modelled Debt</t>
  </si>
  <si>
    <t>Conversion to Regulatory (RIIO-2) Definition of Net Debt</t>
  </si>
  <si>
    <t>Total Net Debt per Regulatory (RIIO-2) definition</t>
  </si>
  <si>
    <t>Forecast new debt/refinancing</t>
  </si>
  <si>
    <t>Regulatory Net Debt including forecast new debt/refinancing</t>
  </si>
  <si>
    <t>Opening Regulatory Net Debt including forecast new debt/refinancing</t>
  </si>
  <si>
    <t>Closing Regulatory Net Debt including forecast new debt/refinancing</t>
  </si>
  <si>
    <t>Conversion from Regulatory (RIIO-2) Definition of Net Debt to Statutory Net Debt</t>
  </si>
  <si>
    <t>1. Fair value adjustments</t>
  </si>
  <si>
    <t>2. Accrued interest</t>
  </si>
  <si>
    <t>3. Derivatives - other than cross currency swaps</t>
  </si>
  <si>
    <t>4. Balancing value on cross currency swaps</t>
  </si>
  <si>
    <t>5. IFRS 16 Right of Use Lease Liability</t>
  </si>
  <si>
    <t>6. [Insert adjustment as necessary]</t>
  </si>
  <si>
    <t>7. [Insert adjustment as necessary]</t>
  </si>
  <si>
    <t>8. [Insert adjustment as necessary]</t>
  </si>
  <si>
    <t>9. [Insert adjustment as necessary]</t>
  </si>
  <si>
    <t>10. [Insert adjustment as necessary]</t>
  </si>
  <si>
    <t>Net Debt per Statutory Accounts</t>
  </si>
  <si>
    <t>Allocation of net debt (Per regulatory definition. Transmission companies only)</t>
  </si>
  <si>
    <t>Gas system operator allocation (transmission companies only)</t>
  </si>
  <si>
    <t>Transmission or distribution allocation</t>
  </si>
  <si>
    <t>Average Net Debt (per Regulatory Definition)</t>
  </si>
  <si>
    <t>Equity RAV</t>
  </si>
  <si>
    <t>Average RAV</t>
  </si>
  <si>
    <t>Actual Regulatory Gearing</t>
  </si>
  <si>
    <t>Gearing Ratio delta</t>
  </si>
  <si>
    <t>NPV Neutral assumed Average Net Debt</t>
  </si>
  <si>
    <t>NPV Neutral assumed Equity RAV</t>
  </si>
  <si>
    <t>NPV Neutral assumed Average RAV</t>
  </si>
  <si>
    <t>R7 - Regulatory Asset Value (RAV)</t>
  </si>
  <si>
    <t>RAV per latest PCFM</t>
  </si>
  <si>
    <r>
      <t xml:space="preserve">Closing RAV </t>
    </r>
    <r>
      <rPr>
        <sz val="10"/>
        <rFont val="Verdana"/>
        <family val="2"/>
      </rPr>
      <t xml:space="preserve">per latest PCFM </t>
    </r>
  </si>
  <si>
    <t>Opening RAV (before transfers)</t>
  </si>
  <si>
    <t>Transfers</t>
  </si>
  <si>
    <t>Opening RAV (after transfers)</t>
  </si>
  <si>
    <t>Net additions (after disposals)</t>
  </si>
  <si>
    <t>Net additions (after disposals) - enduring value adjustment</t>
  </si>
  <si>
    <t>Total Net Additions</t>
  </si>
  <si>
    <t>Depreciation</t>
  </si>
  <si>
    <t>Depreciation - enduring value adjustment</t>
  </si>
  <si>
    <t>Total Depreciation</t>
  </si>
  <si>
    <t>Adjusted Closing RAV</t>
  </si>
  <si>
    <t>Total enduring value and other adjustments</t>
  </si>
  <si>
    <t>CHECK</t>
  </si>
  <si>
    <t>Index for Opening RAV conversion to nominal in yr 1</t>
  </si>
  <si>
    <t>Index</t>
  </si>
  <si>
    <t>Cost of debt</t>
  </si>
  <si>
    <t>annual real %</t>
  </si>
  <si>
    <t>Cost of equity</t>
  </si>
  <si>
    <t>Notional gearing</t>
  </si>
  <si>
    <t>Vanilla WACC</t>
  </si>
  <si>
    <t>NPV-neutral debt element of RAV</t>
  </si>
  <si>
    <t>NPV-neutral equity element of RAV</t>
  </si>
  <si>
    <t>NPV-neutral RAV return base</t>
  </si>
  <si>
    <t>Debt Return on RAV</t>
  </si>
  <si>
    <t>Equity Return on RAV</t>
  </si>
  <si>
    <t>Total return on RAV</t>
  </si>
  <si>
    <t>The CT600 will not have been submitted for the current reporting year.</t>
  </si>
  <si>
    <t>It is assumed the current tax charge per the statutory accounts will equal the tax liability in the forthcoming CT600, where this is not the case the licensee should provide an explanation in the commentary of the variance.</t>
  </si>
  <si>
    <t>Tax liability per latest submitted CT600 (pre-group relief) after Regulatory Adjustments</t>
  </si>
  <si>
    <t xml:space="preserve">must match with worksheet R8a row 95 minus regulatory adjustments </t>
  </si>
  <si>
    <t>Adjustments to remove non-regulated tax liability</t>
  </si>
  <si>
    <t>Tax on non-regulated activities</t>
  </si>
  <si>
    <t>Metering</t>
  </si>
  <si>
    <t>De-minimus and Other activities</t>
  </si>
  <si>
    <t>Excluded services</t>
  </si>
  <si>
    <t>Non-regulated tax</t>
  </si>
  <si>
    <t>Other adjustments</t>
  </si>
  <si>
    <t>Tax on Other Revenue Allowances - Innovation and Incentives only</t>
  </si>
  <si>
    <t>Collected revenue adjustment ('k')</t>
  </si>
  <si>
    <t>Pension - timing adjustment</t>
  </si>
  <si>
    <t>Pension - disallowed contributions</t>
  </si>
  <si>
    <t>Tax on derivatives not disregarded</t>
  </si>
  <si>
    <t>Tax on Performance</t>
  </si>
  <si>
    <t>Tax on Excluded Services / Legacy</t>
  </si>
  <si>
    <t>Tax credit on current year loss per CT600</t>
  </si>
  <si>
    <t>Tax loss restriction</t>
  </si>
  <si>
    <t>Tax on remeasurements</t>
  </si>
  <si>
    <t>Forecast regulated tax liability (including impact of any enduring value adjustments)</t>
  </si>
  <si>
    <t>Adjusted regulated tax liability</t>
  </si>
  <si>
    <t xml:space="preserve">Adjusted/forecast regulated tax liability </t>
  </si>
  <si>
    <t>Tax out(under)performance at notional gearing</t>
  </si>
  <si>
    <t>Adjustment to regulatory tax cost relating to variance from notional gearing</t>
  </si>
  <si>
    <t>Revised regulated tax liability for comparison against allowance</t>
  </si>
  <si>
    <t>Allowance</t>
  </si>
  <si>
    <t>Tax Allowance per latest PCFM</t>
  </si>
  <si>
    <t>Regulated tax out(under) performance at actual gearing</t>
  </si>
  <si>
    <t>Regulated tax out(under) performance at notional gearing</t>
  </si>
  <si>
    <t>Impact on out(under) performance relating to deviating from notional levels of gearing</t>
  </si>
  <si>
    <t>Tax impact of financing performance (at actual gearing)</t>
  </si>
  <si>
    <t>changed to calculation</t>
  </si>
  <si>
    <t>Tax impact of financing performance (at notional gearing)</t>
  </si>
  <si>
    <t>Tax impact of financing performance relating to deviating from notional levels of gearing</t>
  </si>
  <si>
    <t>Dividends Reconciliation - Regulated Business to Accounts</t>
  </si>
  <si>
    <t>Dividend paid as per Statutory Accounts</t>
  </si>
  <si>
    <t>Less dividend paid not related to Regulated business</t>
  </si>
  <si>
    <t>[Insert adjustment as necessary]</t>
  </si>
  <si>
    <t>[Insert new rows here as necessary]</t>
  </si>
  <si>
    <t>Dividend paid relating to the Regulated Business</t>
  </si>
  <si>
    <t>Shareholder loan interest (not included as Net Interest per Regulatory (RIIO-2) definition)</t>
  </si>
  <si>
    <t xml:space="preserve">Executive Directors* Remuneration </t>
  </si>
  <si>
    <t>Director 1</t>
  </si>
  <si>
    <t>Director 2</t>
  </si>
  <si>
    <t>Director 3</t>
  </si>
  <si>
    <t>Director 4</t>
  </si>
  <si>
    <t>Director 5</t>
  </si>
  <si>
    <t>Director 6</t>
  </si>
  <si>
    <t>Name of Director</t>
  </si>
  <si>
    <t>Alice Delahunty</t>
  </si>
  <si>
    <t>Chris Bennett</t>
  </si>
  <si>
    <t>Sandip Thakrar</t>
  </si>
  <si>
    <t>Carl Trowell</t>
  </si>
  <si>
    <t>Jeremy Mavor</t>
  </si>
  <si>
    <t>Matthew Braovac</t>
  </si>
  <si>
    <t>Fixed Pay</t>
  </si>
  <si>
    <t>Salary</t>
  </si>
  <si>
    <t>Bonus</t>
  </si>
  <si>
    <t>Benefits</t>
  </si>
  <si>
    <t>Other Cash Benefits</t>
  </si>
  <si>
    <t>Non-Cash Benefits (BIK)</t>
  </si>
  <si>
    <t>Pension</t>
  </si>
  <si>
    <t>Total Fixed Pay</t>
  </si>
  <si>
    <t>Allocation to Regulated Business</t>
  </si>
  <si>
    <t>Variable Pay</t>
  </si>
  <si>
    <t>Incentives</t>
  </si>
  <si>
    <t>Performance related Pay</t>
  </si>
  <si>
    <t>Total Variable Pay</t>
  </si>
  <si>
    <t>Total Pay</t>
  </si>
  <si>
    <t>Total Pay related to Regulated Business</t>
  </si>
  <si>
    <t>Shares** / Options</t>
  </si>
  <si>
    <t>Share ownership/ awards</t>
  </si>
  <si>
    <t>No. of Shares</t>
  </si>
  <si>
    <t>% Discount on shares purchased</t>
  </si>
  <si>
    <t>% of shares held compared to total authorised shares</t>
  </si>
  <si>
    <t>Value of total shares</t>
  </si>
  <si>
    <t>No.of Options held</t>
  </si>
  <si>
    <t xml:space="preserve">No. </t>
  </si>
  <si>
    <t>Exercise price</t>
  </si>
  <si>
    <t>£</t>
  </si>
  <si>
    <t>No. of options exercised</t>
  </si>
  <si>
    <t>Value of Options exercised</t>
  </si>
  <si>
    <t>Dividends paid</t>
  </si>
  <si>
    <t>Total Shares, Options and Dividends</t>
  </si>
  <si>
    <t>Total Remuneration</t>
  </si>
  <si>
    <t>Total Remuneration related to Regulated Business</t>
  </si>
  <si>
    <t>Pay Ratios - CEO's total remuneration to company's UK employees remuneration</t>
  </si>
  <si>
    <t xml:space="preserve">25th percentile </t>
  </si>
  <si>
    <t>30.00:1</t>
  </si>
  <si>
    <t xml:space="preserve">50th percentile </t>
  </si>
  <si>
    <t>23.42:1</t>
  </si>
  <si>
    <t xml:space="preserve">75th percentile </t>
  </si>
  <si>
    <t>18.29:1</t>
  </si>
  <si>
    <t>*meaning executive board directors</t>
  </si>
  <si>
    <t xml:space="preserve">** in addition to shares under Variable Pay </t>
  </si>
  <si>
    <t>Supporting Comments</t>
  </si>
  <si>
    <t>R10 - Pensions &amp; Other Activities</t>
  </si>
  <si>
    <t>Pensions</t>
  </si>
  <si>
    <t>Licensee share of total pension deficit repair payment made for defined benefit scheme</t>
  </si>
  <si>
    <t>Of which:</t>
  </si>
  <si>
    <t>Established deficit element funded via specific allowances</t>
  </si>
  <si>
    <t>Incremental deficit funded via totex</t>
  </si>
  <si>
    <t>Established deficit (EDE) allowance as per latest PCFM</t>
  </si>
  <si>
    <t>Less Pension Payment History Allowance (PPH)</t>
  </si>
  <si>
    <t>Established deficit allowance less PPH</t>
  </si>
  <si>
    <t>Enter valuation date</t>
  </si>
  <si>
    <t>Latest pension scheme valuation</t>
  </si>
  <si>
    <t>31/3/2022</t>
  </si>
  <si>
    <t>Price base</t>
  </si>
  <si>
    <t>Total Liabilities attributable to post cut-off date notional sub fund</t>
  </si>
  <si>
    <t>Total Liabilities attributable to pre cut-off date notional sub fund</t>
  </si>
  <si>
    <t>Total Assets attributable to post cut-off date notional sub fund</t>
  </si>
  <si>
    <t>Total Assets attributable to pre cut-off date notional sub fund</t>
  </si>
  <si>
    <t>Deficit in the post Cut-Off Date Notional Sub-Fund</t>
  </si>
  <si>
    <t>Deficit in the pre Cut-Off Date Notional Sub-Fund</t>
  </si>
  <si>
    <t>Licensee element of established deficit</t>
  </si>
  <si>
    <t>Licensee element of incremental deficit</t>
  </si>
  <si>
    <t>Other Activities</t>
  </si>
  <si>
    <t>Post-tax total fines and penalties (including GS payments)</t>
  </si>
  <si>
    <t>Ofgem related fines and penalties</t>
  </si>
  <si>
    <t>[Insert detail of fine or penalty]</t>
  </si>
  <si>
    <t>Total Ofgem related fines and penalties</t>
  </si>
  <si>
    <t>Any adjustment for tax</t>
  </si>
  <si>
    <t>Post-tax total fines and penalties</t>
  </si>
  <si>
    <t>Guaranteed Standard (GS) payments</t>
  </si>
  <si>
    <t>Total GS payments</t>
  </si>
  <si>
    <t>Post-tax total GS payments</t>
  </si>
  <si>
    <t>PCFM year ending</t>
  </si>
  <si>
    <t>Units</t>
  </si>
  <si>
    <t>Constant</t>
  </si>
  <si>
    <t>Inflation and interest rates input</t>
  </si>
  <si>
    <t>Price Base Year: (enter 2007 for 2006/07)</t>
  </si>
  <si>
    <t>FY ending</t>
  </si>
  <si>
    <t>Inflation  Forecasts (OBR)</t>
  </si>
  <si>
    <t>OBR publication date November 2024</t>
  </si>
  <si>
    <t>Calendar year forecast</t>
  </si>
  <si>
    <t>calendar year</t>
  </si>
  <si>
    <t>Retail Price Index (RPI) forecast</t>
  </si>
  <si>
    <t>Consumer Prices Index including housing costs (CPIH) forecast</t>
  </si>
  <si>
    <t>Consumer Prices Index (CPI) forecast</t>
  </si>
  <si>
    <t>Price control annual inflation and price indices</t>
  </si>
  <si>
    <t>Financial year average RPI</t>
  </si>
  <si>
    <t>index value</t>
  </si>
  <si>
    <t>RPI inflation</t>
  </si>
  <si>
    <t>Financial year average CPIH</t>
  </si>
  <si>
    <t>CPIH inflation</t>
  </si>
  <si>
    <t>Interest rates input (derived from historic data and forward curves as of 17th June 2026)</t>
  </si>
  <si>
    <t>% nominal</t>
  </si>
  <si>
    <t>Monthly inflation rates and indices</t>
  </si>
  <si>
    <t>Month ending</t>
  </si>
  <si>
    <t>FYE</t>
  </si>
  <si>
    <t>CPIH Outturn</t>
  </si>
  <si>
    <t>RPI Outturn</t>
  </si>
  <si>
    <t>CPI Outturn</t>
  </si>
  <si>
    <t>CPIH % forecast</t>
  </si>
  <si>
    <t>RPI % forecast</t>
  </si>
  <si>
    <t>CPI % forecast</t>
  </si>
  <si>
    <t>Net Interest Per Statutory Accounts</t>
  </si>
  <si>
    <t>Interest not qualifying for corporation tax relief</t>
  </si>
  <si>
    <t>Fair value adjustments (e.g. losses on derivatives)</t>
  </si>
  <si>
    <t>Dividends on preference shares</t>
  </si>
  <si>
    <t>Costs of early redemption on long term debt</t>
  </si>
  <si>
    <t>Swap Termination Costs paid</t>
  </si>
  <si>
    <t>Movements relating to pension fund liabilities reported within net interest</t>
  </si>
  <si>
    <t>Debt issuance expenses (inc. amortisation to discounts that had previously benefitted from a tax deduction)</t>
  </si>
  <si>
    <t>Commitment fees for undrawn liquidity backup lines</t>
  </si>
  <si>
    <t>Capitalised interest added back</t>
  </si>
  <si>
    <t>Provision unwind added back</t>
  </si>
  <si>
    <t>7. IFRS 16 Right of Use Lease Liability</t>
  </si>
  <si>
    <t>Change in discount rate on environmental provisions</t>
  </si>
  <si>
    <t>Other interest payable</t>
  </si>
  <si>
    <t>Other income on prepayments</t>
  </si>
  <si>
    <t>Forward points</t>
  </si>
  <si>
    <t>Gain on Buyaback</t>
  </si>
  <si>
    <t>Other interest income</t>
  </si>
  <si>
    <t>Add back Debt Issuance expenses</t>
  </si>
  <si>
    <t>Costs of early redemption on long term debt (excluding exceptional costs of buy backs associated with M&amp;A activity)</t>
  </si>
  <si>
    <t>Add accrual for inflation accretion on index-linked swaps (if applicable)</t>
  </si>
  <si>
    <t>Amortisation of wedge trades fixed leg</t>
  </si>
  <si>
    <t>Other interest receivable</t>
  </si>
  <si>
    <t>Other Adjustments [please specify]</t>
  </si>
  <si>
    <t>Bonds</t>
  </si>
  <si>
    <t>External Loans</t>
  </si>
  <si>
    <t>Private Placements</t>
  </si>
  <si>
    <t>Group company loans (licensee lender)</t>
  </si>
  <si>
    <t>Group company loans (licensee borrower)</t>
  </si>
  <si>
    <t>Group Loans from Finco back to back with finco bond issue</t>
  </si>
  <si>
    <t>Swaps Pay Leg</t>
  </si>
  <si>
    <t>Swaps Receive Leg</t>
  </si>
  <si>
    <t>Unamortised Issue Costs</t>
  </si>
  <si>
    <t>Fixed asset investments not readily convertible to cash</t>
  </si>
  <si>
    <t>Preference shares</t>
  </si>
  <si>
    <t>Long term loans (Not for benefit of regulated business or distribution in nature)</t>
  </si>
  <si>
    <t>Discounts (premiums) for fixed rate debt</t>
  </si>
  <si>
    <t>Difference on post-swap liability estimate</t>
  </si>
  <si>
    <t>2. [Insert adjustment as necessary]</t>
  </si>
  <si>
    <t>3. [Insert adjustment as necessary]</t>
  </si>
  <si>
    <t>4. [Insert adjustment as necessary]</t>
  </si>
  <si>
    <t>5. [Insert adjustment as necessary]</t>
  </si>
  <si>
    <t>Difference in indexation method</t>
  </si>
  <si>
    <t>11. [Insert adjustment as necessary]</t>
  </si>
  <si>
    <t>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</si>
</sst>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3" formatCode="_-* #,##0.00_-;\-* #,##0.00_-;_-* &quot;-&quot;??_-;_-@_-"/>
    <numFmt numFmtId="164" formatCode="dd/mm/yyyy;@"/>
    <numFmt numFmtId="165" formatCode="0.0%"/>
    <numFmt numFmtId="166" formatCode="_(* #,##0.00_);_(* \(#,##0.00\);_(* &quot;-&quot;??_);_(@_)"/>
    <numFmt numFmtId="167" formatCode="0.0"/>
    <numFmt numFmtId="168" formatCode="0.000"/>
    <numFmt numFmtId="169" formatCode="_(* #,##0.000_);_(* \(#,##0.000\);_(* &quot;-&quot;??_);_(@_)"/>
    <numFmt numFmtId="170" formatCode="0.00000000%"/>
    <numFmt numFmtId="171" formatCode="dd\ mmm\ yyyy"/>
    <numFmt numFmtId="172" formatCode="0.000%"/>
    <numFmt numFmtId="173" formatCode="_(* #,##0.0_);_(* \(#,##0.0\);_(* &quot;-&quot;??_);_(@_)"/>
    <numFmt numFmtId="174" formatCode="#,##0.000"/>
    <numFmt numFmtId="175" formatCode="_-* #,##0.0_-;\-* #,##0.0_-;_-* &quot;-&quot;??_-;_-@_-"/>
    <numFmt numFmtId="176" formatCode="_-* #,##0.0_-;\-* #,##0.0_-;_-* &quot;-&quot;?_-;_-@_-"/>
    <numFmt numFmtId="177" formatCode="#,##0.0_);\(#,##0.0\);\-_)"/>
    <numFmt numFmtId="178" formatCode="#,##0.0"/>
    <numFmt numFmtId="179" formatCode="#,##0.0;\-#,##0.0;\-;@"/>
    <numFmt numFmtId="180" formatCode="#,##0.00_);\(#,##0.00\);\-_)"/>
    <numFmt numFmtId="181" formatCode="0.0000%"/>
    <numFmt numFmtId="182" formatCode="[$$-409]#,##0.00"/>
    <numFmt numFmtId="183" formatCode="#,##0.00%_);\(#,##0.00%\);\-_)"/>
    <numFmt numFmtId="184" formatCode="yyyy/mm"/>
    <numFmt numFmtId="185" formatCode="0.0000"/>
  </numFmts>
  <fonts count="50">
    <font>
      <sz val="10"/>
      <color theme="1"/>
      <name val="Verdana"/>
      <family val="2"/>
    </font>
    <font>
      <sz val="11"/>
      <color theme="1"/>
      <name val="Calibri"/>
      <family val="2"/>
      <scheme val="minor"/>
    </font>
    <font>
      <sz val="10"/>
      <color theme="1"/>
      <name val="Verdana"/>
      <family val="2"/>
    </font>
    <font>
      <sz val="11"/>
      <name val="CG Omega"/>
    </font>
    <font>
      <b/>
      <sz val="16"/>
      <color theme="4" tint="-0.499984740745262"/>
      <name val="CG Omega"/>
      <family val="2"/>
    </font>
    <font>
      <sz val="10"/>
      <color theme="0"/>
      <name val="Verdana"/>
      <family val="2"/>
    </font>
    <font>
      <u/>
      <sz val="10"/>
      <color theme="10"/>
      <name val="Verdana"/>
      <family val="2"/>
    </font>
    <font>
      <u/>
      <sz val="10"/>
      <color theme="0"/>
      <name val="Verdana"/>
      <family val="2"/>
    </font>
    <font>
      <b/>
      <sz val="16"/>
      <color theme="0"/>
      <name val="CG Omega"/>
      <family val="2"/>
    </font>
    <font>
      <sz val="10"/>
      <color indexed="8"/>
      <name val="Verdana"/>
      <family val="2"/>
    </font>
    <font>
      <sz val="11"/>
      <name val="CG Omega"/>
      <family val="2"/>
    </font>
    <font>
      <sz val="10"/>
      <name val="Verdana"/>
      <family val="2"/>
    </font>
    <font>
      <i/>
      <sz val="10"/>
      <color theme="1"/>
      <name val="Verdana"/>
      <family val="2"/>
    </font>
    <font>
      <sz val="9"/>
      <color theme="1"/>
      <name val="Verdana"/>
      <family val="2"/>
    </font>
    <font>
      <sz val="10"/>
      <name val="Arial"/>
      <family val="2"/>
    </font>
    <font>
      <b/>
      <sz val="10"/>
      <color theme="1"/>
      <name val="Verdana"/>
      <family val="2"/>
    </font>
    <font>
      <b/>
      <sz val="10"/>
      <name val="Verdana"/>
      <family val="2"/>
    </font>
    <font>
      <sz val="10"/>
      <color theme="1"/>
      <name val="Gill Sans MT"/>
      <family val="2"/>
    </font>
    <font>
      <b/>
      <sz val="10"/>
      <color indexed="8"/>
      <name val="Verdana"/>
      <family val="2"/>
    </font>
    <font>
      <sz val="8"/>
      <color theme="1"/>
      <name val="Gill Sans MT"/>
      <family val="2"/>
    </font>
    <font>
      <vertAlign val="subscript"/>
      <sz val="10"/>
      <color theme="1"/>
      <name val="Verdana"/>
      <family val="2"/>
    </font>
    <font>
      <b/>
      <sz val="9"/>
      <color theme="1"/>
      <name val="Verdana"/>
      <family val="2"/>
    </font>
    <font>
      <b/>
      <sz val="10"/>
      <color theme="0"/>
      <name val="Verdana"/>
      <family val="2"/>
    </font>
    <font>
      <b/>
      <u/>
      <sz val="9"/>
      <color theme="1"/>
      <name val="Verdana"/>
      <family val="2"/>
    </font>
    <font>
      <b/>
      <sz val="16"/>
      <color indexed="8"/>
      <name val="Verdana"/>
      <family val="2"/>
    </font>
    <font>
      <sz val="16"/>
      <color indexed="8"/>
      <name val="Verdana"/>
      <family val="2"/>
    </font>
    <font>
      <b/>
      <sz val="16"/>
      <name val="CG Omega"/>
      <family val="2"/>
    </font>
    <font>
      <b/>
      <sz val="11"/>
      <name val="CG Omega"/>
      <family val="2"/>
    </font>
    <font>
      <sz val="11"/>
      <color theme="1"/>
      <name val="Aptos"/>
      <family val="2"/>
      <charset val="1"/>
    </font>
    <font>
      <sz val="10"/>
      <color rgb="FFFF0000"/>
      <name val="Verdana"/>
      <family val="2"/>
    </font>
    <font>
      <b/>
      <sz val="6"/>
      <color rgb="FF202124"/>
      <name val="Arial"/>
      <family val="2"/>
    </font>
    <font>
      <sz val="10"/>
      <color rgb="FFA20000"/>
      <name val="Verdana"/>
      <family val="2"/>
    </font>
    <font>
      <b/>
      <i/>
      <sz val="10"/>
      <color theme="1"/>
      <name val="Verdana"/>
      <family val="2"/>
    </font>
    <font>
      <b/>
      <sz val="10"/>
      <color rgb="FFA20000"/>
      <name val="Verdana"/>
      <family val="2"/>
    </font>
    <font>
      <b/>
      <sz val="10"/>
      <color rgb="FF8A0000"/>
      <name val="Verdana"/>
      <family val="2"/>
    </font>
    <font>
      <b/>
      <sz val="10"/>
      <color theme="1"/>
      <name val="Arial"/>
      <family val="2"/>
    </font>
    <font>
      <b/>
      <sz val="16"/>
      <color theme="4" tint="-0.499984740745262"/>
      <name val="CG Omega"/>
    </font>
    <font>
      <sz val="16"/>
      <color theme="0"/>
      <name val="CG Omega"/>
    </font>
    <font>
      <sz val="16"/>
      <name val="CG Omega"/>
      <family val="2"/>
    </font>
    <font>
      <b/>
      <sz val="14"/>
      <color theme="1"/>
      <name val="Verdana"/>
      <family val="2"/>
    </font>
    <font>
      <b/>
      <u/>
      <sz val="10"/>
      <color theme="1"/>
      <name val="Verdana"/>
      <family val="2"/>
    </font>
    <font>
      <b/>
      <vertAlign val="subscript"/>
      <sz val="14"/>
      <color theme="1"/>
      <name val="Verdana"/>
      <family val="2"/>
    </font>
    <font>
      <sz val="10"/>
      <name val="Gill Sans MT"/>
      <family val="2"/>
    </font>
    <font>
      <b/>
      <sz val="10"/>
      <name val="Gill Sans MT"/>
      <family val="2"/>
    </font>
    <font>
      <b/>
      <sz val="10"/>
      <color rgb="FFFF0000"/>
      <name val="Verdana"/>
      <family val="2"/>
    </font>
    <font>
      <b/>
      <sz val="9"/>
      <color theme="0" tint="-0.34998626667073579"/>
      <name val="CG Omega"/>
      <family val="2"/>
    </font>
    <font>
      <sz val="11"/>
      <color theme="1"/>
      <name val="Verdana"/>
      <family val="2"/>
    </font>
    <font>
      <b/>
      <sz val="10"/>
      <color theme="0" tint="-0.34998626667073579"/>
      <name val="Verdana"/>
      <family val="2"/>
    </font>
    <font>
      <b/>
      <sz val="16"/>
      <color theme="4" tint="-0.499984740745262"/>
      <name val="Verdana"/>
      <family val="2"/>
    </font>
    <font>
      <sz val="10"/>
      <color theme="0" tint="-4.9989318521683403E-2"/>
      <name val="Verdana"/>
      <family val="2"/>
    </font>
  </fonts>
  <fills count="32">
    <fill>
      <patternFill patternType="none"/>
    </fill>
    <fill>
      <patternFill patternType="gray125"/>
    </fill>
    <fill>
      <patternFill patternType="solid">
        <fgColor theme="5"/>
        <bgColor indexed="64"/>
      </patternFill>
    </fill>
    <fill>
      <patternFill patternType="solid">
        <fgColor indexed="27"/>
        <bgColor indexed="64"/>
      </patternFill>
    </fill>
    <fill>
      <patternFill patternType="solid">
        <fgColor indexed="26"/>
        <bgColor indexed="64"/>
      </patternFill>
    </fill>
    <fill>
      <patternFill patternType="solid">
        <fgColor indexed="42"/>
        <bgColor indexed="64"/>
      </patternFill>
    </fill>
    <fill>
      <patternFill patternType="solid">
        <fgColor indexed="44"/>
        <bgColor indexed="64"/>
      </patternFill>
    </fill>
    <fill>
      <patternFill patternType="solid">
        <fgColor indexed="47"/>
        <bgColor indexed="64"/>
      </patternFill>
    </fill>
    <fill>
      <patternFill patternType="darkUp">
        <fgColor indexed="22"/>
      </patternFill>
    </fill>
    <fill>
      <patternFill patternType="solid">
        <fgColor theme="0"/>
        <bgColor indexed="64"/>
      </patternFill>
    </fill>
    <fill>
      <patternFill patternType="solid">
        <fgColor rgb="FFFFCC99"/>
        <bgColor indexed="64"/>
      </patternFill>
    </fill>
    <fill>
      <patternFill patternType="solid">
        <fgColor rgb="FFFFFFFF"/>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rgb="FFCCFFCC"/>
        <bgColor indexed="64"/>
      </patternFill>
    </fill>
    <fill>
      <patternFill patternType="solid">
        <fgColor theme="0" tint="-0.14999847407452621"/>
        <bgColor indexed="64"/>
      </patternFill>
    </fill>
    <fill>
      <patternFill patternType="darkUp">
        <fgColor rgb="FFC0C0C0"/>
        <bgColor theme="0"/>
      </patternFill>
    </fill>
    <fill>
      <patternFill patternType="solid">
        <fgColor rgb="FFFFC000"/>
        <bgColor indexed="64"/>
      </patternFill>
    </fill>
    <fill>
      <patternFill patternType="solid">
        <fgColor rgb="FF366092"/>
        <bgColor indexed="64"/>
      </patternFill>
    </fill>
    <fill>
      <patternFill patternType="solid">
        <fgColor theme="2"/>
        <bgColor indexed="64"/>
      </patternFill>
    </fill>
    <fill>
      <patternFill patternType="solid">
        <fgColor indexed="22"/>
        <bgColor indexed="64"/>
      </patternFill>
    </fill>
    <fill>
      <patternFill patternType="solid">
        <fgColor rgb="FFCCFFFF"/>
        <bgColor indexed="64"/>
      </patternFill>
    </fill>
    <fill>
      <patternFill patternType="solid">
        <fgColor rgb="FFCCECFF"/>
        <bgColor indexed="64"/>
      </patternFill>
    </fill>
    <fill>
      <patternFill patternType="solid">
        <fgColor rgb="FF99CCFF"/>
        <bgColor indexed="64"/>
      </patternFill>
    </fill>
    <fill>
      <patternFill patternType="solid">
        <fgColor rgb="FFFFFFCC"/>
        <bgColor indexed="64"/>
      </patternFill>
    </fill>
    <fill>
      <patternFill patternType="solid">
        <fgColor rgb="FFFFFF00"/>
        <bgColor indexed="64"/>
      </patternFill>
    </fill>
    <fill>
      <patternFill patternType="solid">
        <fgColor rgb="FFD9D9D9"/>
        <bgColor indexed="64"/>
      </patternFill>
    </fill>
    <fill>
      <patternFill patternType="solid">
        <fgColor theme="8" tint="0.79998168889431442"/>
        <bgColor indexed="64"/>
      </patternFill>
    </fill>
    <fill>
      <patternFill patternType="solid">
        <fgColor rgb="FFC5E1FF"/>
        <bgColor indexed="64"/>
      </patternFill>
    </fill>
    <fill>
      <patternFill patternType="solid">
        <fgColor rgb="FFC0C0C0"/>
        <bgColor indexed="64"/>
      </patternFill>
    </fill>
    <fill>
      <patternFill patternType="solid">
        <fgColor theme="2" tint="-0.749992370372631"/>
        <bgColor indexed="64"/>
      </patternFill>
    </fill>
    <fill>
      <patternFill patternType="darkUp">
        <fgColor theme="0" tint="-0.14996795556505021"/>
        <bgColor indexed="65"/>
      </patternFill>
    </fill>
  </fills>
  <borders count="1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auto="1"/>
      </left>
      <right/>
      <top/>
      <bottom/>
      <diagonal/>
    </border>
    <border>
      <left/>
      <right style="thin">
        <color indexed="64"/>
      </right>
      <top/>
      <bottom/>
      <diagonal/>
    </border>
    <border>
      <left/>
      <right/>
      <top/>
      <bottom style="thin">
        <color auto="1"/>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indexed="64"/>
      </left>
      <right style="thin">
        <color theme="0" tint="-0.499984740745262"/>
      </right>
      <top style="thin">
        <color indexed="64"/>
      </top>
      <bottom/>
      <diagonal/>
    </border>
    <border>
      <left style="thin">
        <color theme="0" tint="-0.499984740745262"/>
      </left>
      <right style="thin">
        <color theme="0" tint="-0.499984740745262"/>
      </right>
      <top style="thin">
        <color indexed="64"/>
      </top>
      <bottom/>
      <diagonal/>
    </border>
    <border>
      <left style="thin">
        <color indexed="64"/>
      </left>
      <right/>
      <top/>
      <bottom style="thin">
        <color indexed="64"/>
      </bottom>
      <diagonal/>
    </border>
    <border>
      <left style="thin">
        <color indexed="64"/>
      </left>
      <right/>
      <top style="thin">
        <color indexed="64"/>
      </top>
      <bottom style="thin">
        <color theme="0" tint="-0.499984740745262"/>
      </bottom>
      <diagonal/>
    </border>
    <border>
      <left style="thin">
        <color indexed="64"/>
      </left>
      <right style="thin">
        <color theme="0" tint="-0.499984740745262"/>
      </right>
      <top style="thin">
        <color indexed="64"/>
      </top>
      <bottom style="thin">
        <color theme="0" tint="-0.499984740745262"/>
      </bottom>
      <diagonal/>
    </border>
    <border>
      <left style="thin">
        <color theme="0" tint="-0.499984740745262"/>
      </left>
      <right style="thin">
        <color theme="0" tint="-0.499984740745262"/>
      </right>
      <top style="thin">
        <color indexed="64"/>
      </top>
      <bottom style="thin">
        <color theme="0" tint="-0.499984740745262"/>
      </bottom>
      <diagonal/>
    </border>
    <border>
      <left style="thin">
        <color theme="0" tint="-0.499984740745262"/>
      </left>
      <right/>
      <top style="thin">
        <color indexed="64"/>
      </top>
      <bottom style="thin">
        <color theme="0" tint="-0.499984740745262"/>
      </bottom>
      <diagonal/>
    </border>
    <border>
      <left style="thin">
        <color theme="0" tint="-0.499984740745262"/>
      </left>
      <right style="thin">
        <color indexed="64"/>
      </right>
      <top style="thin">
        <color indexed="64"/>
      </top>
      <bottom style="thin">
        <color theme="0" tint="-0.499984740745262"/>
      </bottom>
      <diagonal/>
    </border>
    <border>
      <left style="thin">
        <color indexed="64"/>
      </left>
      <right/>
      <top/>
      <bottom style="thin">
        <color theme="0" tint="-0.499984740745262"/>
      </bottom>
      <diagonal/>
    </border>
    <border>
      <left style="thin">
        <color indexed="64"/>
      </left>
      <right style="thin">
        <color theme="0" tint="-0.499984740745262"/>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bottom style="thin">
        <color theme="0" tint="-0.499984740745262"/>
      </bottom>
      <diagonal/>
    </border>
    <border>
      <left style="thin">
        <color theme="0" tint="-0.499984740745262"/>
      </left>
      <right style="thin">
        <color indexed="64"/>
      </right>
      <top/>
      <bottom style="thin">
        <color theme="0" tint="-0.499984740745262"/>
      </bottom>
      <diagonal/>
    </border>
    <border>
      <left style="thin">
        <color indexed="64"/>
      </left>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thin">
        <color indexed="64"/>
      </left>
      <right/>
      <top style="thin">
        <color theme="0" tint="-0.499984740745262"/>
      </top>
      <bottom style="thin">
        <color indexed="64"/>
      </bottom>
      <diagonal/>
    </border>
    <border>
      <left style="thin">
        <color theme="0" tint="-0.499984740745262"/>
      </left>
      <right/>
      <top style="thin">
        <color theme="0" tint="-0.499984740745262"/>
      </top>
      <bottom style="thin">
        <color indexed="64"/>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style="thin">
        <color indexed="64"/>
      </right>
      <top style="thin">
        <color theme="0" tint="-0.499984740745262"/>
      </top>
      <bottom style="thin">
        <color indexed="64"/>
      </bottom>
      <diagonal/>
    </border>
    <border>
      <left style="thin">
        <color indexed="64"/>
      </left>
      <right/>
      <top style="thin">
        <color theme="0" tint="-0.499984740745262"/>
      </top>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style="thin">
        <color indexed="64"/>
      </bottom>
      <diagonal/>
    </border>
    <border>
      <left style="thin">
        <color indexed="64"/>
      </left>
      <right style="thin">
        <color indexed="64"/>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rgb="FF000000"/>
      </left>
      <right style="thin">
        <color theme="0" tint="-0.499984740745262"/>
      </right>
      <top style="medium">
        <color rgb="FF000000"/>
      </top>
      <bottom style="medium">
        <color rgb="FF000000"/>
      </bottom>
      <diagonal/>
    </border>
    <border>
      <left style="thin">
        <color theme="0" tint="-0.499984740745262"/>
      </left>
      <right/>
      <top style="medium">
        <color rgb="FF000000"/>
      </top>
      <bottom style="medium">
        <color rgb="FF000000"/>
      </bottom>
      <diagonal/>
    </border>
    <border>
      <left style="thin">
        <color theme="0" tint="-0.499984740745262"/>
      </left>
      <right style="thin">
        <color theme="0" tint="-0.499984740745262"/>
      </right>
      <top style="medium">
        <color rgb="FF000000"/>
      </top>
      <bottom style="medium">
        <color rgb="FF000000"/>
      </bottom>
      <diagonal/>
    </border>
    <border>
      <left style="thin">
        <color theme="0" tint="-0.499984740745262"/>
      </left>
      <right style="thin">
        <color indexed="64"/>
      </right>
      <top style="medium">
        <color rgb="FF000000"/>
      </top>
      <bottom style="medium">
        <color rgb="FF000000"/>
      </bottom>
      <diagonal/>
    </border>
    <border>
      <left style="medium">
        <color indexed="64"/>
      </left>
      <right style="thin">
        <color theme="0" tint="-0.499984740745262"/>
      </right>
      <top style="medium">
        <color indexed="64"/>
      </top>
      <bottom style="medium">
        <color rgb="FF000000"/>
      </bottom>
      <diagonal/>
    </border>
    <border>
      <left style="thin">
        <color rgb="FF000000"/>
      </left>
      <right style="thin">
        <color rgb="FF000000"/>
      </right>
      <top style="medium">
        <color indexed="64"/>
      </top>
      <bottom style="medium">
        <color rgb="FF000000"/>
      </bottom>
      <diagonal/>
    </border>
    <border>
      <left style="thin">
        <color theme="0" tint="-0.499984740745262"/>
      </left>
      <right style="thin">
        <color theme="0" tint="-0.499984740745262"/>
      </right>
      <top style="medium">
        <color indexed="64"/>
      </top>
      <bottom style="medium">
        <color rgb="FF000000"/>
      </bottom>
      <diagonal/>
    </border>
    <border>
      <left style="thin">
        <color theme="0" tint="-0.499984740745262"/>
      </left>
      <right style="medium">
        <color indexed="64"/>
      </right>
      <top style="medium">
        <color indexed="64"/>
      </top>
      <bottom style="medium">
        <color rgb="FF000000"/>
      </bottom>
      <diagonal/>
    </border>
    <border>
      <left style="medium">
        <color indexed="64"/>
      </left>
      <right style="thin">
        <color theme="0" tint="-0.499984740745262"/>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theme="0" tint="-0.499984740745262"/>
      </left>
      <right style="medium">
        <color indexed="64"/>
      </right>
      <top style="medium">
        <color rgb="FF000000"/>
      </top>
      <bottom style="medium">
        <color rgb="FF000000"/>
      </bottom>
      <diagonal/>
    </border>
    <border>
      <left style="medium">
        <color rgb="FF000000"/>
      </left>
      <right style="thin">
        <color theme="0" tint="-0.499984740745262"/>
      </right>
      <top style="medium">
        <color rgb="FF000000"/>
      </top>
      <bottom style="thin">
        <color theme="0" tint="-0.499984740745262"/>
      </bottom>
      <diagonal/>
    </border>
    <border>
      <left style="thin">
        <color theme="0" tint="-0.499984740745262"/>
      </left>
      <right/>
      <top style="medium">
        <color rgb="FF000000"/>
      </top>
      <bottom style="thin">
        <color theme="0" tint="-0.499984740745262"/>
      </bottom>
      <diagonal/>
    </border>
    <border>
      <left style="thin">
        <color theme="0" tint="-0.499984740745262"/>
      </left>
      <right style="thin">
        <color theme="0" tint="-0.499984740745262"/>
      </right>
      <top style="medium">
        <color rgb="FF000000"/>
      </top>
      <bottom style="thin">
        <color theme="0" tint="-0.499984740745262"/>
      </bottom>
      <diagonal/>
    </border>
    <border>
      <left style="thin">
        <color theme="0" tint="-0.499984740745262"/>
      </left>
      <right style="thin">
        <color indexed="64"/>
      </right>
      <top style="medium">
        <color rgb="FF000000"/>
      </top>
      <bottom style="thin">
        <color theme="0" tint="-0.499984740745262"/>
      </bottom>
      <diagonal/>
    </border>
    <border>
      <left style="thin">
        <color rgb="FF000000"/>
      </left>
      <right/>
      <top style="medium">
        <color rgb="FF000000"/>
      </top>
      <bottom style="thin">
        <color rgb="FF000000"/>
      </bottom>
      <diagonal/>
    </border>
    <border>
      <left style="medium">
        <color indexed="64"/>
      </left>
      <right style="thin">
        <color theme="0" tint="-0.499984740745262"/>
      </right>
      <top style="medium">
        <color rgb="FF000000"/>
      </top>
      <bottom style="thin">
        <color theme="0" tint="-0.499984740745262"/>
      </bottom>
      <diagonal/>
    </border>
    <border>
      <left style="thin">
        <color theme="0" tint="-0.499984740745262"/>
      </left>
      <right style="medium">
        <color indexed="64"/>
      </right>
      <top style="thin">
        <color theme="0" tint="-0.499984740745262"/>
      </top>
      <bottom style="thin">
        <color theme="0" tint="-0.499984740745262"/>
      </bottom>
      <diagonal/>
    </border>
    <border>
      <left style="medium">
        <color indexed="64"/>
      </left>
      <right style="thin">
        <color theme="0" tint="-0.499984740745262"/>
      </right>
      <top style="thin">
        <color indexed="64"/>
      </top>
      <bottom style="thin">
        <color theme="0" tint="-0.499984740745262"/>
      </bottom>
      <diagonal/>
    </border>
    <border>
      <left style="medium">
        <color rgb="FF000000"/>
      </left>
      <right style="thin">
        <color theme="0" tint="-0.499984740745262"/>
      </right>
      <top style="thin">
        <color theme="0" tint="-0.499984740745262"/>
      </top>
      <bottom style="thin">
        <color theme="0" tint="-0.499984740745262"/>
      </bottom>
      <diagonal/>
    </border>
    <border>
      <left style="thin">
        <color rgb="FF000000"/>
      </left>
      <right/>
      <top style="thin">
        <color rgb="FF000000"/>
      </top>
      <bottom style="thin">
        <color rgb="FF000000"/>
      </bottom>
      <diagonal/>
    </border>
    <border>
      <left style="medium">
        <color indexed="64"/>
      </left>
      <right style="thin">
        <color theme="0" tint="-0.499984740745262"/>
      </right>
      <top style="thin">
        <color theme="0" tint="-0.499984740745262"/>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rgb="FF000000"/>
      </left>
      <right style="thin">
        <color theme="0" tint="-0.499984740745262"/>
      </right>
      <top style="thin">
        <color theme="0" tint="-0.499984740745262"/>
      </top>
      <bottom style="medium">
        <color rgb="FF000000"/>
      </bottom>
      <diagonal/>
    </border>
    <border>
      <left style="thin">
        <color theme="0" tint="-0.499984740745262"/>
      </left>
      <right/>
      <top style="thin">
        <color theme="0" tint="-0.499984740745262"/>
      </top>
      <bottom style="medium">
        <color rgb="FF000000"/>
      </bottom>
      <diagonal/>
    </border>
    <border>
      <left style="thin">
        <color theme="0" tint="-0.499984740745262"/>
      </left>
      <right style="thin">
        <color theme="0" tint="-0.499984740745262"/>
      </right>
      <top style="thin">
        <color theme="0" tint="-0.499984740745262"/>
      </top>
      <bottom style="medium">
        <color rgb="FF000000"/>
      </bottom>
      <diagonal/>
    </border>
    <border>
      <left style="thin">
        <color theme="0" tint="-0.499984740745262"/>
      </left>
      <right style="thin">
        <color indexed="64"/>
      </right>
      <top style="thin">
        <color theme="0" tint="-0.499984740745262"/>
      </top>
      <bottom style="medium">
        <color rgb="FF000000"/>
      </bottom>
      <diagonal/>
    </border>
    <border>
      <left style="thin">
        <color rgb="FF000000"/>
      </left>
      <right/>
      <top style="thin">
        <color rgb="FF000000"/>
      </top>
      <bottom style="medium">
        <color rgb="FF000000"/>
      </bottom>
      <diagonal/>
    </border>
    <border>
      <left style="medium">
        <color indexed="64"/>
      </left>
      <right/>
      <top style="thin">
        <color theme="0" tint="-0.499984740745262"/>
      </top>
      <bottom style="medium">
        <color indexed="64"/>
      </bottom>
      <diagonal/>
    </border>
    <border>
      <left style="thin">
        <color theme="0" tint="-0.499984740745262"/>
      </left>
      <right/>
      <top style="thin">
        <color theme="0" tint="-0.499984740745262"/>
      </top>
      <bottom style="medium">
        <color indexed="64"/>
      </bottom>
      <diagonal/>
    </border>
    <border>
      <left style="thin">
        <color theme="0" tint="-0.499984740745262"/>
      </left>
      <right style="thin">
        <color theme="0" tint="-0.499984740745262"/>
      </right>
      <top style="thin">
        <color theme="0" tint="-0.499984740745262"/>
      </top>
      <bottom style="medium">
        <color indexed="64"/>
      </bottom>
      <diagonal/>
    </border>
    <border>
      <left style="thin">
        <color theme="0" tint="-0.499984740745262"/>
      </left>
      <right style="medium">
        <color indexed="64"/>
      </right>
      <top style="thin">
        <color theme="0" tint="-0.499984740745262"/>
      </top>
      <bottom style="medium">
        <color indexed="64"/>
      </bottom>
      <diagonal/>
    </border>
    <border>
      <left style="thin">
        <color indexed="64"/>
      </left>
      <right style="thin">
        <color theme="0" tint="-0.499984740745262"/>
      </right>
      <top style="thin">
        <color indexed="64"/>
      </top>
      <bottom style="thin">
        <color indexed="64"/>
      </bottom>
      <diagonal/>
    </border>
    <border>
      <left style="thin">
        <color theme="0" tint="-0.499984740745262"/>
      </left>
      <right style="thin">
        <color theme="0" tint="-0.499984740745262"/>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theme="0" tint="-0.499984740745262"/>
      </bottom>
      <diagonal/>
    </border>
    <border>
      <left style="thin">
        <color indexed="64"/>
      </left>
      <right style="thin">
        <color indexed="64"/>
      </right>
      <top style="thin">
        <color theme="0" tint="-0.499984740745262"/>
      </top>
      <bottom style="thin">
        <color theme="0" tint="-0.499984740745262"/>
      </bottom>
      <diagonal/>
    </border>
    <border>
      <left style="thin">
        <color indexed="64"/>
      </left>
      <right style="thin">
        <color indexed="64"/>
      </right>
      <top style="thin">
        <color theme="0" tint="-0.499984740745262"/>
      </top>
      <bottom style="thin">
        <color indexed="64"/>
      </bottom>
      <diagonal/>
    </border>
    <border>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rgb="FF000000"/>
      </right>
      <top style="thin">
        <color indexed="64"/>
      </top>
      <bottom/>
      <diagonal/>
    </border>
    <border>
      <left style="thin">
        <color rgb="FF000000"/>
      </left>
      <right style="thin">
        <color indexed="64"/>
      </right>
      <top style="thin">
        <color indexed="64"/>
      </top>
      <bottom/>
      <diagonal/>
    </border>
    <border>
      <left/>
      <right/>
      <top style="thin">
        <color theme="0" tint="-0.499984740745262"/>
      </top>
      <bottom style="thin">
        <color indexed="64"/>
      </bottom>
      <diagonal/>
    </border>
    <border>
      <left/>
      <right style="thin">
        <color indexed="64"/>
      </right>
      <top style="thin">
        <color theme="0" tint="-0.499984740745262"/>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style="thin">
        <color theme="0"/>
      </left>
      <right style="thin">
        <color indexed="64"/>
      </right>
      <top style="thin">
        <color theme="0"/>
      </top>
      <bottom style="thin">
        <color theme="0"/>
      </bottom>
      <diagonal/>
    </border>
    <border>
      <left style="thin">
        <color auto="1"/>
      </left>
      <right style="thin">
        <color auto="1"/>
      </right>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indexed="64"/>
      </bottom>
      <diagonal/>
    </border>
    <border>
      <left style="medium">
        <color indexed="64"/>
      </left>
      <right style="thin">
        <color theme="0" tint="-0.499984740745262"/>
      </right>
      <top style="medium">
        <color indexed="64"/>
      </top>
      <bottom style="medium">
        <color indexed="64"/>
      </bottom>
      <diagonal/>
    </border>
    <border>
      <left style="thin">
        <color theme="0" tint="-0.499984740745262"/>
      </left>
      <right style="thin">
        <color theme="0" tint="-0.499984740745262"/>
      </right>
      <top style="medium">
        <color indexed="64"/>
      </top>
      <bottom style="medium">
        <color indexed="64"/>
      </bottom>
      <diagonal/>
    </border>
    <border>
      <left style="thin">
        <color theme="0" tint="-0.499984740745262"/>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theme="0" tint="-0.499984740745262"/>
      </left>
      <right style="thin">
        <color indexed="64"/>
      </right>
      <top style="thin">
        <color theme="0" tint="-0.499984740745262"/>
      </top>
      <bottom/>
      <diagonal/>
    </border>
    <border>
      <left style="thin">
        <color indexed="64"/>
      </left>
      <right style="thin">
        <color theme="0" tint="-0.499984740745262"/>
      </right>
      <top style="thin">
        <color theme="0" tint="-0.499984740745262"/>
      </top>
      <bottom/>
      <diagonal/>
    </border>
    <border>
      <left/>
      <right style="thin">
        <color theme="0" tint="-0.499984740745262"/>
      </right>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right style="thin">
        <color theme="0" tint="-0.499984740745262"/>
      </right>
      <top style="thin">
        <color indexed="64"/>
      </top>
      <bottom style="thin">
        <color theme="0" tint="-0.499984740745262"/>
      </bottom>
      <diagonal/>
    </border>
    <border>
      <left style="thin">
        <color theme="0" tint="-0.499984740745262"/>
      </left>
      <right style="thin">
        <color indexed="64"/>
      </right>
      <top style="thin">
        <color indexed="64"/>
      </top>
      <bottom style="thin">
        <color indexed="64"/>
      </bottom>
      <diagonal/>
    </border>
    <border>
      <left style="thin">
        <color indexed="64"/>
      </left>
      <right style="thin">
        <color theme="0" tint="-0.499984740745262"/>
      </right>
      <top style="thin">
        <color theme="0" tint="-0.499984740745262"/>
      </top>
      <bottom style="thin">
        <color indexed="64"/>
      </bottom>
      <diagonal/>
    </border>
    <border>
      <left style="thin">
        <color indexed="64"/>
      </left>
      <right style="thin">
        <color indexed="64"/>
      </right>
      <top style="thin">
        <color theme="0" tint="-0.499984740745262"/>
      </top>
      <bottom/>
      <diagonal/>
    </border>
    <border>
      <left style="thin">
        <color indexed="64"/>
      </left>
      <right style="thin">
        <color indexed="64"/>
      </right>
      <top/>
      <bottom style="thin">
        <color auto="1"/>
      </bottom>
      <diagonal/>
    </border>
    <border>
      <left style="thin">
        <color theme="0" tint="-0.499984740745262"/>
      </left>
      <right style="thin">
        <color theme="0" tint="-0.499984740745262"/>
      </right>
      <top style="thin">
        <color theme="0" tint="-0.499984740745262"/>
      </top>
      <bottom/>
      <diagonal/>
    </border>
    <border>
      <left style="thin">
        <color indexed="64"/>
      </left>
      <right style="thin">
        <color theme="0" tint="-0.499984740745262"/>
      </right>
      <top/>
      <bottom style="thin">
        <color indexed="64"/>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bottom/>
      <diagonal/>
    </border>
    <border>
      <left style="thin">
        <color theme="0" tint="-0.499984740745262"/>
      </left>
      <right style="thin">
        <color theme="0" tint="-0.499984740745262"/>
      </right>
      <top/>
      <bottom/>
      <diagonal/>
    </border>
    <border>
      <left/>
      <right style="thin">
        <color theme="0" tint="-0.499984740745262"/>
      </right>
      <top style="thin">
        <color indexed="64"/>
      </top>
      <bottom style="thin">
        <color indexed="64"/>
      </bottom>
      <diagonal/>
    </border>
  </borders>
  <cellStyleXfs count="23">
    <xf numFmtId="0" fontId="0" fillId="0" borderId="0"/>
    <xf numFmtId="166" fontId="2" fillId="0" borderId="0" applyFont="0" applyFill="0" applyBorder="0" applyAlignment="0" applyProtection="0"/>
    <xf numFmtId="9" fontId="2" fillId="0" borderId="0" applyFont="0" applyFill="0" applyBorder="0" applyAlignment="0" applyProtection="0"/>
    <xf numFmtId="0" fontId="3" fillId="0" borderId="0"/>
    <xf numFmtId="0" fontId="6" fillId="0" borderId="0" applyNumberFormat="0" applyFill="0" applyBorder="0" applyAlignment="0" applyProtection="0"/>
    <xf numFmtId="0" fontId="3" fillId="0" borderId="0"/>
    <xf numFmtId="0" fontId="10" fillId="0" borderId="0"/>
    <xf numFmtId="0" fontId="2" fillId="0" borderId="0"/>
    <xf numFmtId="0" fontId="14" fillId="0" borderId="0"/>
    <xf numFmtId="0" fontId="1" fillId="0" borderId="0"/>
    <xf numFmtId="0" fontId="10" fillId="0" borderId="0"/>
    <xf numFmtId="166" fontId="14" fillId="0" borderId="0" applyFont="0" applyFill="0" applyBorder="0" applyAlignment="0" applyProtection="0"/>
    <xf numFmtId="177" fontId="42" fillId="28" borderId="0" applyBorder="0">
      <alignment vertical="center"/>
    </xf>
    <xf numFmtId="0" fontId="10" fillId="0" borderId="0"/>
    <xf numFmtId="0" fontId="10" fillId="0" borderId="0"/>
    <xf numFmtId="0" fontId="2" fillId="0" borderId="0"/>
    <xf numFmtId="9" fontId="10" fillId="0" borderId="0" applyFont="0" applyFill="0" applyBorder="0" applyAlignment="0" applyProtection="0"/>
    <xf numFmtId="9" fontId="1" fillId="0" borderId="0" applyFont="0" applyFill="0" applyBorder="0" applyAlignment="0" applyProtection="0"/>
    <xf numFmtId="182" fontId="2" fillId="0" borderId="0"/>
    <xf numFmtId="10" fontId="17" fillId="0" borderId="0" applyFont="0" applyFill="0" applyBorder="0" applyAlignment="0" applyProtection="0">
      <alignment vertical="center"/>
    </xf>
    <xf numFmtId="166" fontId="10" fillId="0" borderId="0" applyFont="0" applyFill="0" applyBorder="0" applyAlignment="0" applyProtection="0"/>
    <xf numFmtId="166" fontId="2" fillId="0" borderId="0" applyFont="0" applyFill="0" applyBorder="0" applyAlignment="0" applyProtection="0"/>
    <xf numFmtId="9" fontId="2" fillId="0" borderId="0" applyFont="0" applyFill="0" applyBorder="0" applyAlignment="0" applyProtection="0"/>
  </cellStyleXfs>
  <cellXfs count="937">
    <xf numFmtId="0" fontId="0" fillId="0" borderId="0" xfId="0"/>
    <xf numFmtId="0" fontId="0" fillId="0" borderId="0" xfId="0" applyAlignment="1">
      <alignment horizontal="center"/>
    </xf>
    <xf numFmtId="0" fontId="4" fillId="2" borderId="0" xfId="3" applyFont="1" applyFill="1" applyAlignment="1">
      <alignment horizontal="left"/>
    </xf>
    <xf numFmtId="0" fontId="5" fillId="2" borderId="0" xfId="0" applyFont="1" applyFill="1"/>
    <xf numFmtId="0" fontId="7" fillId="2" borderId="0" xfId="4" applyFont="1" applyFill="1" applyAlignment="1">
      <alignment wrapText="1"/>
    </xf>
    <xf numFmtId="0" fontId="5" fillId="2" borderId="0" xfId="0" applyFont="1" applyFill="1" applyAlignment="1">
      <alignment wrapText="1"/>
    </xf>
    <xf numFmtId="0" fontId="5" fillId="2" borderId="0" xfId="0" applyFont="1" applyFill="1" applyAlignment="1">
      <alignment horizontal="left" indent="1"/>
    </xf>
    <xf numFmtId="0" fontId="8" fillId="0" borderId="0" xfId="3" applyFont="1" applyAlignment="1">
      <alignment horizontal="left"/>
    </xf>
    <xf numFmtId="0" fontId="5" fillId="0" borderId="0" xfId="0" applyFont="1"/>
    <xf numFmtId="0" fontId="5" fillId="0" borderId="0" xfId="0" applyFont="1" applyAlignment="1">
      <alignment wrapText="1"/>
    </xf>
    <xf numFmtId="0" fontId="5" fillId="0" borderId="0" xfId="0" applyFont="1" applyAlignment="1">
      <alignment horizontal="left" indent="1"/>
    </xf>
    <xf numFmtId="0" fontId="9" fillId="0" borderId="0" xfId="5" applyFont="1"/>
    <xf numFmtId="0" fontId="11" fillId="0" borderId="1" xfId="6" applyFont="1" applyBorder="1" applyAlignment="1">
      <alignment horizontal="left" indent="1"/>
    </xf>
    <xf numFmtId="0" fontId="3" fillId="3" borderId="1" xfId="7" applyFont="1" applyFill="1" applyBorder="1"/>
    <xf numFmtId="0" fontId="0" fillId="0" borderId="0" xfId="0" applyAlignment="1">
      <alignment horizontal="left" indent="1"/>
    </xf>
    <xf numFmtId="0" fontId="3" fillId="0" borderId="0" xfId="7" applyFont="1" applyProtection="1">
      <protection locked="0"/>
    </xf>
    <xf numFmtId="0" fontId="11" fillId="4" borderId="1" xfId="7" applyFont="1" applyFill="1" applyBorder="1" applyAlignment="1">
      <alignment horizontal="right" vertical="center"/>
    </xf>
    <xf numFmtId="0" fontId="3" fillId="4" borderId="1" xfId="7" applyFont="1" applyFill="1" applyBorder="1"/>
    <xf numFmtId="0" fontId="3" fillId="0" borderId="0" xfId="7" applyFont="1" applyAlignment="1">
      <alignment horizontal="left" indent="1"/>
    </xf>
    <xf numFmtId="0" fontId="3" fillId="3" borderId="1" xfId="7" applyFont="1" applyFill="1" applyBorder="1" applyAlignment="1">
      <alignment horizontal="right"/>
    </xf>
    <xf numFmtId="0" fontId="3" fillId="5" borderId="1" xfId="7" applyFont="1" applyFill="1" applyBorder="1"/>
    <xf numFmtId="0" fontId="11" fillId="0" borderId="1" xfId="6" applyFont="1" applyBorder="1" applyAlignment="1">
      <alignment horizontal="left" wrapText="1" indent="1"/>
    </xf>
    <xf numFmtId="0" fontId="11" fillId="4" borderId="1" xfId="7" applyFont="1" applyFill="1" applyBorder="1" applyAlignment="1">
      <alignment vertical="center"/>
    </xf>
    <xf numFmtId="0" fontId="3" fillId="0" borderId="0" xfId="7" applyFont="1" applyAlignment="1">
      <alignment horizontal="left" vertical="center" indent="1"/>
    </xf>
    <xf numFmtId="0" fontId="3" fillId="6" borderId="1" xfId="7" applyFont="1" applyFill="1" applyBorder="1"/>
    <xf numFmtId="164" fontId="11" fillId="4" borderId="1" xfId="7" applyNumberFormat="1" applyFont="1" applyFill="1" applyBorder="1" applyAlignment="1">
      <alignment vertical="center"/>
    </xf>
    <xf numFmtId="0" fontId="3" fillId="7" borderId="1" xfId="7" applyFont="1" applyFill="1" applyBorder="1"/>
    <xf numFmtId="0" fontId="3" fillId="8" borderId="1" xfId="7" applyFont="1" applyFill="1" applyBorder="1"/>
    <xf numFmtId="0" fontId="3" fillId="0" borderId="1" xfId="7" applyFont="1" applyBorder="1"/>
    <xf numFmtId="0" fontId="11" fillId="9" borderId="0" xfId="6" applyFont="1" applyFill="1"/>
    <xf numFmtId="0" fontId="11" fillId="0" borderId="0" xfId="6" applyFont="1" applyAlignment="1">
      <alignment horizontal="left" indent="1"/>
    </xf>
    <xf numFmtId="0" fontId="12" fillId="0" borderId="0" xfId="0" applyFont="1" applyAlignment="1">
      <alignment horizontal="right" indent="1"/>
    </xf>
    <xf numFmtId="0" fontId="4" fillId="2" borderId="2" xfId="3" applyFont="1" applyFill="1" applyBorder="1" applyAlignment="1">
      <alignment horizontal="left"/>
    </xf>
    <xf numFmtId="0" fontId="5" fillId="2" borderId="3" xfId="0" applyFont="1" applyFill="1" applyBorder="1" applyAlignment="1">
      <alignment wrapText="1"/>
    </xf>
    <xf numFmtId="0" fontId="5" fillId="2" borderId="4" xfId="0" applyFont="1" applyFill="1" applyBorder="1" applyAlignment="1">
      <alignment wrapText="1"/>
    </xf>
    <xf numFmtId="0" fontId="4" fillId="2" borderId="5" xfId="3" applyFont="1" applyFill="1" applyBorder="1" applyAlignment="1">
      <alignment horizontal="left"/>
    </xf>
    <xf numFmtId="0" fontId="5" fillId="2" borderId="6" xfId="0" applyFont="1" applyFill="1" applyBorder="1" applyAlignment="1">
      <alignment wrapText="1"/>
    </xf>
    <xf numFmtId="0" fontId="5" fillId="2" borderId="7" xfId="0" applyFont="1" applyFill="1" applyBorder="1" applyAlignment="1">
      <alignment wrapText="1"/>
    </xf>
    <xf numFmtId="0" fontId="5" fillId="2" borderId="8" xfId="0" applyFont="1" applyFill="1" applyBorder="1" applyAlignment="1">
      <alignment wrapText="1"/>
    </xf>
    <xf numFmtId="10" fontId="11" fillId="5" borderId="1" xfId="2" applyNumberFormat="1" applyFont="1" applyFill="1" applyBorder="1" applyAlignment="1" applyProtection="1">
      <alignment vertical="center"/>
    </xf>
    <xf numFmtId="0" fontId="0" fillId="10" borderId="1" xfId="0" applyFill="1" applyBorder="1" applyAlignment="1">
      <alignment horizontal="center" vertical="center" wrapText="1"/>
    </xf>
    <xf numFmtId="0" fontId="0" fillId="0" borderId="1" xfId="0" applyBorder="1" applyAlignment="1">
      <alignment horizontal="left" vertical="center"/>
    </xf>
    <xf numFmtId="0" fontId="13" fillId="11" borderId="1" xfId="0" applyFont="1" applyFill="1" applyBorder="1" applyAlignment="1">
      <alignment horizontal="center" vertical="center"/>
    </xf>
    <xf numFmtId="0" fontId="0" fillId="0" borderId="1" xfId="0" applyBorder="1" applyAlignment="1">
      <alignment horizontal="center"/>
    </xf>
    <xf numFmtId="0" fontId="11" fillId="9" borderId="0" xfId="6" applyFont="1" applyFill="1" applyAlignment="1">
      <alignment horizontal="left" indent="1"/>
    </xf>
    <xf numFmtId="0" fontId="13" fillId="0" borderId="1" xfId="0" applyFont="1" applyBorder="1" applyAlignment="1">
      <alignment horizontal="center" vertical="center"/>
    </xf>
    <xf numFmtId="165" fontId="11" fillId="5" borderId="1" xfId="2" applyNumberFormat="1" applyFont="1" applyFill="1" applyBorder="1" applyAlignment="1" applyProtection="1">
      <alignment vertical="center"/>
    </xf>
    <xf numFmtId="0" fontId="11" fillId="9" borderId="9" xfId="6" applyFont="1" applyFill="1" applyBorder="1" applyAlignment="1">
      <alignment horizontal="left" indent="1"/>
    </xf>
    <xf numFmtId="1" fontId="11" fillId="5" borderId="1" xfId="1" applyNumberFormat="1" applyFont="1" applyFill="1" applyBorder="1" applyAlignment="1" applyProtection="1">
      <alignment horizontal="right" vertical="center"/>
    </xf>
    <xf numFmtId="167" fontId="11" fillId="5" borderId="1" xfId="1" applyNumberFormat="1" applyFont="1" applyFill="1" applyBorder="1" applyAlignment="1">
      <alignment horizontal="right" vertical="center"/>
    </xf>
    <xf numFmtId="0" fontId="0" fillId="0" borderId="0" xfId="0" applyAlignment="1">
      <alignment horizontal="left" vertical="center"/>
    </xf>
    <xf numFmtId="0" fontId="13" fillId="0" borderId="0" xfId="0" applyFont="1" applyAlignment="1">
      <alignment horizontal="center" vertical="center"/>
    </xf>
    <xf numFmtId="0" fontId="0" fillId="0" borderId="1" xfId="0" applyBorder="1"/>
    <xf numFmtId="9" fontId="0" fillId="0" borderId="1" xfId="2" applyFont="1" applyFill="1" applyBorder="1" applyAlignment="1">
      <alignment horizontal="center" vertical="center"/>
    </xf>
    <xf numFmtId="9" fontId="14" fillId="0" borderId="1" xfId="2" applyFont="1" applyFill="1" applyBorder="1" applyAlignment="1">
      <alignment horizontal="center" vertical="center"/>
    </xf>
    <xf numFmtId="9" fontId="0" fillId="0" borderId="1" xfId="2" applyFont="1" applyBorder="1" applyAlignment="1">
      <alignment horizontal="center" vertical="center"/>
    </xf>
    <xf numFmtId="0" fontId="15" fillId="0" borderId="0" xfId="0" applyFont="1"/>
    <xf numFmtId="0" fontId="0" fillId="0" borderId="1" xfId="0" applyBorder="1" applyAlignment="1">
      <alignment horizontal="center" vertical="center"/>
    </xf>
    <xf numFmtId="14" fontId="0" fillId="0" borderId="1" xfId="0" applyNumberFormat="1" applyBorder="1" applyAlignment="1">
      <alignment horizontal="center" vertical="center"/>
    </xf>
    <xf numFmtId="14" fontId="11" fillId="9" borderId="1" xfId="6" applyNumberFormat="1" applyFont="1" applyFill="1" applyBorder="1" applyAlignment="1">
      <alignment horizontal="center" vertical="center"/>
    </xf>
    <xf numFmtId="0" fontId="15" fillId="12" borderId="1" xfId="0" applyFont="1" applyFill="1" applyBorder="1" applyAlignment="1">
      <alignment horizontal="center" vertical="center"/>
    </xf>
    <xf numFmtId="0" fontId="16" fillId="12" borderId="1" xfId="6" applyFont="1" applyFill="1" applyBorder="1" applyAlignment="1">
      <alignment horizontal="center" vertical="center"/>
    </xf>
    <xf numFmtId="0" fontId="0" fillId="0" borderId="1" xfId="0" applyBorder="1" applyAlignment="1">
      <alignment wrapText="1"/>
    </xf>
    <xf numFmtId="167" fontId="0" fillId="0" borderId="1" xfId="0" applyNumberFormat="1" applyBorder="1" applyAlignment="1">
      <alignment horizontal="center" vertical="center"/>
    </xf>
    <xf numFmtId="167" fontId="11" fillId="0" borderId="1" xfId="6" applyNumberFormat="1" applyFont="1" applyBorder="1" applyAlignment="1">
      <alignment horizontal="center" vertical="center"/>
    </xf>
    <xf numFmtId="167" fontId="11" fillId="13" borderId="1" xfId="6" applyNumberFormat="1" applyFont="1" applyFill="1" applyBorder="1" applyAlignment="1">
      <alignment horizontal="center" vertical="center"/>
    </xf>
    <xf numFmtId="167" fontId="0" fillId="14" borderId="10" xfId="0" applyNumberFormat="1" applyFill="1" applyBorder="1" applyAlignment="1">
      <alignment horizontal="right" indent="1"/>
    </xf>
    <xf numFmtId="0" fontId="0" fillId="0" borderId="11" xfId="0" applyBorder="1"/>
    <xf numFmtId="167" fontId="0" fillId="0" borderId="11" xfId="0" applyNumberFormat="1" applyBorder="1" applyAlignment="1">
      <alignment horizontal="center" vertical="center"/>
    </xf>
    <xf numFmtId="167" fontId="0" fillId="13" borderId="11" xfId="0" applyNumberFormat="1" applyFill="1" applyBorder="1" applyAlignment="1">
      <alignment horizontal="center" vertical="center"/>
    </xf>
    <xf numFmtId="0" fontId="11" fillId="9" borderId="0" xfId="6" applyFont="1" applyFill="1" applyAlignment="1">
      <alignment horizontal="center"/>
    </xf>
    <xf numFmtId="0" fontId="0" fillId="11" borderId="11" xfId="0" applyFill="1" applyBorder="1"/>
    <xf numFmtId="0" fontId="17" fillId="0" borderId="0" xfId="0" applyFont="1"/>
    <xf numFmtId="0" fontId="0" fillId="11" borderId="0" xfId="0" applyFill="1"/>
    <xf numFmtId="9" fontId="0" fillId="0" borderId="0" xfId="2" applyFont="1" applyFill="1" applyBorder="1" applyAlignment="1">
      <alignment horizontal="center" vertical="center"/>
    </xf>
    <xf numFmtId="0" fontId="18" fillId="0" borderId="0" xfId="5" applyFont="1"/>
    <xf numFmtId="0" fontId="15" fillId="12" borderId="12" xfId="0" applyFont="1" applyFill="1" applyBorder="1" applyAlignment="1">
      <alignment horizontal="center" vertical="center"/>
    </xf>
    <xf numFmtId="0" fontId="16" fillId="12" borderId="12" xfId="6" applyFont="1" applyFill="1" applyBorder="1" applyAlignment="1">
      <alignment horizontal="center" vertical="center"/>
    </xf>
    <xf numFmtId="167" fontId="11" fillId="0" borderId="9" xfId="6" applyNumberFormat="1" applyFont="1" applyBorder="1" applyAlignment="1">
      <alignment horizontal="center" vertical="center"/>
    </xf>
    <xf numFmtId="167" fontId="0" fillId="0" borderId="1" xfId="0" applyNumberFormat="1" applyBorder="1" applyAlignment="1">
      <alignment horizontal="right" indent="1"/>
    </xf>
    <xf numFmtId="167" fontId="0" fillId="0" borderId="9" xfId="0" applyNumberFormat="1" applyBorder="1" applyAlignment="1">
      <alignment horizontal="right" indent="1"/>
    </xf>
    <xf numFmtId="167" fontId="0" fillId="14" borderId="1" xfId="0" applyNumberFormat="1" applyFill="1" applyBorder="1" applyAlignment="1">
      <alignment horizontal="right" indent="1"/>
    </xf>
    <xf numFmtId="0" fontId="0" fillId="0" borderId="0" xfId="0" applyAlignment="1">
      <alignment vertical="center"/>
    </xf>
    <xf numFmtId="0" fontId="0" fillId="0" borderId="0" xfId="0" applyAlignment="1" applyProtection="1">
      <alignment horizontal="left" vertical="top"/>
      <protection locked="0"/>
    </xf>
    <xf numFmtId="1" fontId="15" fillId="12" borderId="13" xfId="0" applyNumberFormat="1" applyFont="1" applyFill="1" applyBorder="1" applyAlignment="1">
      <alignment horizontal="center" vertical="center"/>
    </xf>
    <xf numFmtId="1" fontId="15" fillId="12" borderId="14" xfId="0" applyNumberFormat="1" applyFont="1" applyFill="1" applyBorder="1" applyAlignment="1">
      <alignment horizontal="center" vertical="center"/>
    </xf>
    <xf numFmtId="168" fontId="11" fillId="0" borderId="0" xfId="6" applyNumberFormat="1" applyFont="1" applyAlignment="1">
      <alignment horizontal="center" vertical="center"/>
    </xf>
    <xf numFmtId="0" fontId="11" fillId="0" borderId="1" xfId="6" applyFont="1" applyBorder="1" applyAlignment="1">
      <alignment horizontal="left" vertical="center" wrapText="1" indent="1"/>
    </xf>
    <xf numFmtId="169" fontId="3" fillId="3" borderId="1" xfId="1" applyNumberFormat="1" applyFont="1" applyFill="1" applyBorder="1" applyAlignment="1">
      <alignment horizontal="left" vertical="center"/>
    </xf>
    <xf numFmtId="0" fontId="11" fillId="0" borderId="15" xfId="6" applyFont="1" applyBorder="1" applyAlignment="1">
      <alignment horizontal="left" vertical="center" wrapText="1" indent="1"/>
    </xf>
    <xf numFmtId="0" fontId="0" fillId="0" borderId="0" xfId="0" applyAlignment="1">
      <alignment horizontal="left" vertical="top" wrapText="1"/>
    </xf>
    <xf numFmtId="0" fontId="0" fillId="0" borderId="0" xfId="0" applyAlignment="1">
      <alignment horizontal="center" wrapText="1"/>
    </xf>
    <xf numFmtId="0" fontId="0" fillId="0" borderId="0" xfId="0" applyAlignment="1">
      <alignment wrapText="1"/>
    </xf>
    <xf numFmtId="0" fontId="11" fillId="0" borderId="0" xfId="6" applyFont="1" applyAlignment="1">
      <alignment horizontal="left" vertical="center" wrapText="1" indent="1"/>
    </xf>
    <xf numFmtId="0" fontId="0" fillId="15" borderId="0" xfId="0" applyFill="1" applyAlignment="1">
      <alignment horizontal="left" indent="1"/>
    </xf>
    <xf numFmtId="0" fontId="0" fillId="15" borderId="0" xfId="0" applyFill="1"/>
    <xf numFmtId="0" fontId="13" fillId="15" borderId="0" xfId="0" applyFont="1" applyFill="1" applyAlignment="1">
      <alignment horizontal="center"/>
    </xf>
    <xf numFmtId="0" fontId="0" fillId="15" borderId="0" xfId="0" applyFill="1" applyAlignment="1">
      <alignment horizontal="left"/>
    </xf>
    <xf numFmtId="0" fontId="0" fillId="15" borderId="0" xfId="0" applyFill="1" applyAlignment="1">
      <alignment horizontal="center"/>
    </xf>
    <xf numFmtId="3" fontId="16" fillId="0" borderId="0" xfId="8" applyNumberFormat="1" applyFont="1" applyAlignment="1">
      <alignment horizontal="left" indent="1"/>
    </xf>
    <xf numFmtId="0" fontId="11" fillId="0" borderId="0" xfId="6" applyFont="1" applyAlignment="1">
      <alignment horizontal="center"/>
    </xf>
    <xf numFmtId="10" fontId="0" fillId="0" borderId="16" xfId="0" applyNumberFormat="1" applyBorder="1"/>
    <xf numFmtId="167" fontId="0" fillId="16" borderId="17" xfId="0" applyNumberFormat="1" applyFill="1" applyBorder="1" applyAlignment="1">
      <alignment horizontal="right" indent="1"/>
    </xf>
    <xf numFmtId="167" fontId="0" fillId="16" borderId="18" xfId="0" applyNumberFormat="1" applyFill="1" applyBorder="1" applyAlignment="1">
      <alignment horizontal="right" indent="1"/>
    </xf>
    <xf numFmtId="10" fontId="0" fillId="0" borderId="19" xfId="0" applyNumberFormat="1" applyBorder="1"/>
    <xf numFmtId="10" fontId="0" fillId="0" borderId="20" xfId="0" applyNumberFormat="1" applyBorder="1"/>
    <xf numFmtId="10" fontId="0" fillId="0" borderId="21" xfId="0" applyNumberFormat="1" applyBorder="1"/>
    <xf numFmtId="167" fontId="0" fillId="16" borderId="22" xfId="0" applyNumberFormat="1" applyFill="1" applyBorder="1" applyAlignment="1">
      <alignment horizontal="right" indent="1"/>
    </xf>
    <xf numFmtId="167" fontId="0" fillId="16" borderId="23" xfId="0" applyNumberFormat="1" applyFill="1" applyBorder="1" applyAlignment="1">
      <alignment horizontal="right" indent="1"/>
    </xf>
    <xf numFmtId="10" fontId="0" fillId="0" borderId="24" xfId="0" applyNumberFormat="1" applyBorder="1"/>
    <xf numFmtId="10" fontId="0" fillId="0" borderId="25" xfId="0" applyNumberFormat="1" applyBorder="1"/>
    <xf numFmtId="0" fontId="11" fillId="0" borderId="0" xfId="0" applyFont="1"/>
    <xf numFmtId="10" fontId="0" fillId="0" borderId="26" xfId="0" applyNumberFormat="1" applyBorder="1"/>
    <xf numFmtId="167" fontId="0" fillId="16" borderId="27" xfId="0" applyNumberFormat="1" applyFill="1" applyBorder="1" applyAlignment="1">
      <alignment horizontal="right" indent="1"/>
    </xf>
    <xf numFmtId="167" fontId="0" fillId="16" borderId="10" xfId="0" applyNumberFormat="1" applyFill="1" applyBorder="1" applyAlignment="1">
      <alignment horizontal="right" indent="1"/>
    </xf>
    <xf numFmtId="10" fontId="0" fillId="0" borderId="28" xfId="0" applyNumberFormat="1" applyBorder="1"/>
    <xf numFmtId="10" fontId="0" fillId="0" borderId="29" xfId="0" applyNumberFormat="1" applyBorder="1"/>
    <xf numFmtId="167" fontId="0" fillId="16" borderId="29" xfId="0" applyNumberFormat="1" applyFill="1" applyBorder="1" applyAlignment="1">
      <alignment horizontal="right" indent="1"/>
    </xf>
    <xf numFmtId="170" fontId="11" fillId="0" borderId="0" xfId="0" applyNumberFormat="1" applyFont="1"/>
    <xf numFmtId="170" fontId="0" fillId="0" borderId="0" xfId="0" applyNumberFormat="1"/>
    <xf numFmtId="10" fontId="0" fillId="0" borderId="30" xfId="0" applyNumberFormat="1" applyBorder="1"/>
    <xf numFmtId="10" fontId="0" fillId="0" borderId="31" xfId="0" applyNumberFormat="1" applyBorder="1"/>
    <xf numFmtId="167" fontId="0" fillId="16" borderId="32" xfId="0" applyNumberFormat="1" applyFill="1" applyBorder="1" applyAlignment="1">
      <alignment horizontal="right" indent="1"/>
    </xf>
    <xf numFmtId="167" fontId="0" fillId="16" borderId="33" xfId="0" applyNumberFormat="1" applyFill="1" applyBorder="1" applyAlignment="1">
      <alignment horizontal="right" indent="1"/>
    </xf>
    <xf numFmtId="10" fontId="0" fillId="0" borderId="0" xfId="0" applyNumberFormat="1"/>
    <xf numFmtId="10" fontId="0" fillId="0" borderId="34" xfId="0" applyNumberFormat="1" applyBorder="1"/>
    <xf numFmtId="10" fontId="0" fillId="0" borderId="35" xfId="0" applyNumberFormat="1" applyBorder="1"/>
    <xf numFmtId="10" fontId="0" fillId="0" borderId="1" xfId="0" applyNumberFormat="1" applyBorder="1"/>
    <xf numFmtId="167" fontId="0" fillId="16" borderId="36" xfId="0" applyNumberFormat="1" applyFill="1" applyBorder="1" applyAlignment="1">
      <alignment horizontal="right" indent="1"/>
    </xf>
    <xf numFmtId="167" fontId="0" fillId="0" borderId="7" xfId="0" applyNumberFormat="1" applyBorder="1" applyAlignment="1">
      <alignment horizontal="right" indent="1"/>
    </xf>
    <xf numFmtId="0" fontId="0" fillId="0" borderId="0" xfId="0" applyAlignment="1">
      <alignment horizontal="center" vertical="top" wrapText="1"/>
    </xf>
    <xf numFmtId="0" fontId="0" fillId="0" borderId="37" xfId="0" applyBorder="1" applyAlignment="1">
      <alignment horizontal="center" vertical="center" wrapText="1"/>
    </xf>
    <xf numFmtId="0" fontId="11" fillId="0" borderId="38" xfId="6" applyFont="1" applyBorder="1" applyAlignment="1">
      <alignment horizontal="center" vertical="center" wrapText="1"/>
    </xf>
    <xf numFmtId="1" fontId="15" fillId="0" borderId="39" xfId="0" applyNumberFormat="1" applyFont="1" applyBorder="1" applyAlignment="1">
      <alignment horizontal="center" vertical="center"/>
    </xf>
    <xf numFmtId="1" fontId="15" fillId="0" borderId="40" xfId="0" applyNumberFormat="1" applyFont="1" applyBorder="1" applyAlignment="1">
      <alignment horizontal="center" vertical="center"/>
    </xf>
    <xf numFmtId="1" fontId="15" fillId="0" borderId="41" xfId="0" applyNumberFormat="1" applyFont="1" applyBorder="1" applyAlignment="1">
      <alignment horizontal="center" vertical="center"/>
    </xf>
    <xf numFmtId="1" fontId="15" fillId="0" borderId="42" xfId="0" applyNumberFormat="1" applyFont="1" applyBorder="1" applyAlignment="1">
      <alignment horizontal="center" vertical="center"/>
    </xf>
    <xf numFmtId="1" fontId="15" fillId="0" borderId="43" xfId="0" applyNumberFormat="1" applyFont="1" applyBorder="1" applyAlignment="1">
      <alignment horizontal="center" vertical="center"/>
    </xf>
    <xf numFmtId="0" fontId="12" fillId="0" borderId="0" xfId="0" applyFont="1" applyAlignment="1">
      <alignment horizontal="center"/>
    </xf>
    <xf numFmtId="0" fontId="11" fillId="0" borderId="44" xfId="6" applyFont="1" applyBorder="1" applyAlignment="1">
      <alignment horizontal="left" indent="1"/>
    </xf>
    <xf numFmtId="10" fontId="0" fillId="0" borderId="45" xfId="0" applyNumberFormat="1" applyBorder="1"/>
    <xf numFmtId="0" fontId="0" fillId="0" borderId="46" xfId="0" applyBorder="1"/>
    <xf numFmtId="0" fontId="0" fillId="0" borderId="47" xfId="0" applyBorder="1"/>
    <xf numFmtId="0" fontId="0" fillId="0" borderId="45" xfId="0" applyBorder="1"/>
    <xf numFmtId="1" fontId="15" fillId="15" borderId="48" xfId="0" applyNumberFormat="1" applyFont="1" applyFill="1" applyBorder="1" applyAlignment="1">
      <alignment horizontal="center" vertical="center"/>
    </xf>
    <xf numFmtId="1" fontId="15" fillId="15" borderId="49" xfId="0" applyNumberFormat="1" applyFont="1" applyFill="1" applyBorder="1" applyAlignment="1">
      <alignment horizontal="center" vertical="center"/>
    </xf>
    <xf numFmtId="1" fontId="15" fillId="15" borderId="50" xfId="0" applyNumberFormat="1" applyFont="1" applyFill="1" applyBorder="1" applyAlignment="1">
      <alignment horizontal="center" vertical="center"/>
    </xf>
    <xf numFmtId="1" fontId="15" fillId="15" borderId="51" xfId="0" applyNumberFormat="1" applyFont="1" applyFill="1" applyBorder="1" applyAlignment="1">
      <alignment horizontal="center" vertical="center"/>
    </xf>
    <xf numFmtId="1" fontId="15" fillId="15" borderId="52" xfId="0" applyNumberFormat="1" applyFont="1" applyFill="1" applyBorder="1" applyAlignment="1">
      <alignment horizontal="center" vertical="center"/>
    </xf>
    <xf numFmtId="1" fontId="15" fillId="15" borderId="53" xfId="0" applyNumberFormat="1" applyFont="1" applyFill="1" applyBorder="1" applyAlignment="1">
      <alignment horizontal="center" vertical="center"/>
    </xf>
    <xf numFmtId="1" fontId="15" fillId="15" borderId="46" xfId="0" applyNumberFormat="1" applyFont="1" applyFill="1" applyBorder="1" applyAlignment="1">
      <alignment horizontal="center" vertical="center"/>
    </xf>
    <xf numFmtId="1" fontId="15" fillId="15" borderId="54" xfId="0" applyNumberFormat="1" applyFont="1" applyFill="1" applyBorder="1" applyAlignment="1">
      <alignment horizontal="center" vertical="center"/>
    </xf>
    <xf numFmtId="3" fontId="11" fillId="0" borderId="55" xfId="8" applyNumberFormat="1" applyFont="1" applyBorder="1" applyAlignment="1">
      <alignment horizontal="left" indent="1"/>
    </xf>
    <xf numFmtId="10" fontId="0" fillId="0" borderId="56" xfId="0" applyNumberFormat="1" applyBorder="1"/>
    <xf numFmtId="0" fontId="0" fillId="0" borderId="57" xfId="0" applyBorder="1" applyAlignment="1">
      <alignment horizontal="center"/>
    </xf>
    <xf numFmtId="0" fontId="0" fillId="14" borderId="58" xfId="0" applyFill="1" applyBorder="1" applyAlignment="1">
      <alignment horizontal="center"/>
    </xf>
    <xf numFmtId="0" fontId="0" fillId="0" borderId="59" xfId="0" applyBorder="1" applyAlignment="1">
      <alignment horizontal="center" vertical="center"/>
    </xf>
    <xf numFmtId="167" fontId="0" fillId="16" borderId="60" xfId="0" applyNumberFormat="1" applyFill="1" applyBorder="1" applyAlignment="1">
      <alignment horizontal="right" indent="1"/>
    </xf>
    <xf numFmtId="167" fontId="0" fillId="16" borderId="57" xfId="0" applyNumberFormat="1" applyFill="1" applyBorder="1" applyAlignment="1">
      <alignment horizontal="right" indent="1"/>
    </xf>
    <xf numFmtId="10" fontId="0" fillId="14" borderId="56" xfId="0" applyNumberFormat="1" applyFill="1" applyBorder="1"/>
    <xf numFmtId="10" fontId="0" fillId="14" borderId="28" xfId="0" applyNumberFormat="1" applyFill="1" applyBorder="1"/>
    <xf numFmtId="10" fontId="0" fillId="14" borderId="61" xfId="0" applyNumberFormat="1" applyFill="1" applyBorder="1"/>
    <xf numFmtId="167" fontId="0" fillId="16" borderId="62" xfId="0" applyNumberFormat="1" applyFill="1" applyBorder="1" applyAlignment="1">
      <alignment horizontal="right" indent="1"/>
    </xf>
    <xf numFmtId="10" fontId="0" fillId="14" borderId="19" xfId="0" applyNumberFormat="1" applyFill="1" applyBorder="1"/>
    <xf numFmtId="3" fontId="11" fillId="0" borderId="63" xfId="8" applyNumberFormat="1" applyFont="1" applyBorder="1" applyAlignment="1">
      <alignment horizontal="left" indent="1"/>
    </xf>
    <xf numFmtId="0" fontId="0" fillId="0" borderId="10" xfId="0" applyBorder="1" applyAlignment="1">
      <alignment horizontal="center"/>
    </xf>
    <xf numFmtId="0" fontId="0" fillId="14" borderId="29" xfId="0" applyFill="1" applyBorder="1" applyAlignment="1">
      <alignment horizontal="center"/>
    </xf>
    <xf numFmtId="0" fontId="0" fillId="0" borderId="64" xfId="0" applyBorder="1" applyAlignment="1">
      <alignment horizontal="center" vertical="center"/>
    </xf>
    <xf numFmtId="167" fontId="0" fillId="16" borderId="65" xfId="0" applyNumberFormat="1" applyFill="1" applyBorder="1" applyAlignment="1">
      <alignment horizontal="right" indent="1"/>
    </xf>
    <xf numFmtId="10" fontId="0" fillId="14" borderId="66" xfId="0" applyNumberFormat="1" applyFill="1" applyBorder="1"/>
    <xf numFmtId="167" fontId="0" fillId="16" borderId="61" xfId="0" applyNumberFormat="1" applyFill="1" applyBorder="1" applyAlignment="1">
      <alignment horizontal="right" indent="1"/>
    </xf>
    <xf numFmtId="3" fontId="11" fillId="0" borderId="67" xfId="8" applyNumberFormat="1" applyFont="1" applyBorder="1" applyAlignment="1">
      <alignment horizontal="left" indent="1"/>
    </xf>
    <xf numFmtId="10" fontId="0" fillId="0" borderId="68" xfId="0" applyNumberFormat="1" applyBorder="1"/>
    <xf numFmtId="0" fontId="0" fillId="0" borderId="69" xfId="0" applyBorder="1" applyAlignment="1">
      <alignment horizontal="center"/>
    </xf>
    <xf numFmtId="0" fontId="0" fillId="14" borderId="70" xfId="0" applyFill="1" applyBorder="1" applyAlignment="1">
      <alignment horizontal="center"/>
    </xf>
    <xf numFmtId="0" fontId="0" fillId="0" borderId="71" xfId="0" applyBorder="1" applyAlignment="1">
      <alignment horizontal="center" vertical="center"/>
    </xf>
    <xf numFmtId="10" fontId="0" fillId="14" borderId="72" xfId="0" applyNumberFormat="1" applyFill="1" applyBorder="1"/>
    <xf numFmtId="10" fontId="0" fillId="14" borderId="73" xfId="0" applyNumberFormat="1" applyFill="1" applyBorder="1"/>
    <xf numFmtId="167" fontId="0" fillId="16" borderId="74" xfId="0" applyNumberFormat="1" applyFill="1" applyBorder="1" applyAlignment="1">
      <alignment horizontal="right" indent="1"/>
    </xf>
    <xf numFmtId="167" fontId="0" fillId="16" borderId="75" xfId="0" applyNumberFormat="1" applyFill="1" applyBorder="1" applyAlignment="1">
      <alignment horizontal="right" indent="1"/>
    </xf>
    <xf numFmtId="171" fontId="19" fillId="0" borderId="0" xfId="0" applyNumberFormat="1" applyFont="1" applyAlignment="1">
      <alignment vertical="center"/>
    </xf>
    <xf numFmtId="0" fontId="0" fillId="0" borderId="0" xfId="0" applyAlignment="1">
      <alignment horizontal="left" wrapText="1" indent="1"/>
    </xf>
    <xf numFmtId="1" fontId="15" fillId="12" borderId="76" xfId="0" applyNumberFormat="1" applyFont="1" applyFill="1" applyBorder="1" applyAlignment="1">
      <alignment horizontal="center" vertical="center"/>
    </xf>
    <xf numFmtId="1" fontId="15" fillId="12" borderId="77" xfId="0" applyNumberFormat="1" applyFont="1" applyFill="1" applyBorder="1" applyAlignment="1">
      <alignment horizontal="center" vertical="center"/>
    </xf>
    <xf numFmtId="3" fontId="11" fillId="0" borderId="26" xfId="8" applyNumberFormat="1" applyFont="1" applyBorder="1" applyAlignment="1">
      <alignment horizontal="left" indent="1"/>
    </xf>
    <xf numFmtId="169" fontId="0" fillId="0" borderId="10" xfId="0" applyNumberFormat="1" applyBorder="1" applyAlignment="1">
      <alignment horizontal="right" indent="1"/>
    </xf>
    <xf numFmtId="0" fontId="13" fillId="0" borderId="0" xfId="0" applyFont="1"/>
    <xf numFmtId="169" fontId="0" fillId="0" borderId="10" xfId="1" applyNumberFormat="1" applyFont="1" applyBorder="1" applyAlignment="1">
      <alignment horizontal="right"/>
    </xf>
    <xf numFmtId="169" fontId="0" fillId="0" borderId="10" xfId="1" applyNumberFormat="1" applyFont="1" applyBorder="1" applyAlignment="1">
      <alignment horizontal="right" indent="3"/>
    </xf>
    <xf numFmtId="3" fontId="11" fillId="0" borderId="30" xfId="8" applyNumberFormat="1" applyFont="1" applyBorder="1" applyAlignment="1">
      <alignment horizontal="left" indent="1"/>
    </xf>
    <xf numFmtId="169" fontId="0" fillId="0" borderId="32" xfId="1" applyNumberFormat="1" applyFont="1" applyBorder="1" applyAlignment="1">
      <alignment horizontal="right"/>
    </xf>
    <xf numFmtId="1" fontId="15" fillId="0" borderId="9" xfId="0" applyNumberFormat="1" applyFont="1" applyBorder="1" applyAlignment="1">
      <alignment horizontal="left" indent="1"/>
    </xf>
    <xf numFmtId="0" fontId="0" fillId="0" borderId="78" xfId="0" applyBorder="1"/>
    <xf numFmtId="0" fontId="0" fillId="0" borderId="79" xfId="0" applyBorder="1"/>
    <xf numFmtId="1" fontId="0" fillId="0" borderId="0" xfId="0" applyNumberFormat="1" applyAlignment="1">
      <alignment horizontal="center"/>
    </xf>
    <xf numFmtId="0" fontId="21" fillId="0" borderId="0" xfId="0" applyFont="1" applyAlignment="1">
      <alignment horizontal="left" indent="1"/>
    </xf>
    <xf numFmtId="0" fontId="13" fillId="0" borderId="0" xfId="0" applyFont="1" applyAlignment="1">
      <alignment wrapText="1"/>
    </xf>
    <xf numFmtId="0" fontId="13" fillId="0" borderId="0" xfId="0" applyFont="1" applyAlignment="1">
      <alignment horizontal="left" indent="1"/>
    </xf>
    <xf numFmtId="0" fontId="0" fillId="0" borderId="0" xfId="0" applyAlignment="1">
      <alignment horizontal="right"/>
    </xf>
    <xf numFmtId="0" fontId="0" fillId="0" borderId="1" xfId="0" applyBorder="1" applyAlignment="1">
      <alignment horizontal="center" wrapText="1"/>
    </xf>
    <xf numFmtId="0" fontId="0" fillId="14" borderId="2" xfId="0" applyFill="1" applyBorder="1" applyAlignment="1">
      <alignment horizontal="center" wrapText="1"/>
    </xf>
    <xf numFmtId="0" fontId="0" fillId="14" borderId="3" xfId="0" applyFill="1" applyBorder="1"/>
    <xf numFmtId="0" fontId="0" fillId="14" borderId="4" xfId="0" applyFill="1" applyBorder="1"/>
    <xf numFmtId="0" fontId="0" fillId="14" borderId="80" xfId="0" applyFill="1" applyBorder="1" applyAlignment="1">
      <alignment horizontal="left" vertical="center" wrapText="1" indent="1"/>
    </xf>
    <xf numFmtId="0" fontId="0" fillId="14" borderId="5" xfId="0" applyFill="1" applyBorder="1" applyAlignment="1">
      <alignment horizontal="center" wrapText="1"/>
    </xf>
    <xf numFmtId="0" fontId="0" fillId="14" borderId="0" xfId="0" applyFill="1"/>
    <xf numFmtId="0" fontId="0" fillId="14" borderId="6" xfId="0" applyFill="1" applyBorder="1"/>
    <xf numFmtId="3" fontId="0" fillId="14" borderId="6" xfId="0" applyNumberFormat="1" applyFill="1" applyBorder="1"/>
    <xf numFmtId="0" fontId="0" fillId="14" borderId="15" xfId="0" applyFill="1" applyBorder="1" applyAlignment="1">
      <alignment horizontal="center" wrapText="1"/>
    </xf>
    <xf numFmtId="0" fontId="0" fillId="14" borderId="7" xfId="0" applyFill="1" applyBorder="1"/>
    <xf numFmtId="3" fontId="0" fillId="14" borderId="8" xfId="0" applyNumberFormat="1" applyFill="1" applyBorder="1"/>
    <xf numFmtId="3" fontId="0" fillId="0" borderId="0" xfId="0" applyNumberFormat="1"/>
    <xf numFmtId="0" fontId="0" fillId="0" borderId="9" xfId="0" applyBorder="1" applyAlignment="1">
      <alignment horizontal="center" vertical="center" wrapText="1"/>
    </xf>
    <xf numFmtId="0" fontId="0" fillId="0" borderId="1" xfId="0" applyBorder="1" applyAlignment="1">
      <alignment horizontal="center" vertical="center" wrapText="1"/>
    </xf>
    <xf numFmtId="0" fontId="0" fillId="0" borderId="16" xfId="0" applyBorder="1" applyAlignment="1">
      <alignment horizontal="left" vertical="center" wrapText="1"/>
    </xf>
    <xf numFmtId="0" fontId="0" fillId="0" borderId="80" xfId="0" applyBorder="1" applyAlignment="1">
      <alignment horizontal="left" vertical="center" wrapText="1"/>
    </xf>
    <xf numFmtId="0" fontId="0" fillId="0" borderId="26" xfId="0" applyBorder="1" applyAlignment="1">
      <alignment horizontal="left" vertical="center" wrapText="1"/>
    </xf>
    <xf numFmtId="0" fontId="0" fillId="0" borderId="81" xfId="0" applyBorder="1" applyAlignment="1">
      <alignment horizontal="left" vertical="center" wrapText="1"/>
    </xf>
    <xf numFmtId="0" fontId="0" fillId="0" borderId="30" xfId="0" applyBorder="1" applyAlignment="1">
      <alignment horizontal="left" vertical="center" wrapText="1"/>
    </xf>
    <xf numFmtId="0" fontId="0" fillId="0" borderId="82" xfId="0" applyBorder="1" applyAlignment="1">
      <alignment horizontal="left" vertical="center" wrapText="1"/>
    </xf>
    <xf numFmtId="3" fontId="0" fillId="0" borderId="9"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wrapText="1"/>
    </xf>
    <xf numFmtId="3" fontId="0" fillId="0" borderId="12" xfId="0" applyNumberFormat="1" applyBorder="1" applyAlignment="1">
      <alignment horizontal="center" vertical="center" wrapText="1"/>
    </xf>
    <xf numFmtId="0" fontId="0" fillId="0" borderId="0" xfId="0" applyAlignment="1">
      <alignment horizontal="center" vertical="center" wrapText="1"/>
    </xf>
    <xf numFmtId="167" fontId="0" fillId="16" borderId="16" xfId="0" applyNumberFormat="1" applyFill="1" applyBorder="1" applyAlignment="1">
      <alignment horizontal="center"/>
    </xf>
    <xf numFmtId="167" fontId="0" fillId="16" borderId="19" xfId="0" applyNumberFormat="1" applyFill="1" applyBorder="1" applyAlignment="1">
      <alignment horizontal="center"/>
    </xf>
    <xf numFmtId="0" fontId="0" fillId="0" borderId="0" xfId="0" applyAlignment="1">
      <alignment horizontal="left" vertical="center" wrapText="1" indent="1"/>
    </xf>
    <xf numFmtId="0" fontId="0" fillId="0" borderId="1" xfId="0" applyBorder="1" applyAlignment="1">
      <alignment horizontal="left" vertical="center" wrapText="1"/>
    </xf>
    <xf numFmtId="0" fontId="0" fillId="0" borderId="1" xfId="0" applyBorder="1" applyAlignment="1">
      <alignment vertical="center" wrapText="1"/>
    </xf>
    <xf numFmtId="0" fontId="0" fillId="0" borderId="1" xfId="0" applyBorder="1" applyAlignment="1">
      <alignment horizontal="left" vertical="center" wrapText="1" indent="1"/>
    </xf>
    <xf numFmtId="3" fontId="0" fillId="0" borderId="78" xfId="0" applyNumberFormat="1" applyBorder="1" applyAlignment="1">
      <alignment horizontal="center" vertical="center" wrapText="1"/>
    </xf>
    <xf numFmtId="3" fontId="0" fillId="0" borderId="79" xfId="0" applyNumberFormat="1" applyBorder="1" applyAlignment="1">
      <alignment horizontal="center" vertical="center" wrapText="1"/>
    </xf>
    <xf numFmtId="0" fontId="0" fillId="0" borderId="78" xfId="0" applyBorder="1" applyAlignment="1">
      <alignment horizontal="center" vertical="center" wrapText="1"/>
    </xf>
    <xf numFmtId="0" fontId="0" fillId="0" borderId="79" xfId="0" applyBorder="1" applyAlignment="1">
      <alignment horizontal="center" vertical="center" wrapText="1"/>
    </xf>
    <xf numFmtId="0" fontId="0" fillId="0" borderId="16" xfId="0" applyBorder="1" applyAlignment="1">
      <alignment horizontal="left" vertical="center" wrapText="1" indent="1"/>
    </xf>
    <xf numFmtId="0" fontId="0" fillId="0" borderId="83" xfId="0" applyBorder="1" applyAlignment="1">
      <alignment horizontal="left" vertical="center" wrapText="1" indent="1"/>
    </xf>
    <xf numFmtId="0" fontId="0" fillId="0" borderId="84" xfId="0" applyBorder="1" applyAlignment="1">
      <alignment horizontal="left" vertical="center" wrapText="1" indent="1"/>
    </xf>
    <xf numFmtId="0" fontId="0" fillId="0" borderId="26" xfId="0" applyBorder="1" applyAlignment="1">
      <alignment horizontal="left" vertical="center" wrapText="1" indent="1"/>
    </xf>
    <xf numFmtId="0" fontId="0" fillId="0" borderId="85" xfId="0" applyBorder="1" applyAlignment="1">
      <alignment horizontal="left" vertical="center" wrapText="1" indent="1"/>
    </xf>
    <xf numFmtId="0" fontId="0" fillId="0" borderId="86" xfId="0" applyBorder="1" applyAlignment="1">
      <alignment horizontal="left" vertical="center" wrapText="1" indent="1"/>
    </xf>
    <xf numFmtId="0" fontId="0" fillId="0" borderId="0" xfId="0" applyAlignment="1">
      <alignment horizontal="left" vertical="center" wrapText="1"/>
    </xf>
    <xf numFmtId="3" fontId="0" fillId="0" borderId="0" xfId="0" applyNumberFormat="1" applyAlignment="1">
      <alignment vertical="center" wrapText="1"/>
    </xf>
    <xf numFmtId="0" fontId="0" fillId="0" borderId="84" xfId="0" applyBorder="1" applyAlignment="1">
      <alignment horizontal="left" vertical="center" wrapText="1"/>
    </xf>
    <xf numFmtId="0" fontId="0" fillId="0" borderId="9" xfId="0" applyBorder="1" applyAlignment="1">
      <alignment horizontal="left" vertical="center" wrapText="1"/>
    </xf>
    <xf numFmtId="0" fontId="0" fillId="0" borderId="78" xfId="0" applyBorder="1" applyAlignment="1">
      <alignment horizontal="left" vertical="center" wrapText="1"/>
    </xf>
    <xf numFmtId="0" fontId="0" fillId="0" borderId="79" xfId="0" applyBorder="1" applyAlignment="1">
      <alignment horizontal="left" vertical="center" wrapText="1"/>
    </xf>
    <xf numFmtId="0" fontId="0" fillId="0" borderId="86" xfId="0" applyBorder="1" applyAlignment="1">
      <alignment horizontal="left" vertical="center" wrapText="1"/>
    </xf>
    <xf numFmtId="0" fontId="0" fillId="0" borderId="30" xfId="0" applyBorder="1" applyAlignment="1">
      <alignment horizontal="left" vertical="center" wrapText="1" indent="1"/>
    </xf>
    <xf numFmtId="0" fontId="0" fillId="0" borderId="82" xfId="0" applyBorder="1" applyAlignment="1">
      <alignment horizontal="left" vertical="center" wrapText="1" indent="1"/>
    </xf>
    <xf numFmtId="0" fontId="0" fillId="0" borderId="0" xfId="0" applyAlignment="1">
      <alignment vertical="center" wrapText="1"/>
    </xf>
    <xf numFmtId="0" fontId="0" fillId="0" borderId="87" xfId="0" applyBorder="1" applyAlignment="1">
      <alignment horizontal="center" vertical="center" wrapText="1"/>
    </xf>
    <xf numFmtId="0" fontId="0" fillId="0" borderId="88" xfId="0" applyBorder="1" applyAlignment="1">
      <alignment horizontal="center" vertical="center" wrapText="1"/>
    </xf>
    <xf numFmtId="0" fontId="0" fillId="0" borderId="80" xfId="0" applyBorder="1" applyAlignment="1">
      <alignment horizontal="left" vertical="center" wrapText="1" indent="1"/>
    </xf>
    <xf numFmtId="0" fontId="0" fillId="0" borderId="81" xfId="0" applyBorder="1" applyAlignment="1">
      <alignment horizontal="left" vertical="center" wrapText="1" indent="1"/>
    </xf>
    <xf numFmtId="3" fontId="0" fillId="0" borderId="9" xfId="0" applyNumberFormat="1" applyBorder="1" applyAlignment="1">
      <alignment horizontal="center" vertical="center" wrapText="1"/>
    </xf>
    <xf numFmtId="3" fontId="0" fillId="0" borderId="79" xfId="0" applyNumberFormat="1" applyBorder="1" applyAlignment="1">
      <alignment horizontal="center" vertical="center" wrapText="1"/>
    </xf>
    <xf numFmtId="0" fontId="0" fillId="0" borderId="16" xfId="0" applyBorder="1" applyAlignment="1">
      <alignment horizontal="left" vertical="center" wrapText="1" indent="1"/>
    </xf>
    <xf numFmtId="0" fontId="0" fillId="0" borderId="80" xfId="0" applyBorder="1" applyAlignment="1">
      <alignment horizontal="left" vertical="center" wrapText="1" indent="1"/>
    </xf>
    <xf numFmtId="167" fontId="0" fillId="16" borderId="20" xfId="0" applyNumberFormat="1" applyFill="1" applyBorder="1" applyAlignment="1">
      <alignment horizontal="center"/>
    </xf>
    <xf numFmtId="0" fontId="0" fillId="0" borderId="26" xfId="0" applyBorder="1" applyAlignment="1">
      <alignment horizontal="left" vertical="center" wrapText="1" indent="1"/>
    </xf>
    <xf numFmtId="0" fontId="0" fillId="0" borderId="86" xfId="0" applyBorder="1" applyAlignment="1">
      <alignment horizontal="left" vertical="center" wrapText="1" indent="1"/>
    </xf>
    <xf numFmtId="0" fontId="0" fillId="0" borderId="81" xfId="0" applyBorder="1" applyAlignment="1">
      <alignment horizontal="left" vertical="center" wrapText="1" indent="1"/>
    </xf>
    <xf numFmtId="0" fontId="0" fillId="0" borderId="9" xfId="0" applyBorder="1" applyAlignment="1">
      <alignment vertical="center" wrapText="1"/>
    </xf>
    <xf numFmtId="0" fontId="0" fillId="0" borderId="78" xfId="0" applyBorder="1" applyAlignment="1">
      <alignment vertical="center" wrapText="1"/>
    </xf>
    <xf numFmtId="0" fontId="0" fillId="0" borderId="79" xfId="0" applyBorder="1" applyAlignment="1">
      <alignment vertical="center" wrapText="1"/>
    </xf>
    <xf numFmtId="0" fontId="0" fillId="0" borderId="16" xfId="0" applyBorder="1" applyAlignment="1">
      <alignment vertical="center" wrapText="1"/>
    </xf>
    <xf numFmtId="0" fontId="0" fillId="0" borderId="83" xfId="0" applyBorder="1" applyAlignment="1">
      <alignment vertical="center" wrapText="1"/>
    </xf>
    <xf numFmtId="0" fontId="0" fillId="0" borderId="84" xfId="0" applyBorder="1" applyAlignment="1">
      <alignment vertical="center" wrapText="1"/>
    </xf>
    <xf numFmtId="0" fontId="0" fillId="0" borderId="30" xfId="0" applyBorder="1" applyAlignment="1">
      <alignment vertical="center" wrapText="1"/>
    </xf>
    <xf numFmtId="0" fontId="0" fillId="0" borderId="89" xfId="0" applyBorder="1" applyAlignment="1">
      <alignment vertical="center" wrapText="1"/>
    </xf>
    <xf numFmtId="0" fontId="0" fillId="0" borderId="90" xfId="0" applyBorder="1" applyAlignment="1">
      <alignment vertical="center" wrapText="1"/>
    </xf>
    <xf numFmtId="0" fontId="0" fillId="0" borderId="0" xfId="0" applyAlignment="1">
      <alignment horizontal="left" vertical="center" wrapText="1" indent="1"/>
    </xf>
    <xf numFmtId="0" fontId="15" fillId="0" borderId="0" xfId="0" applyFont="1" applyAlignment="1">
      <alignment wrapText="1"/>
    </xf>
    <xf numFmtId="0" fontId="21" fillId="0" borderId="0" xfId="0" applyFont="1" applyAlignment="1">
      <alignment wrapText="1"/>
    </xf>
    <xf numFmtId="0" fontId="21" fillId="0" borderId="0" xfId="0" applyFont="1"/>
    <xf numFmtId="0" fontId="15" fillId="15" borderId="91" xfId="0" applyFont="1" applyFill="1" applyBorder="1" applyAlignment="1">
      <alignment wrapText="1"/>
    </xf>
    <xf numFmtId="0" fontId="15" fillId="15" borderId="92" xfId="0" applyFont="1" applyFill="1" applyBorder="1" applyAlignment="1">
      <alignment wrapText="1"/>
    </xf>
    <xf numFmtId="14" fontId="15" fillId="15" borderId="91" xfId="0" applyNumberFormat="1" applyFont="1" applyFill="1" applyBorder="1" applyAlignment="1">
      <alignment wrapText="1"/>
    </xf>
    <xf numFmtId="172" fontId="15" fillId="15" borderId="91" xfId="2" applyNumberFormat="1" applyFont="1" applyFill="1" applyBorder="1" applyAlignment="1">
      <alignment wrapText="1"/>
    </xf>
    <xf numFmtId="0" fontId="15" fillId="15" borderId="93" xfId="0" applyFont="1" applyFill="1" applyBorder="1" applyAlignment="1">
      <alignment wrapText="1"/>
    </xf>
    <xf numFmtId="0" fontId="0" fillId="0" borderId="5" xfId="0" applyBorder="1"/>
    <xf numFmtId="0" fontId="0" fillId="0" borderId="6" xfId="0" applyBorder="1"/>
    <xf numFmtId="0" fontId="0" fillId="17" borderId="0" xfId="0" applyFill="1"/>
    <xf numFmtId="0" fontId="0" fillId="0" borderId="15" xfId="0" applyBorder="1"/>
    <xf numFmtId="0" fontId="0" fillId="0" borderId="7" xfId="0" applyBorder="1"/>
    <xf numFmtId="0" fontId="0" fillId="0" borderId="8" xfId="0" applyBorder="1"/>
    <xf numFmtId="0" fontId="22" fillId="18" borderId="0" xfId="9" applyFont="1" applyFill="1"/>
    <xf numFmtId="0" fontId="23" fillId="0" borderId="0" xfId="0" applyFont="1" applyAlignment="1">
      <alignment horizontal="left" indent="1"/>
    </xf>
    <xf numFmtId="0" fontId="15" fillId="0" borderId="0" xfId="0" applyFont="1" applyAlignment="1">
      <alignment horizontal="left" indent="1"/>
    </xf>
    <xf numFmtId="0" fontId="16" fillId="0" borderId="1" xfId="6" applyFont="1" applyBorder="1" applyAlignment="1">
      <alignment horizontal="left" indent="1"/>
    </xf>
    <xf numFmtId="3" fontId="11" fillId="0" borderId="1" xfId="8" applyNumberFormat="1" applyFont="1" applyBorder="1" applyAlignment="1">
      <alignment horizontal="left" indent="1"/>
    </xf>
    <xf numFmtId="3" fontId="11" fillId="19" borderId="1" xfId="8" applyNumberFormat="1" applyFont="1" applyFill="1" applyBorder="1" applyAlignment="1">
      <alignment horizontal="left" indent="1"/>
    </xf>
    <xf numFmtId="173" fontId="0" fillId="9" borderId="17" xfId="0" applyNumberFormat="1" applyFill="1" applyBorder="1" applyAlignment="1">
      <alignment horizontal="right" vertical="top"/>
    </xf>
    <xf numFmtId="173" fontId="0" fillId="14" borderId="17" xfId="0" applyNumberFormat="1" applyFill="1" applyBorder="1" applyAlignment="1">
      <alignment horizontal="right" vertical="top"/>
    </xf>
    <xf numFmtId="174" fontId="11" fillId="19" borderId="1" xfId="8" applyNumberFormat="1" applyFont="1" applyFill="1" applyBorder="1" applyAlignment="1">
      <alignment horizontal="left" indent="1"/>
    </xf>
    <xf numFmtId="166" fontId="13" fillId="0" borderId="0" xfId="0" applyNumberFormat="1" applyFont="1"/>
    <xf numFmtId="166" fontId="0" fillId="0" borderId="0" xfId="1" applyFont="1"/>
    <xf numFmtId="166" fontId="0" fillId="0" borderId="0" xfId="0" applyNumberFormat="1"/>
    <xf numFmtId="2" fontId="0" fillId="0" borderId="1" xfId="0" applyNumberFormat="1" applyBorder="1"/>
    <xf numFmtId="0" fontId="8" fillId="2" borderId="0" xfId="3" applyFont="1" applyFill="1" applyAlignment="1">
      <alignment horizontal="left"/>
    </xf>
    <xf numFmtId="0" fontId="24" fillId="0" borderId="0" xfId="7" applyFont="1"/>
    <xf numFmtId="0" fontId="25" fillId="0" borderId="0" xfId="7" applyFont="1"/>
    <xf numFmtId="0" fontId="9" fillId="0" borderId="0" xfId="7" applyFont="1"/>
    <xf numFmtId="0" fontId="18" fillId="0" borderId="0" xfId="7" applyFont="1"/>
    <xf numFmtId="0" fontId="18" fillId="0" borderId="1" xfId="7" applyFont="1" applyBorder="1" applyAlignment="1">
      <alignment horizontal="center" vertical="center"/>
    </xf>
    <xf numFmtId="0" fontId="18" fillId="0" borderId="1" xfId="7" applyFont="1" applyBorder="1" applyAlignment="1">
      <alignment horizontal="center" vertical="center" wrapText="1"/>
    </xf>
    <xf numFmtId="0" fontId="0" fillId="0" borderId="1" xfId="0" applyBorder="1" applyAlignment="1">
      <alignment wrapText="1"/>
    </xf>
    <xf numFmtId="0" fontId="9" fillId="0" borderId="1" xfId="7" applyFont="1" applyBorder="1" applyAlignment="1">
      <alignment horizontal="center"/>
    </xf>
    <xf numFmtId="164" fontId="11" fillId="4" borderId="1" xfId="7" applyNumberFormat="1" applyFont="1" applyFill="1" applyBorder="1"/>
    <xf numFmtId="0" fontId="11" fillId="4" borderId="1" xfId="7" applyFont="1" applyFill="1" applyBorder="1" applyAlignment="1">
      <alignment horizontal="left" vertical="top" wrapText="1"/>
    </xf>
    <xf numFmtId="0" fontId="0" fillId="0" borderId="1" xfId="0" applyBorder="1" applyAlignment="1">
      <alignment horizontal="left" vertical="top" wrapText="1"/>
    </xf>
    <xf numFmtId="0" fontId="6" fillId="0" borderId="0" xfId="4" applyAlignment="1">
      <alignment horizontal="left" indent="1"/>
    </xf>
    <xf numFmtId="0" fontId="6" fillId="0" borderId="0" xfId="4" quotePrefix="1" applyAlignment="1">
      <alignment horizontal="left" indent="1"/>
    </xf>
    <xf numFmtId="0" fontId="26" fillId="2" borderId="0" xfId="3" applyFont="1" applyFill="1" applyAlignment="1">
      <alignment horizontal="left"/>
    </xf>
    <xf numFmtId="0" fontId="26" fillId="9" borderId="0" xfId="3" applyFont="1" applyFill="1" applyAlignment="1">
      <alignment horizontal="left"/>
    </xf>
    <xf numFmtId="15" fontId="27" fillId="20" borderId="94" xfId="10" applyNumberFormat="1" applyFont="1" applyFill="1" applyBorder="1" applyAlignment="1">
      <alignment horizontal="center" vertical="top" wrapText="1"/>
    </xf>
    <xf numFmtId="0" fontId="27" fillId="20" borderId="94" xfId="10" applyFont="1" applyFill="1" applyBorder="1" applyAlignment="1">
      <alignment vertical="top" wrapText="1"/>
    </xf>
    <xf numFmtId="0" fontId="27" fillId="20" borderId="94" xfId="10" applyFont="1" applyFill="1" applyBorder="1" applyAlignment="1">
      <alignment horizontal="center" vertical="top" wrapText="1"/>
    </xf>
    <xf numFmtId="0" fontId="27" fillId="20" borderId="0" xfId="10" applyFont="1" applyFill="1" applyAlignment="1">
      <alignment horizontal="center" vertical="top" wrapText="1"/>
    </xf>
    <xf numFmtId="0" fontId="0" fillId="0" borderId="1" xfId="0" applyBorder="1" applyAlignment="1">
      <alignment vertical="center" wrapText="1"/>
    </xf>
    <xf numFmtId="0" fontId="0" fillId="0" borderId="1" xfId="0" applyBorder="1" applyAlignment="1">
      <alignment vertical="top" wrapText="1"/>
    </xf>
    <xf numFmtId="0" fontId="11" fillId="0" borderId="1" xfId="0" applyFont="1" applyBorder="1" applyAlignment="1">
      <alignment vertical="top" wrapText="1"/>
    </xf>
    <xf numFmtId="0" fontId="0" fillId="0" borderId="1" xfId="0" applyBorder="1" applyAlignment="1">
      <alignment horizontal="center" vertical="top"/>
    </xf>
    <xf numFmtId="0" fontId="0" fillId="0" borderId="1" xfId="0" applyBorder="1" applyAlignment="1">
      <alignment vertical="top"/>
    </xf>
    <xf numFmtId="0" fontId="11" fillId="9" borderId="9" xfId="6" applyFont="1" applyFill="1" applyBorder="1" applyAlignment="1">
      <alignment vertical="center"/>
    </xf>
    <xf numFmtId="0" fontId="0" fillId="0" borderId="9" xfId="0" applyBorder="1" applyAlignment="1">
      <alignment vertical="center" wrapText="1"/>
    </xf>
    <xf numFmtId="0" fontId="0" fillId="0" borderId="2" xfId="0" applyBorder="1" applyAlignment="1">
      <alignment vertical="center" wrapText="1"/>
    </xf>
    <xf numFmtId="0" fontId="0" fillId="0" borderId="12" xfId="0" applyBorder="1" applyAlignment="1">
      <alignment vertical="top" wrapText="1"/>
    </xf>
    <xf numFmtId="0" fontId="0" fillId="0" borderId="12" xfId="0" applyBorder="1" applyAlignment="1">
      <alignment vertical="top"/>
    </xf>
    <xf numFmtId="0" fontId="0" fillId="0" borderId="12" xfId="0" applyBorder="1" applyAlignment="1">
      <alignment horizontal="center" vertical="top"/>
    </xf>
    <xf numFmtId="0" fontId="0" fillId="0" borderId="12" xfId="0" applyBorder="1" applyAlignment="1">
      <alignment vertical="center" wrapText="1"/>
    </xf>
    <xf numFmtId="0" fontId="0" fillId="0" borderId="79" xfId="0" applyBorder="1" applyAlignment="1">
      <alignment vertical="top" wrapText="1"/>
    </xf>
    <xf numFmtId="0" fontId="0" fillId="0" borderId="4" xfId="0" applyBorder="1" applyAlignment="1">
      <alignment vertical="top" wrapText="1"/>
    </xf>
    <xf numFmtId="0" fontId="0" fillId="0" borderId="95" xfId="0" applyBorder="1" applyAlignment="1">
      <alignment vertical="center" wrapText="1"/>
    </xf>
    <xf numFmtId="0" fontId="0" fillId="0" borderId="96" xfId="0" applyBorder="1" applyAlignment="1">
      <alignment vertical="top" wrapText="1"/>
    </xf>
    <xf numFmtId="0" fontId="0" fillId="0" borderId="97" xfId="0" applyBorder="1" applyAlignment="1">
      <alignment vertical="top" wrapText="1"/>
    </xf>
    <xf numFmtId="0" fontId="0" fillId="0" borderId="95" xfId="0" applyBorder="1"/>
    <xf numFmtId="0" fontId="0" fillId="0" borderId="79" xfId="0" applyBorder="1" applyAlignment="1">
      <alignment wrapText="1"/>
    </xf>
    <xf numFmtId="0" fontId="0" fillId="0" borderId="11" xfId="0" applyBorder="1" applyAlignment="1">
      <alignment vertical="center" wrapText="1"/>
    </xf>
    <xf numFmtId="0" fontId="0" fillId="0" borderId="11" xfId="0" applyBorder="1" applyAlignment="1">
      <alignment horizontal="left" vertical="center" wrapText="1"/>
    </xf>
    <xf numFmtId="0" fontId="0" fillId="0" borderId="11" xfId="0" applyBorder="1" applyAlignment="1">
      <alignment horizontal="left" vertical="center"/>
    </xf>
    <xf numFmtId="0" fontId="0" fillId="0" borderId="11" xfId="0" applyBorder="1" applyAlignment="1">
      <alignment wrapText="1"/>
    </xf>
    <xf numFmtId="0" fontId="0" fillId="0" borderId="11" xfId="0" applyBorder="1" applyAlignment="1">
      <alignment vertical="center"/>
    </xf>
    <xf numFmtId="0" fontId="0" fillId="0" borderId="11" xfId="0" applyBorder="1" applyAlignment="1">
      <alignment vertical="top" wrapText="1"/>
    </xf>
    <xf numFmtId="0" fontId="0" fillId="0" borderId="95" xfId="0" applyBorder="1" applyAlignment="1">
      <alignment vertical="top" wrapText="1"/>
    </xf>
    <xf numFmtId="0" fontId="0" fillId="0" borderId="64" xfId="0" applyBorder="1" applyAlignment="1">
      <alignment vertical="center" wrapText="1"/>
    </xf>
    <xf numFmtId="0" fontId="28" fillId="0" borderId="1" xfId="0" applyFont="1" applyBorder="1"/>
    <xf numFmtId="0" fontId="0" fillId="0" borderId="96" xfId="0" applyBorder="1" applyAlignment="1">
      <alignment vertical="center"/>
    </xf>
    <xf numFmtId="0" fontId="28" fillId="0" borderId="1" xfId="0" applyFont="1" applyBorder="1" applyAlignment="1">
      <alignment vertical="center"/>
    </xf>
    <xf numFmtId="0" fontId="0" fillId="0" borderId="97" xfId="0" applyBorder="1" applyAlignment="1">
      <alignment vertical="center"/>
    </xf>
    <xf numFmtId="0" fontId="0" fillId="0" borderId="1" xfId="0" applyBorder="1" applyAlignment="1">
      <alignment vertical="center"/>
    </xf>
    <xf numFmtId="0" fontId="0" fillId="0" borderId="1" xfId="0" applyBorder="1" applyAlignment="1">
      <alignment horizontal="left" vertical="center" wrapText="1"/>
    </xf>
    <xf numFmtId="0" fontId="0" fillId="0" borderId="98" xfId="0" applyBorder="1" applyAlignment="1">
      <alignment vertical="center"/>
    </xf>
    <xf numFmtId="0" fontId="8" fillId="2" borderId="3" xfId="3" applyFont="1" applyFill="1" applyBorder="1" applyAlignment="1">
      <alignment horizontal="left" indent="1"/>
    </xf>
    <xf numFmtId="0" fontId="8" fillId="2" borderId="3" xfId="3" applyFont="1" applyFill="1" applyBorder="1" applyAlignment="1">
      <alignment horizontal="left"/>
    </xf>
    <xf numFmtId="0" fontId="26" fillId="2" borderId="3" xfId="3" applyFont="1" applyFill="1" applyBorder="1" applyAlignment="1">
      <alignment horizontal="left"/>
    </xf>
    <xf numFmtId="0" fontId="25" fillId="2" borderId="3" xfId="7" applyFont="1" applyFill="1" applyBorder="1"/>
    <xf numFmtId="0" fontId="24" fillId="2" borderId="4" xfId="7" applyFont="1" applyFill="1" applyBorder="1"/>
    <xf numFmtId="0" fontId="8" fillId="2" borderId="0" xfId="3" applyFont="1" applyFill="1" applyAlignment="1">
      <alignment horizontal="left" indent="1"/>
    </xf>
    <xf numFmtId="0" fontId="25" fillId="2" borderId="0" xfId="7" applyFont="1" applyFill="1"/>
    <xf numFmtId="0" fontId="25" fillId="2" borderId="6" xfId="7" applyFont="1" applyFill="1" applyBorder="1"/>
    <xf numFmtId="0" fontId="26" fillId="2" borderId="7" xfId="3" applyFont="1" applyFill="1" applyBorder="1" applyAlignment="1">
      <alignment horizontal="left"/>
    </xf>
    <xf numFmtId="0" fontId="25" fillId="2" borderId="7" xfId="7" applyFont="1" applyFill="1" applyBorder="1"/>
    <xf numFmtId="0" fontId="25" fillId="2" borderId="8" xfId="7" applyFont="1" applyFill="1" applyBorder="1"/>
    <xf numFmtId="0" fontId="0" fillId="0" borderId="76" xfId="0" applyBorder="1" applyAlignment="1">
      <alignment horizontal="center" vertical="top"/>
    </xf>
    <xf numFmtId="0" fontId="0" fillId="0" borderId="0" xfId="0" applyAlignment="1">
      <alignment horizontal="left" vertical="top"/>
    </xf>
    <xf numFmtId="1" fontId="0" fillId="0" borderId="0" xfId="0" applyNumberFormat="1" applyAlignment="1">
      <alignment horizontal="right"/>
    </xf>
    <xf numFmtId="0" fontId="15" fillId="12" borderId="76" xfId="0" applyFont="1" applyFill="1" applyBorder="1" applyAlignment="1">
      <alignment horizontal="center" vertical="center"/>
    </xf>
    <xf numFmtId="1" fontId="15" fillId="12" borderId="17" xfId="0" applyNumberFormat="1" applyFont="1" applyFill="1" applyBorder="1" applyAlignment="1">
      <alignment horizontal="center" vertical="center" wrapText="1"/>
    </xf>
    <xf numFmtId="1" fontId="15" fillId="12" borderId="20" xfId="0" applyNumberFormat="1" applyFont="1" applyFill="1" applyBorder="1" applyAlignment="1">
      <alignment horizontal="center" vertical="center" wrapText="1"/>
    </xf>
    <xf numFmtId="1" fontId="15" fillId="12" borderId="17" xfId="0" applyNumberFormat="1" applyFont="1" applyFill="1" applyBorder="1" applyAlignment="1">
      <alignment horizontal="center" vertical="center"/>
    </xf>
    <xf numFmtId="0" fontId="15" fillId="15" borderId="0" xfId="0" applyFont="1" applyFill="1" applyAlignment="1">
      <alignment horizontal="left" vertical="center" indent="1"/>
    </xf>
    <xf numFmtId="0" fontId="0" fillId="15" borderId="0" xfId="0" applyFill="1" applyAlignment="1">
      <alignment vertical="center"/>
    </xf>
    <xf numFmtId="0" fontId="15" fillId="0" borderId="0" xfId="0" applyFont="1" applyAlignment="1">
      <alignment horizontal="left" vertical="center" indent="1"/>
    </xf>
    <xf numFmtId="0" fontId="11" fillId="21" borderId="0" xfId="2" applyNumberFormat="1" applyFont="1" applyFill="1" applyBorder="1" applyAlignment="1" applyProtection="1">
      <alignment horizontal="left" indent="1"/>
    </xf>
    <xf numFmtId="0" fontId="11" fillId="0" borderId="6" xfId="2" applyNumberFormat="1" applyFont="1" applyFill="1" applyBorder="1" applyAlignment="1" applyProtection="1">
      <alignment horizontal="center"/>
    </xf>
    <xf numFmtId="10" fontId="11" fillId="5" borderId="17" xfId="2" applyNumberFormat="1" applyFont="1" applyFill="1" applyBorder="1" applyProtection="1"/>
    <xf numFmtId="10" fontId="11" fillId="5" borderId="20" xfId="2" applyNumberFormat="1" applyFont="1" applyFill="1" applyBorder="1" applyProtection="1"/>
    <xf numFmtId="165" fontId="11" fillId="5" borderId="17" xfId="2" applyNumberFormat="1" applyFont="1" applyFill="1" applyBorder="1" applyProtection="1"/>
    <xf numFmtId="165" fontId="0" fillId="0" borderId="0" xfId="0" applyNumberFormat="1"/>
    <xf numFmtId="165" fontId="11" fillId="5" borderId="20" xfId="2" applyNumberFormat="1" applyFont="1" applyFill="1" applyBorder="1" applyProtection="1"/>
    <xf numFmtId="0" fontId="0" fillId="0" borderId="0" xfId="0" applyAlignment="1">
      <alignment horizontal="right" vertical="top" indent="1"/>
    </xf>
    <xf numFmtId="165" fontId="11" fillId="5" borderId="13" xfId="2" applyNumberFormat="1" applyFont="1" applyFill="1" applyBorder="1" applyProtection="1"/>
    <xf numFmtId="0" fontId="16" fillId="21" borderId="0" xfId="2" applyNumberFormat="1" applyFont="1" applyFill="1" applyBorder="1" applyAlignment="1" applyProtection="1">
      <alignment horizontal="left" indent="1"/>
    </xf>
    <xf numFmtId="0" fontId="11" fillId="0" borderId="0" xfId="2" applyNumberFormat="1" applyFont="1" applyFill="1" applyBorder="1" applyAlignment="1" applyProtection="1">
      <alignment horizontal="center"/>
    </xf>
    <xf numFmtId="165" fontId="16" fillId="5" borderId="99" xfId="2" applyNumberFormat="1" applyFont="1" applyFill="1" applyBorder="1" applyProtection="1"/>
    <xf numFmtId="165" fontId="16" fillId="5" borderId="100" xfId="2" applyNumberFormat="1" applyFont="1" applyFill="1" applyBorder="1" applyProtection="1"/>
    <xf numFmtId="165" fontId="16" fillId="5" borderId="101" xfId="2" applyNumberFormat="1" applyFont="1" applyFill="1" applyBorder="1" applyProtection="1"/>
    <xf numFmtId="165" fontId="15" fillId="0" borderId="0" xfId="0" applyNumberFormat="1" applyFont="1"/>
    <xf numFmtId="165" fontId="16" fillId="5" borderId="102" xfId="2" applyNumberFormat="1" applyFont="1" applyFill="1" applyBorder="1" applyProtection="1"/>
    <xf numFmtId="165" fontId="11" fillId="5" borderId="22" xfId="2" applyNumberFormat="1" applyFont="1" applyFill="1" applyBorder="1" applyProtection="1"/>
    <xf numFmtId="165" fontId="11" fillId="5" borderId="25" xfId="2" applyNumberFormat="1" applyFont="1" applyFill="1" applyBorder="1" applyProtection="1"/>
    <xf numFmtId="165" fontId="11" fillId="5" borderId="103" xfId="2" applyNumberFormat="1" applyFont="1" applyFill="1" applyBorder="1" applyProtection="1"/>
    <xf numFmtId="165" fontId="11" fillId="5" borderId="29" xfId="2" applyNumberFormat="1" applyFont="1" applyFill="1" applyBorder="1" applyProtection="1"/>
    <xf numFmtId="0" fontId="29" fillId="0" borderId="0" xfId="0" applyFont="1"/>
    <xf numFmtId="3" fontId="11" fillId="21" borderId="0" xfId="2" applyNumberFormat="1" applyFont="1" applyFill="1" applyBorder="1" applyAlignment="1" applyProtection="1">
      <alignment horizontal="left" indent="1"/>
    </xf>
    <xf numFmtId="165" fontId="11" fillId="5" borderId="104" xfId="2" applyNumberFormat="1" applyFont="1" applyFill="1" applyBorder="1" applyProtection="1"/>
    <xf numFmtId="0" fontId="16" fillId="0" borderId="0" xfId="2" applyNumberFormat="1" applyFont="1" applyFill="1" applyBorder="1" applyAlignment="1" applyProtection="1">
      <alignment horizontal="left" indent="1"/>
    </xf>
    <xf numFmtId="165" fontId="16" fillId="0" borderId="0" xfId="2" applyNumberFormat="1" applyFont="1" applyFill="1" applyBorder="1" applyProtection="1"/>
    <xf numFmtId="0" fontId="16" fillId="15" borderId="0" xfId="2" applyNumberFormat="1" applyFont="1" applyFill="1" applyBorder="1" applyAlignment="1" applyProtection="1">
      <alignment horizontal="left" indent="1"/>
    </xf>
    <xf numFmtId="0" fontId="11" fillId="15" borderId="0" xfId="2" applyNumberFormat="1" applyFont="1" applyFill="1" applyBorder="1" applyAlignment="1" applyProtection="1">
      <alignment horizontal="center"/>
    </xf>
    <xf numFmtId="165" fontId="16" fillId="15" borderId="0" xfId="2" applyNumberFormat="1" applyFont="1" applyFill="1" applyBorder="1" applyProtection="1"/>
    <xf numFmtId="165" fontId="15" fillId="15" borderId="0" xfId="0" applyNumberFormat="1" applyFont="1" applyFill="1"/>
    <xf numFmtId="0" fontId="11" fillId="22" borderId="0" xfId="2" applyNumberFormat="1" applyFont="1" applyFill="1" applyBorder="1" applyAlignment="1" applyProtection="1">
      <alignment horizontal="left" indent="1"/>
    </xf>
    <xf numFmtId="0" fontId="16" fillId="22" borderId="0" xfId="2" applyNumberFormat="1" applyFont="1" applyFill="1" applyBorder="1" applyAlignment="1" applyProtection="1">
      <alignment horizontal="left" indent="1"/>
    </xf>
    <xf numFmtId="0" fontId="0" fillId="21" borderId="0" xfId="0" applyFill="1" applyAlignment="1">
      <alignment horizontal="left" indent="1"/>
    </xf>
    <xf numFmtId="1" fontId="0" fillId="21" borderId="6" xfId="0" applyNumberFormat="1" applyFill="1" applyBorder="1" applyAlignment="1">
      <alignment horizontal="center"/>
    </xf>
    <xf numFmtId="173" fontId="11" fillId="3" borderId="17" xfId="1" applyNumberFormat="1" applyFont="1" applyFill="1" applyBorder="1" applyProtection="1"/>
    <xf numFmtId="173" fontId="11" fillId="3" borderId="18" xfId="1" applyNumberFormat="1" applyFont="1" applyFill="1" applyBorder="1" applyProtection="1"/>
    <xf numFmtId="173" fontId="11" fillId="5" borderId="17" xfId="1" applyNumberFormat="1" applyFont="1" applyFill="1" applyBorder="1" applyProtection="1"/>
    <xf numFmtId="173" fontId="11" fillId="3" borderId="105" xfId="1" applyNumberFormat="1" applyFont="1" applyFill="1" applyBorder="1" applyProtection="1"/>
    <xf numFmtId="173" fontId="11" fillId="3" borderId="106" xfId="1" applyNumberFormat="1" applyFont="1" applyFill="1" applyBorder="1" applyProtection="1"/>
    <xf numFmtId="3" fontId="11" fillId="21" borderId="0" xfId="1" applyNumberFormat="1" applyFont="1" applyFill="1" applyBorder="1" applyAlignment="1" applyProtection="1">
      <alignment horizontal="left" indent="1"/>
    </xf>
    <xf numFmtId="0" fontId="11" fillId="0" borderId="0" xfId="1" applyNumberFormat="1" applyFont="1" applyAlignment="1" applyProtection="1">
      <alignment horizontal="left" indent="1"/>
    </xf>
    <xf numFmtId="173" fontId="11" fillId="3" borderId="107" xfId="1" applyNumberFormat="1" applyFont="1" applyFill="1" applyBorder="1" applyProtection="1"/>
    <xf numFmtId="173" fontId="11" fillId="5" borderId="13" xfId="1" applyNumberFormat="1" applyFont="1" applyFill="1" applyBorder="1" applyProtection="1"/>
    <xf numFmtId="0" fontId="15" fillId="21" borderId="0" xfId="0" applyFont="1" applyFill="1" applyAlignment="1">
      <alignment horizontal="left" indent="1"/>
    </xf>
    <xf numFmtId="1" fontId="0" fillId="21" borderId="0" xfId="0" applyNumberFormat="1" applyFill="1" applyAlignment="1">
      <alignment horizontal="center"/>
    </xf>
    <xf numFmtId="173" fontId="16" fillId="5" borderId="99" xfId="1" applyNumberFormat="1" applyFont="1" applyFill="1" applyBorder="1" applyProtection="1"/>
    <xf numFmtId="173" fontId="16" fillId="5" borderId="100" xfId="1" applyNumberFormat="1" applyFont="1" applyFill="1" applyBorder="1" applyProtection="1"/>
    <xf numFmtId="173" fontId="16" fillId="5" borderId="101" xfId="1" applyNumberFormat="1" applyFont="1" applyFill="1" applyBorder="1" applyProtection="1"/>
    <xf numFmtId="173" fontId="11" fillId="5" borderId="22" xfId="1" applyNumberFormat="1" applyFont="1" applyFill="1" applyBorder="1" applyProtection="1"/>
    <xf numFmtId="173" fontId="16" fillId="21" borderId="99" xfId="1" applyNumberFormat="1" applyFont="1" applyFill="1" applyBorder="1" applyProtection="1"/>
    <xf numFmtId="0" fontId="11" fillId="21" borderId="0" xfId="0" applyFont="1" applyFill="1" applyAlignment="1">
      <alignment horizontal="left" indent="1"/>
    </xf>
    <xf numFmtId="173" fontId="11" fillId="3" borderId="108" xfId="1" applyNumberFormat="1" applyFont="1" applyFill="1" applyBorder="1" applyProtection="1"/>
    <xf numFmtId="173" fontId="11" fillId="3" borderId="36" xfId="1" applyNumberFormat="1" applyFont="1" applyFill="1" applyBorder="1" applyProtection="1"/>
    <xf numFmtId="0" fontId="0" fillId="0" borderId="0" xfId="0" applyProtection="1">
      <protection locked="0"/>
    </xf>
    <xf numFmtId="0" fontId="4" fillId="2" borderId="2" xfId="3" applyFont="1" applyFill="1" applyBorder="1" applyAlignment="1" applyProtection="1">
      <alignment horizontal="left"/>
      <protection locked="0"/>
    </xf>
    <xf numFmtId="0" fontId="5" fillId="2" borderId="3" xfId="0" applyFont="1" applyFill="1" applyBorder="1" applyAlignment="1" applyProtection="1">
      <alignment horizontal="left" indent="1"/>
      <protection locked="0"/>
    </xf>
    <xf numFmtId="0" fontId="0" fillId="2" borderId="3" xfId="0" applyFill="1" applyBorder="1" applyAlignment="1" applyProtection="1">
      <alignment horizontal="center" vertical="center"/>
      <protection locked="0"/>
    </xf>
    <xf numFmtId="0" fontId="0" fillId="2" borderId="3" xfId="0" applyFill="1" applyBorder="1" applyProtection="1">
      <protection locked="0"/>
    </xf>
    <xf numFmtId="0" fontId="0" fillId="2" borderId="4" xfId="0" applyFill="1" applyBorder="1" applyProtection="1">
      <protection locked="0"/>
    </xf>
    <xf numFmtId="0" fontId="4" fillId="2" borderId="5" xfId="3" applyFont="1" applyFill="1" applyBorder="1" applyAlignment="1" applyProtection="1">
      <alignment horizontal="left"/>
      <protection locked="0"/>
    </xf>
    <xf numFmtId="0" fontId="8" fillId="2" borderId="0" xfId="3" applyFont="1" applyFill="1" applyAlignment="1" applyProtection="1">
      <alignment horizontal="left" indent="1"/>
      <protection locked="0"/>
    </xf>
    <xf numFmtId="0" fontId="26" fillId="2" borderId="0" xfId="3" applyFont="1" applyFill="1" applyAlignment="1" applyProtection="1">
      <alignment horizontal="center" vertical="center"/>
      <protection locked="0"/>
    </xf>
    <xf numFmtId="0" fontId="26" fillId="2" borderId="0" xfId="3" applyFont="1" applyFill="1" applyAlignment="1" applyProtection="1">
      <alignment horizontal="left"/>
      <protection locked="0"/>
    </xf>
    <xf numFmtId="0" fontId="25" fillId="2" borderId="6" xfId="7" applyFont="1" applyFill="1" applyBorder="1" applyProtection="1">
      <protection locked="0"/>
    </xf>
    <xf numFmtId="0" fontId="4" fillId="2" borderId="0" xfId="3" applyFont="1" applyFill="1" applyAlignment="1" applyProtection="1">
      <alignment horizontal="left"/>
      <protection locked="0"/>
    </xf>
    <xf numFmtId="0" fontId="8" fillId="2" borderId="7" xfId="3" applyFont="1" applyFill="1" applyBorder="1" applyAlignment="1" applyProtection="1">
      <alignment horizontal="left" indent="1"/>
      <protection locked="0"/>
    </xf>
    <xf numFmtId="0" fontId="26" fillId="2" borderId="7" xfId="3" applyFont="1" applyFill="1" applyBorder="1" applyAlignment="1" applyProtection="1">
      <alignment horizontal="center" vertical="center"/>
      <protection locked="0"/>
    </xf>
    <xf numFmtId="0" fontId="26" fillId="2" borderId="7" xfId="3" applyFont="1" applyFill="1" applyBorder="1" applyAlignment="1" applyProtection="1">
      <alignment horizontal="left"/>
      <protection locked="0"/>
    </xf>
    <xf numFmtId="0" fontId="25" fillId="2" borderId="8" xfId="7" applyFont="1" applyFill="1" applyBorder="1" applyProtection="1">
      <protection locked="0"/>
    </xf>
    <xf numFmtId="0" fontId="0" fillId="0" borderId="0" xfId="0" applyAlignment="1" applyProtection="1">
      <alignment horizontal="left" vertical="top" indent="1"/>
      <protection locked="0"/>
    </xf>
    <xf numFmtId="0" fontId="0" fillId="0" borderId="0" xfId="0" applyAlignment="1" applyProtection="1">
      <alignment horizontal="center" vertical="center"/>
      <protection locked="0"/>
    </xf>
    <xf numFmtId="0" fontId="0" fillId="0" borderId="76" xfId="0" applyBorder="1" applyAlignment="1" applyProtection="1">
      <alignment horizontal="center" vertical="top"/>
      <protection locked="0"/>
    </xf>
    <xf numFmtId="0" fontId="15" fillId="12" borderId="76" xfId="0" applyFont="1" applyFill="1" applyBorder="1" applyAlignment="1" applyProtection="1">
      <alignment horizontal="center" vertical="center"/>
      <protection locked="0"/>
    </xf>
    <xf numFmtId="0" fontId="15" fillId="0" borderId="0" xfId="0" applyFont="1" applyAlignment="1" applyProtection="1">
      <alignment horizontal="left" indent="1"/>
      <protection locked="0"/>
    </xf>
    <xf numFmtId="1" fontId="15" fillId="12" borderId="17" xfId="0" applyNumberFormat="1" applyFont="1" applyFill="1" applyBorder="1" applyAlignment="1" applyProtection="1">
      <alignment horizontal="center" vertical="center"/>
      <protection locked="0"/>
    </xf>
    <xf numFmtId="167" fontId="15" fillId="0" borderId="0" xfId="0" applyNumberFormat="1" applyFont="1" applyAlignment="1" applyProtection="1">
      <alignment horizontal="center"/>
      <protection locked="0"/>
    </xf>
    <xf numFmtId="0" fontId="15" fillId="15" borderId="0" xfId="0" applyFont="1" applyFill="1" applyAlignment="1" applyProtection="1">
      <alignment horizontal="left" vertical="top" indent="1"/>
      <protection locked="0"/>
    </xf>
    <xf numFmtId="0" fontId="0" fillId="15" borderId="0" xfId="0" applyFill="1" applyAlignment="1" applyProtection="1">
      <alignment horizontal="center" vertical="center"/>
      <protection locked="0"/>
    </xf>
    <xf numFmtId="0" fontId="0" fillId="15" borderId="0" xfId="0" applyFill="1" applyAlignment="1" applyProtection="1">
      <alignment horizontal="left" vertical="top"/>
      <protection locked="0"/>
    </xf>
    <xf numFmtId="0" fontId="0" fillId="15" borderId="0" xfId="0" applyFill="1" applyAlignment="1" applyProtection="1">
      <alignment horizontal="center" vertical="top"/>
      <protection locked="0"/>
    </xf>
    <xf numFmtId="0" fontId="16" fillId="0" borderId="0" xfId="0" applyFont="1" applyAlignment="1" applyProtection="1">
      <alignment horizontal="left" vertical="top" indent="1"/>
      <protection locked="0"/>
    </xf>
    <xf numFmtId="0" fontId="15" fillId="0" borderId="0" xfId="0" applyFont="1" applyAlignment="1" applyProtection="1">
      <alignment horizontal="left" vertical="top" indent="1"/>
      <protection locked="0"/>
    </xf>
    <xf numFmtId="0" fontId="0" fillId="0" borderId="0" xfId="0" applyAlignment="1" applyProtection="1">
      <alignment horizontal="left" indent="1"/>
      <protection locked="0"/>
    </xf>
    <xf numFmtId="0" fontId="0" fillId="0" borderId="0" xfId="0" applyAlignment="1" applyProtection="1">
      <alignment vertical="center"/>
      <protection locked="0"/>
    </xf>
    <xf numFmtId="1" fontId="0" fillId="0" borderId="0" xfId="0" applyNumberFormat="1" applyAlignment="1" applyProtection="1">
      <alignment horizontal="center" vertical="center"/>
      <protection locked="0"/>
    </xf>
    <xf numFmtId="173" fontId="0" fillId="23" borderId="17" xfId="0" applyNumberFormat="1" applyFill="1" applyBorder="1" applyAlignment="1" applyProtection="1">
      <alignment horizontal="right" vertical="top"/>
      <protection locked="0"/>
    </xf>
    <xf numFmtId="173" fontId="15" fillId="14" borderId="76" xfId="0" applyNumberFormat="1" applyFont="1" applyFill="1" applyBorder="1" applyAlignment="1">
      <alignment horizontal="right"/>
    </xf>
    <xf numFmtId="167" fontId="0" fillId="0" borderId="0" xfId="0" applyNumberFormat="1" applyAlignment="1" applyProtection="1">
      <alignment horizontal="right"/>
      <protection locked="0"/>
    </xf>
    <xf numFmtId="167" fontId="15" fillId="0" borderId="0" xfId="0" applyNumberFormat="1" applyFont="1" applyAlignment="1" applyProtection="1">
      <alignment horizontal="right"/>
      <protection locked="0"/>
    </xf>
    <xf numFmtId="0" fontId="0" fillId="24" borderId="0" xfId="0" applyFill="1" applyAlignment="1" applyProtection="1">
      <alignment horizontal="left" vertical="top" indent="1"/>
      <protection locked="0"/>
    </xf>
    <xf numFmtId="0" fontId="11" fillId="24" borderId="0" xfId="0" applyFont="1" applyFill="1" applyAlignment="1" applyProtection="1">
      <alignment horizontal="left" vertical="center" indent="1"/>
      <protection locked="0"/>
    </xf>
    <xf numFmtId="173" fontId="0" fillId="24" borderId="17" xfId="0" applyNumberFormat="1" applyFill="1" applyBorder="1" applyAlignment="1" applyProtection="1">
      <alignment horizontal="right" vertical="top"/>
      <protection locked="0"/>
    </xf>
    <xf numFmtId="174" fontId="11" fillId="24" borderId="0" xfId="0" applyNumberFormat="1" applyFont="1" applyFill="1" applyAlignment="1" applyProtection="1">
      <alignment horizontal="left" vertical="center" indent="1"/>
      <protection locked="0"/>
    </xf>
    <xf numFmtId="173" fontId="0" fillId="24" borderId="0" xfId="0" applyNumberFormat="1" applyFill="1" applyAlignment="1" applyProtection="1">
      <alignment horizontal="left" vertical="top"/>
      <protection locked="0"/>
    </xf>
    <xf numFmtId="0" fontId="30" fillId="0" borderId="0" xfId="0" applyFont="1" applyProtection="1">
      <protection locked="0"/>
    </xf>
    <xf numFmtId="1" fontId="15" fillId="0" borderId="0" xfId="0" applyNumberFormat="1" applyFont="1" applyAlignment="1" applyProtection="1">
      <alignment horizontal="right"/>
      <protection locked="0"/>
    </xf>
    <xf numFmtId="0" fontId="11" fillId="9" borderId="0" xfId="0" applyFont="1" applyFill="1" applyAlignment="1" applyProtection="1">
      <alignment horizontal="left" vertical="center" indent="1"/>
      <protection locked="0"/>
    </xf>
    <xf numFmtId="0" fontId="11" fillId="0" borderId="0" xfId="0" applyFont="1" applyAlignment="1" applyProtection="1">
      <alignment horizontal="left" vertical="center" indent="1"/>
      <protection locked="0"/>
    </xf>
    <xf numFmtId="167" fontId="0" fillId="10" borderId="76" xfId="0" applyNumberFormat="1" applyFill="1" applyBorder="1" applyAlignment="1">
      <alignment horizontal="right"/>
    </xf>
    <xf numFmtId="1" fontId="15" fillId="0" borderId="0" xfId="0" applyNumberFormat="1" applyFont="1" applyAlignment="1" applyProtection="1">
      <alignment horizontal="center"/>
      <protection locked="0"/>
    </xf>
    <xf numFmtId="0" fontId="31" fillId="0" borderId="0" xfId="0" applyFont="1" applyProtection="1">
      <protection locked="0"/>
    </xf>
    <xf numFmtId="175" fontId="15" fillId="21" borderId="17" xfId="1" applyNumberFormat="1" applyFont="1" applyFill="1" applyBorder="1" applyAlignment="1" applyProtection="1">
      <alignment horizontal="right" vertical="top"/>
    </xf>
    <xf numFmtId="175" fontId="0" fillId="0" borderId="0" xfId="1" applyNumberFormat="1" applyFont="1" applyFill="1" applyBorder="1" applyAlignment="1" applyProtection="1">
      <alignment horizontal="right" vertical="top"/>
      <protection locked="0"/>
    </xf>
    <xf numFmtId="0" fontId="32" fillId="0" borderId="0" xfId="0" applyFont="1" applyAlignment="1" applyProtection="1">
      <alignment horizontal="left"/>
      <protection locked="0"/>
    </xf>
    <xf numFmtId="0" fontId="12" fillId="0" borderId="0" xfId="0" applyFont="1" applyProtection="1">
      <protection locked="0"/>
    </xf>
    <xf numFmtId="175" fontId="11" fillId="21" borderId="1" xfId="1" applyNumberFormat="1" applyFont="1" applyFill="1" applyBorder="1" applyProtection="1"/>
    <xf numFmtId="0" fontId="0" fillId="25" borderId="0" xfId="0" applyFill="1" applyProtection="1">
      <protection locked="0"/>
    </xf>
    <xf numFmtId="175" fontId="0" fillId="21" borderId="17" xfId="1" applyNumberFormat="1" applyFont="1" applyFill="1" applyBorder="1" applyAlignment="1" applyProtection="1">
      <alignment horizontal="right" vertical="top"/>
    </xf>
    <xf numFmtId="0" fontId="11" fillId="10" borderId="1" xfId="7" applyFont="1" applyFill="1" applyBorder="1" applyAlignment="1">
      <alignment horizontal="center" vertical="center"/>
    </xf>
    <xf numFmtId="176" fontId="0" fillId="14" borderId="1" xfId="0" applyNumberFormat="1" applyFill="1" applyBorder="1"/>
    <xf numFmtId="0" fontId="11" fillId="0" borderId="0" xfId="0" applyFont="1" applyProtection="1">
      <protection locked="0"/>
    </xf>
    <xf numFmtId="176" fontId="0" fillId="0" borderId="0" xfId="0" applyNumberFormat="1" applyProtection="1">
      <protection locked="0"/>
    </xf>
    <xf numFmtId="175" fontId="11" fillId="5" borderId="1" xfId="1" applyNumberFormat="1" applyFont="1" applyFill="1" applyBorder="1" applyProtection="1"/>
    <xf numFmtId="175" fontId="16" fillId="5" borderId="1" xfId="1" applyNumberFormat="1" applyFont="1" applyFill="1" applyBorder="1" applyProtection="1"/>
    <xf numFmtId="0" fontId="31" fillId="0" borderId="2" xfId="0" applyFont="1" applyBorder="1" applyProtection="1">
      <protection locked="0"/>
    </xf>
    <xf numFmtId="0" fontId="0" fillId="0" borderId="3" xfId="0" applyBorder="1" applyAlignment="1" applyProtection="1">
      <alignment horizontal="left" indent="1"/>
      <protection locked="0"/>
    </xf>
    <xf numFmtId="0" fontId="0" fillId="0" borderId="3" xfId="0" applyBorder="1" applyAlignment="1" applyProtection="1">
      <alignment horizontal="center" vertical="center"/>
      <protection locked="0"/>
    </xf>
    <xf numFmtId="0" fontId="0" fillId="0" borderId="5" xfId="0" applyBorder="1" applyProtection="1">
      <protection locked="0"/>
    </xf>
    <xf numFmtId="175" fontId="16" fillId="0" borderId="0" xfId="1" applyNumberFormat="1" applyFont="1" applyFill="1" applyBorder="1" applyProtection="1">
      <protection locked="0"/>
    </xf>
    <xf numFmtId="175" fontId="16" fillId="0" borderId="6" xfId="1" applyNumberFormat="1" applyFont="1" applyFill="1" applyBorder="1" applyProtection="1">
      <protection locked="0"/>
    </xf>
    <xf numFmtId="0" fontId="31" fillId="0" borderId="5" xfId="0" applyFont="1" applyBorder="1" applyProtection="1">
      <protection locked="0"/>
    </xf>
    <xf numFmtId="173" fontId="0" fillId="21" borderId="17" xfId="0" applyNumberFormat="1" applyFill="1" applyBorder="1" applyAlignment="1">
      <alignment horizontal="right" vertical="top"/>
    </xf>
    <xf numFmtId="0" fontId="11" fillId="0" borderId="5" xfId="0" applyFont="1" applyBorder="1" applyAlignment="1" applyProtection="1">
      <alignment horizontal="left" indent="1"/>
      <protection locked="0"/>
    </xf>
    <xf numFmtId="0" fontId="0" fillId="0" borderId="5" xfId="0" applyBorder="1" applyAlignment="1" applyProtection="1">
      <alignment horizontal="left" vertical="top"/>
      <protection locked="0"/>
    </xf>
    <xf numFmtId="0" fontId="12" fillId="0" borderId="5" xfId="0" applyFont="1" applyBorder="1" applyProtection="1">
      <protection locked="0"/>
    </xf>
    <xf numFmtId="175" fontId="16" fillId="5" borderId="6" xfId="1" applyNumberFormat="1" applyFont="1" applyFill="1" applyBorder="1" applyProtection="1"/>
    <xf numFmtId="175" fontId="16" fillId="14" borderId="1" xfId="1" applyNumberFormat="1" applyFont="1" applyFill="1" applyBorder="1" applyProtection="1"/>
    <xf numFmtId="0" fontId="15" fillId="0" borderId="5" xfId="0" applyFont="1" applyBorder="1" applyProtection="1">
      <protection locked="0"/>
    </xf>
    <xf numFmtId="0" fontId="33" fillId="0" borderId="5" xfId="0" applyFont="1" applyBorder="1" applyProtection="1">
      <protection locked="0"/>
    </xf>
    <xf numFmtId="0" fontId="15" fillId="0" borderId="5" xfId="0" applyFont="1" applyBorder="1" applyAlignment="1" applyProtection="1">
      <alignment horizontal="left" vertical="top"/>
      <protection locked="0"/>
    </xf>
    <xf numFmtId="0" fontId="0" fillId="0" borderId="6" xfId="0" applyBorder="1" applyProtection="1">
      <protection locked="0"/>
    </xf>
    <xf numFmtId="0" fontId="15" fillId="0" borderId="15" xfId="0" applyFont="1" applyBorder="1" applyProtection="1">
      <protection locked="0"/>
    </xf>
    <xf numFmtId="0" fontId="0" fillId="0" borderId="7" xfId="0" applyBorder="1" applyAlignment="1" applyProtection="1">
      <alignment horizontal="left" indent="1"/>
      <protection locked="0"/>
    </xf>
    <xf numFmtId="0" fontId="0" fillId="0" borderId="7" xfId="0" applyBorder="1" applyAlignment="1" applyProtection="1">
      <alignment horizontal="center" vertical="center"/>
      <protection locked="0"/>
    </xf>
    <xf numFmtId="176" fontId="0" fillId="0" borderId="7" xfId="0" applyNumberFormat="1"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0" xfId="0" quotePrefix="1" applyProtection="1">
      <protection locked="0"/>
    </xf>
    <xf numFmtId="0" fontId="15" fillId="0" borderId="0" xfId="0" applyFont="1" applyProtection="1">
      <protection locked="0"/>
    </xf>
    <xf numFmtId="0" fontId="0" fillId="24" borderId="2" xfId="0" applyFill="1" applyBorder="1" applyAlignment="1" applyProtection="1">
      <alignment horizontal="left" vertical="top" wrapText="1"/>
      <protection locked="0"/>
    </xf>
    <xf numFmtId="0" fontId="0" fillId="24" borderId="3" xfId="0" applyFill="1" applyBorder="1" applyAlignment="1" applyProtection="1">
      <alignment wrapText="1"/>
      <protection locked="0"/>
    </xf>
    <xf numFmtId="0" fontId="0" fillId="24" borderId="3" xfId="0" applyFill="1" applyBorder="1" applyProtection="1">
      <protection locked="0"/>
    </xf>
    <xf numFmtId="0" fontId="0" fillId="24" borderId="4" xfId="0" applyFill="1" applyBorder="1" applyProtection="1">
      <protection locked="0"/>
    </xf>
    <xf numFmtId="0" fontId="0" fillId="24" borderId="5" xfId="0" applyFill="1" applyBorder="1" applyAlignment="1" applyProtection="1">
      <alignment horizontal="left" indent="1"/>
      <protection locked="0"/>
    </xf>
    <xf numFmtId="0" fontId="0" fillId="24" borderId="0" xfId="0" applyFill="1" applyAlignment="1" applyProtection="1">
      <alignment horizontal="left" indent="1"/>
      <protection locked="0"/>
    </xf>
    <xf numFmtId="0" fontId="0" fillId="24" borderId="0" xfId="0" applyFill="1" applyAlignment="1" applyProtection="1">
      <alignment horizontal="center" vertical="center"/>
      <protection locked="0"/>
    </xf>
    <xf numFmtId="0" fontId="0" fillId="24" borderId="0" xfId="0" applyFill="1" applyProtection="1">
      <protection locked="0"/>
    </xf>
    <xf numFmtId="0" fontId="0" fillId="24" borderId="6" xfId="0" applyFill="1" applyBorder="1" applyProtection="1">
      <protection locked="0"/>
    </xf>
    <xf numFmtId="0" fontId="0" fillId="24" borderId="15" xfId="0" applyFill="1" applyBorder="1" applyAlignment="1" applyProtection="1">
      <alignment horizontal="left" indent="1"/>
      <protection locked="0"/>
    </xf>
    <xf numFmtId="0" fontId="0" fillId="24" borderId="7" xfId="0" applyFill="1" applyBorder="1" applyAlignment="1" applyProtection="1">
      <alignment horizontal="left" indent="1"/>
      <protection locked="0"/>
    </xf>
    <xf numFmtId="0" fontId="0" fillId="24" borderId="7" xfId="0" applyFill="1" applyBorder="1" applyAlignment="1" applyProtection="1">
      <alignment horizontal="center" vertical="center"/>
      <protection locked="0"/>
    </xf>
    <xf numFmtId="0" fontId="0" fillId="24" borderId="7" xfId="0" applyFill="1" applyBorder="1" applyProtection="1">
      <protection locked="0"/>
    </xf>
    <xf numFmtId="0" fontId="0" fillId="24" borderId="8" xfId="0" applyFill="1" applyBorder="1" applyProtection="1">
      <protection locked="0"/>
    </xf>
    <xf numFmtId="0" fontId="8" fillId="2" borderId="3" xfId="3" applyFont="1" applyFill="1" applyBorder="1" applyAlignment="1" applyProtection="1">
      <alignment horizontal="left" indent="1"/>
      <protection locked="0"/>
    </xf>
    <xf numFmtId="0" fontId="26" fillId="2" borderId="3" xfId="3" applyFont="1" applyFill="1" applyBorder="1" applyAlignment="1" applyProtection="1">
      <alignment horizontal="center" vertical="center"/>
      <protection locked="0"/>
    </xf>
    <xf numFmtId="0" fontId="26" fillId="2" borderId="3" xfId="3" applyFont="1" applyFill="1" applyBorder="1" applyAlignment="1" applyProtection="1">
      <alignment horizontal="left"/>
      <protection locked="0"/>
    </xf>
    <xf numFmtId="0" fontId="25" fillId="2" borderId="3" xfId="7" applyFont="1" applyFill="1" applyBorder="1" applyProtection="1">
      <protection locked="0"/>
    </xf>
    <xf numFmtId="0" fontId="25" fillId="2" borderId="4" xfId="7" applyFont="1" applyFill="1" applyBorder="1" applyProtection="1">
      <protection locked="0"/>
    </xf>
    <xf numFmtId="0" fontId="25" fillId="2" borderId="0" xfId="7" applyFont="1" applyFill="1" applyProtection="1">
      <protection locked="0"/>
    </xf>
    <xf numFmtId="0" fontId="25" fillId="2" borderId="7" xfId="7" applyFont="1" applyFill="1" applyBorder="1" applyProtection="1">
      <protection locked="0"/>
    </xf>
    <xf numFmtId="1" fontId="15" fillId="12" borderId="76" xfId="0" applyNumberFormat="1" applyFont="1" applyFill="1" applyBorder="1" applyAlignment="1" applyProtection="1">
      <alignment horizontal="center" vertical="center"/>
      <protection locked="0"/>
    </xf>
    <xf numFmtId="1" fontId="15" fillId="12" borderId="77" xfId="0" applyNumberFormat="1" applyFont="1" applyFill="1" applyBorder="1" applyAlignment="1" applyProtection="1">
      <alignment horizontal="center" vertical="center"/>
      <protection locked="0"/>
    </xf>
    <xf numFmtId="1" fontId="15" fillId="12" borderId="17" xfId="0" applyNumberFormat="1" applyFont="1" applyFill="1" applyBorder="1" applyAlignment="1" applyProtection="1">
      <alignment horizontal="center" vertical="center" wrapText="1"/>
      <protection locked="0"/>
    </xf>
    <xf numFmtId="1" fontId="15" fillId="12" borderId="109" xfId="0" applyNumberFormat="1" applyFont="1" applyFill="1" applyBorder="1" applyAlignment="1" applyProtection="1">
      <alignment horizontal="center" wrapText="1"/>
      <protection locked="0"/>
    </xf>
    <xf numFmtId="0" fontId="15" fillId="22" borderId="0" xfId="0" applyFont="1" applyFill="1" applyAlignment="1" applyProtection="1">
      <alignment horizontal="left" vertical="center"/>
      <protection locked="0"/>
    </xf>
    <xf numFmtId="0" fontId="0" fillId="22" borderId="0" xfId="0" applyFill="1" applyAlignment="1" applyProtection="1">
      <alignment horizontal="center" vertical="center"/>
      <protection locked="0"/>
    </xf>
    <xf numFmtId="0" fontId="0" fillId="22" borderId="0" xfId="0" applyFill="1" applyAlignment="1" applyProtection="1">
      <alignment horizontal="center" vertical="top"/>
      <protection locked="0"/>
    </xf>
    <xf numFmtId="0" fontId="34" fillId="22" borderId="0" xfId="0" applyFont="1" applyFill="1" applyAlignment="1" applyProtection="1">
      <alignment horizontal="left" vertical="top"/>
      <protection locked="0"/>
    </xf>
    <xf numFmtId="0" fontId="0" fillId="22" borderId="0" xfId="0" applyFill="1" applyAlignment="1" applyProtection="1">
      <alignment horizontal="left" vertical="top" indent="1"/>
      <protection locked="0"/>
    </xf>
    <xf numFmtId="0" fontId="15" fillId="14" borderId="0" xfId="0" applyFont="1" applyFill="1" applyAlignment="1" applyProtection="1">
      <alignment horizontal="left" vertical="top" indent="1"/>
      <protection locked="0"/>
    </xf>
    <xf numFmtId="0" fontId="0" fillId="26" borderId="0" xfId="0" applyFill="1" applyAlignment="1" applyProtection="1">
      <alignment horizontal="center" vertical="center"/>
      <protection locked="0"/>
    </xf>
    <xf numFmtId="0" fontId="0" fillId="0" borderId="0" xfId="0" applyAlignment="1" applyProtection="1">
      <alignment horizontal="center" vertical="top"/>
      <protection locked="0"/>
    </xf>
    <xf numFmtId="0" fontId="0" fillId="0" borderId="0" xfId="0" applyAlignment="1" applyProtection="1">
      <alignment horizontal="center" vertical="center" wrapText="1"/>
      <protection locked="0"/>
    </xf>
    <xf numFmtId="173" fontId="0" fillId="23" borderId="10" xfId="0" applyNumberFormat="1" applyFill="1" applyBorder="1" applyAlignment="1" applyProtection="1">
      <alignment horizontal="right" vertical="top"/>
      <protection locked="0"/>
    </xf>
    <xf numFmtId="175" fontId="11" fillId="14" borderId="17" xfId="11" applyNumberFormat="1" applyFont="1" applyFill="1" applyBorder="1" applyAlignment="1" applyProtection="1">
      <alignment vertical="center"/>
    </xf>
    <xf numFmtId="175" fontId="11" fillId="14" borderId="20" xfId="11" applyNumberFormat="1" applyFont="1" applyFill="1" applyBorder="1" applyAlignment="1" applyProtection="1">
      <alignment vertical="center"/>
    </xf>
    <xf numFmtId="0" fontId="0" fillId="0" borderId="0" xfId="0" applyAlignment="1" applyProtection="1">
      <alignment horizontal="left" vertical="top" wrapText="1" indent="1"/>
      <protection locked="0"/>
    </xf>
    <xf numFmtId="175" fontId="11" fillId="14" borderId="104" xfId="11" applyNumberFormat="1" applyFont="1" applyFill="1" applyBorder="1" applyAlignment="1" applyProtection="1">
      <alignment vertical="center"/>
    </xf>
    <xf numFmtId="175" fontId="11" fillId="14" borderId="103" xfId="11" applyNumberFormat="1" applyFont="1" applyFill="1" applyBorder="1" applyAlignment="1" applyProtection="1">
      <alignment vertical="center"/>
    </xf>
    <xf numFmtId="175" fontId="0" fillId="0" borderId="0" xfId="0" applyNumberFormat="1" applyAlignment="1" applyProtection="1">
      <alignment horizontal="left" vertical="top"/>
      <protection locked="0"/>
    </xf>
    <xf numFmtId="173" fontId="0" fillId="14" borderId="10" xfId="0" applyNumberFormat="1" applyFill="1" applyBorder="1" applyAlignment="1">
      <alignment horizontal="right" vertical="top"/>
    </xf>
    <xf numFmtId="173" fontId="11" fillId="5" borderId="76" xfId="1" applyNumberFormat="1" applyFont="1" applyFill="1" applyBorder="1" applyProtection="1"/>
    <xf numFmtId="173" fontId="11" fillId="5" borderId="109" xfId="1" applyNumberFormat="1" applyFont="1" applyFill="1" applyBorder="1" applyProtection="1"/>
    <xf numFmtId="0" fontId="0" fillId="0" borderId="0" xfId="0" applyAlignment="1" applyProtection="1">
      <alignment horizontal="center"/>
      <protection locked="0"/>
    </xf>
    <xf numFmtId="0" fontId="0" fillId="0" borderId="0" xfId="0" applyAlignment="1" applyProtection="1">
      <alignment horizontal="center"/>
      <protection locked="0"/>
    </xf>
    <xf numFmtId="0" fontId="0" fillId="0" borderId="0" xfId="0" applyAlignment="1" applyProtection="1">
      <alignment horizontal="center" wrapText="1"/>
      <protection locked="0"/>
    </xf>
    <xf numFmtId="0" fontId="35" fillId="0" borderId="0" xfId="0" applyFont="1" applyAlignment="1" applyProtection="1">
      <alignment horizontal="center"/>
      <protection locked="0"/>
    </xf>
    <xf numFmtId="10" fontId="0" fillId="21" borderId="77" xfId="0" applyNumberFormat="1" applyFill="1" applyBorder="1" applyAlignment="1">
      <alignment horizontal="right" vertical="top"/>
    </xf>
    <xf numFmtId="10" fontId="0" fillId="0" borderId="0" xfId="0" applyNumberFormat="1" applyAlignment="1" applyProtection="1">
      <alignment horizontal="right" vertical="top"/>
      <protection locked="0"/>
    </xf>
    <xf numFmtId="173" fontId="11" fillId="5" borderId="20" xfId="1" applyNumberFormat="1" applyFont="1" applyFill="1" applyBorder="1" applyProtection="1"/>
    <xf numFmtId="173" fontId="11" fillId="5" borderId="110" xfId="1" applyNumberFormat="1" applyFont="1" applyFill="1" applyBorder="1" applyProtection="1"/>
    <xf numFmtId="173" fontId="11" fillId="5" borderId="33" xfId="1" applyNumberFormat="1" applyFont="1" applyFill="1" applyBorder="1" applyProtection="1"/>
    <xf numFmtId="173" fontId="0" fillId="24" borderId="10" xfId="0" applyNumberFormat="1" applyFill="1" applyBorder="1" applyAlignment="1" applyProtection="1">
      <alignment horizontal="right" vertical="top"/>
      <protection locked="0"/>
    </xf>
    <xf numFmtId="173" fontId="11" fillId="5" borderId="33" xfId="1" applyNumberFormat="1" applyFont="1" applyFill="1" applyBorder="1"/>
    <xf numFmtId="0" fontId="15" fillId="0" borderId="0" xfId="0" applyFont="1" applyAlignment="1" applyProtection="1">
      <alignment horizontal="center" vertical="center" wrapText="1"/>
      <protection locked="0"/>
    </xf>
    <xf numFmtId="173" fontId="11" fillId="14" borderId="16" xfId="11" applyNumberFormat="1" applyFont="1" applyFill="1" applyBorder="1" applyAlignment="1" applyProtection="1">
      <alignment vertical="center"/>
    </xf>
    <xf numFmtId="173" fontId="11" fillId="14" borderId="80" xfId="11" applyNumberFormat="1" applyFont="1" applyFill="1" applyBorder="1" applyAlignment="1" applyProtection="1">
      <alignment vertical="center"/>
    </xf>
    <xf numFmtId="173" fontId="11" fillId="14" borderId="34" xfId="11" applyNumberFormat="1" applyFont="1" applyFill="1" applyBorder="1" applyAlignment="1" applyProtection="1">
      <alignment vertical="center"/>
    </xf>
    <xf numFmtId="173" fontId="11" fillId="14" borderId="111" xfId="11" applyNumberFormat="1" applyFont="1" applyFill="1" applyBorder="1" applyAlignment="1" applyProtection="1">
      <alignment vertical="center"/>
    </xf>
    <xf numFmtId="173" fontId="11" fillId="5" borderId="9" xfId="1" applyNumberFormat="1" applyFont="1" applyFill="1" applyBorder="1" applyProtection="1"/>
    <xf numFmtId="173" fontId="11" fillId="5" borderId="1" xfId="1" applyNumberFormat="1" applyFont="1" applyFill="1" applyBorder="1" applyProtection="1"/>
    <xf numFmtId="10" fontId="0" fillId="21" borderId="76" xfId="0" applyNumberFormat="1" applyFill="1" applyBorder="1" applyAlignment="1">
      <alignment horizontal="right" vertical="top"/>
    </xf>
    <xf numFmtId="173" fontId="11" fillId="5" borderId="16" xfId="1" applyNumberFormat="1" applyFont="1" applyFill="1" applyBorder="1" applyProtection="1"/>
    <xf numFmtId="173" fontId="11" fillId="5" borderId="80" xfId="1" applyNumberFormat="1" applyFont="1" applyFill="1" applyBorder="1" applyProtection="1"/>
    <xf numFmtId="173" fontId="11" fillId="5" borderId="15" xfId="1" applyNumberFormat="1" applyFont="1" applyFill="1" applyBorder="1" applyProtection="1"/>
    <xf numFmtId="173" fontId="11" fillId="5" borderId="112" xfId="1" applyNumberFormat="1" applyFont="1" applyFill="1" applyBorder="1" applyProtection="1"/>
    <xf numFmtId="0" fontId="15" fillId="26" borderId="0" xfId="0" applyFont="1" applyFill="1" applyAlignment="1" applyProtection="1">
      <alignment horizontal="left" vertical="top" indent="1"/>
      <protection locked="0"/>
    </xf>
    <xf numFmtId="0" fontId="0" fillId="0" borderId="0" xfId="0" applyAlignment="1" applyProtection="1">
      <alignment horizontal="center" vertical="top" wrapText="1"/>
      <protection locked="0"/>
    </xf>
    <xf numFmtId="173" fontId="11" fillId="14" borderId="34" xfId="11" applyNumberFormat="1" applyFont="1" applyFill="1" applyBorder="1" applyAlignment="1" applyProtection="1">
      <alignment vertical="top"/>
    </xf>
    <xf numFmtId="173" fontId="11" fillId="14" borderId="111" xfId="11" applyNumberFormat="1" applyFont="1" applyFill="1" applyBorder="1" applyAlignment="1" applyProtection="1">
      <alignment vertical="top"/>
    </xf>
    <xf numFmtId="0" fontId="0" fillId="0" borderId="0" xfId="0" applyAlignment="1" applyProtection="1">
      <alignment vertical="top"/>
      <protection locked="0"/>
    </xf>
    <xf numFmtId="0" fontId="0" fillId="0" borderId="0" xfId="0" applyAlignment="1" applyProtection="1">
      <alignment horizontal="right" vertical="top"/>
      <protection locked="0"/>
    </xf>
    <xf numFmtId="0" fontId="0" fillId="0" borderId="77" xfId="0" applyBorder="1" applyAlignment="1" applyProtection="1">
      <alignment horizontal="center" vertical="top"/>
      <protection locked="0"/>
    </xf>
    <xf numFmtId="0" fontId="15" fillId="0" borderId="0" xfId="0" applyFont="1" applyAlignment="1" applyProtection="1">
      <alignment horizontal="left" vertical="top"/>
      <protection locked="0"/>
    </xf>
    <xf numFmtId="0" fontId="15" fillId="0" borderId="0" xfId="0" applyFont="1" applyAlignment="1" applyProtection="1">
      <alignment horizontal="center" vertical="center"/>
      <protection locked="0"/>
    </xf>
    <xf numFmtId="173" fontId="15" fillId="14" borderId="76" xfId="0" applyNumberFormat="1" applyFont="1" applyFill="1" applyBorder="1" applyAlignment="1">
      <alignment horizontal="right" vertical="top"/>
    </xf>
    <xf numFmtId="173" fontId="0" fillId="14" borderId="77" xfId="0" applyNumberFormat="1" applyFill="1" applyBorder="1" applyAlignment="1">
      <alignment horizontal="right" vertical="top"/>
    </xf>
    <xf numFmtId="173" fontId="0" fillId="14" borderId="109" xfId="0" applyNumberFormat="1" applyFill="1" applyBorder="1" applyAlignment="1">
      <alignment horizontal="right" vertical="top"/>
    </xf>
    <xf numFmtId="0" fontId="0" fillId="0" borderId="0" xfId="0" applyAlignment="1" applyProtection="1">
      <alignment horizontal="left"/>
      <protection locked="0"/>
    </xf>
    <xf numFmtId="173" fontId="0" fillId="14" borderId="23" xfId="0" applyNumberFormat="1" applyFill="1" applyBorder="1" applyAlignment="1">
      <alignment horizontal="right" vertical="top"/>
    </xf>
    <xf numFmtId="0" fontId="15" fillId="0" borderId="0" xfId="0" applyFont="1" applyAlignment="1" applyProtection="1">
      <alignment horizontal="left"/>
      <protection locked="0"/>
    </xf>
    <xf numFmtId="167" fontId="0" fillId="0" borderId="0" xfId="0" applyNumberFormat="1" applyAlignment="1" applyProtection="1">
      <alignment horizontal="right" vertical="top"/>
      <protection locked="0"/>
    </xf>
    <xf numFmtId="0" fontId="12" fillId="0" borderId="0" xfId="0" applyFont="1" applyAlignment="1" applyProtection="1">
      <alignment horizontal="left" vertical="top"/>
      <protection locked="0"/>
    </xf>
    <xf numFmtId="173" fontId="0" fillId="14" borderId="1" xfId="0" applyNumberFormat="1" applyFill="1" applyBorder="1" applyAlignment="1">
      <alignment horizontal="right" vertical="top"/>
    </xf>
    <xf numFmtId="173" fontId="0" fillId="14" borderId="113" xfId="0" applyNumberFormat="1" applyFill="1" applyBorder="1" applyAlignment="1">
      <alignment horizontal="right" vertical="top"/>
    </xf>
    <xf numFmtId="173" fontId="0" fillId="14" borderId="99" xfId="0" applyNumberFormat="1" applyFill="1" applyBorder="1" applyAlignment="1">
      <alignment horizontal="right" vertical="top"/>
    </xf>
    <xf numFmtId="173" fontId="0" fillId="14" borderId="100" xfId="0" applyNumberFormat="1" applyFill="1" applyBorder="1" applyAlignment="1">
      <alignment horizontal="right" vertical="top"/>
    </xf>
    <xf numFmtId="173" fontId="0" fillId="14" borderId="101" xfId="0" applyNumberFormat="1" applyFill="1" applyBorder="1" applyAlignment="1">
      <alignment horizontal="right" vertical="top"/>
    </xf>
    <xf numFmtId="173" fontId="0" fillId="23" borderId="113" xfId="0" applyNumberFormat="1" applyFill="1" applyBorder="1" applyAlignment="1" applyProtection="1">
      <alignment horizontal="right" vertical="top"/>
      <protection locked="0"/>
    </xf>
    <xf numFmtId="175" fontId="11" fillId="14" borderId="1" xfId="1" applyNumberFormat="1" applyFont="1" applyFill="1" applyBorder="1" applyProtection="1"/>
    <xf numFmtId="173" fontId="0" fillId="10" borderId="76" xfId="0" applyNumberFormat="1" applyFill="1" applyBorder="1" applyAlignment="1">
      <alignment horizontal="right" vertical="top"/>
    </xf>
    <xf numFmtId="0" fontId="0" fillId="27" borderId="0" xfId="0" applyFill="1" applyAlignment="1" applyProtection="1">
      <alignment horizontal="left" vertical="top"/>
      <protection locked="0"/>
    </xf>
    <xf numFmtId="173" fontId="0" fillId="21" borderId="10" xfId="0" applyNumberFormat="1" applyFill="1" applyBorder="1" applyAlignment="1">
      <alignment horizontal="right" vertical="top"/>
    </xf>
    <xf numFmtId="173" fontId="0" fillId="21" borderId="28" xfId="0" applyNumberFormat="1" applyFill="1" applyBorder="1" applyAlignment="1">
      <alignment horizontal="right" vertical="top"/>
    </xf>
    <xf numFmtId="0" fontId="0" fillId="14" borderId="114" xfId="0" applyFill="1" applyBorder="1" applyAlignment="1">
      <alignment horizontal="right" vertical="top"/>
    </xf>
    <xf numFmtId="0" fontId="0" fillId="24" borderId="4" xfId="0" applyFill="1" applyBorder="1" applyAlignment="1" applyProtection="1">
      <alignment wrapText="1"/>
      <protection locked="0"/>
    </xf>
    <xf numFmtId="0" fontId="36" fillId="2" borderId="2" xfId="3" applyFont="1" applyFill="1" applyBorder="1" applyAlignment="1" applyProtection="1">
      <alignment horizontal="left"/>
      <protection locked="0"/>
    </xf>
    <xf numFmtId="0" fontId="37" fillId="2" borderId="3" xfId="3" applyFont="1" applyFill="1" applyBorder="1" applyAlignment="1" applyProtection="1">
      <alignment horizontal="left"/>
      <protection locked="0"/>
    </xf>
    <xf numFmtId="0" fontId="38" fillId="2" borderId="3" xfId="3" applyFont="1" applyFill="1" applyBorder="1" applyAlignment="1" applyProtection="1">
      <alignment horizontal="center" vertical="center"/>
      <protection locked="0"/>
    </xf>
    <xf numFmtId="0" fontId="38" fillId="2" borderId="3" xfId="3" applyFont="1" applyFill="1" applyBorder="1" applyAlignment="1" applyProtection="1">
      <alignment horizontal="left"/>
      <protection locked="0"/>
    </xf>
    <xf numFmtId="0" fontId="37" fillId="2" borderId="0" xfId="3" applyFont="1" applyFill="1" applyAlignment="1" applyProtection="1">
      <alignment horizontal="left"/>
      <protection locked="0"/>
    </xf>
    <xf numFmtId="0" fontId="38" fillId="2" borderId="0" xfId="3" applyFont="1" applyFill="1" applyAlignment="1" applyProtection="1">
      <alignment horizontal="center" vertical="center"/>
      <protection locked="0"/>
    </xf>
    <xf numFmtId="0" fontId="38" fillId="2" borderId="0" xfId="3" applyFont="1" applyFill="1" applyAlignment="1" applyProtection="1">
      <alignment horizontal="left"/>
      <protection locked="0"/>
    </xf>
    <xf numFmtId="0" fontId="38" fillId="2" borderId="7" xfId="3" applyFont="1" applyFill="1" applyBorder="1" applyAlignment="1" applyProtection="1">
      <alignment horizontal="center" vertical="center"/>
      <protection locked="0"/>
    </xf>
    <xf numFmtId="0" fontId="38" fillId="2" borderId="7" xfId="3" applyFont="1" applyFill="1" applyBorder="1" applyAlignment="1" applyProtection="1">
      <alignment horizontal="left"/>
      <protection locked="0"/>
    </xf>
    <xf numFmtId="0" fontId="39" fillId="15" borderId="0" xfId="0" applyFont="1" applyFill="1" applyAlignment="1" applyProtection="1">
      <alignment horizontal="left" vertical="top"/>
      <protection locked="0"/>
    </xf>
    <xf numFmtId="0" fontId="0" fillId="0" borderId="0" xfId="0" applyAlignment="1" applyProtection="1">
      <alignment horizontal="right" vertical="top" indent="1"/>
      <protection locked="0"/>
    </xf>
    <xf numFmtId="166" fontId="11" fillId="14" borderId="17" xfId="1" applyFont="1" applyFill="1" applyBorder="1" applyAlignment="1" applyProtection="1">
      <alignment vertical="center"/>
    </xf>
    <xf numFmtId="166" fontId="11" fillId="14" borderId="20" xfId="1" applyFont="1" applyFill="1" applyBorder="1" applyAlignment="1" applyProtection="1">
      <alignment vertical="center"/>
    </xf>
    <xf numFmtId="0" fontId="40" fillId="0" borderId="0" xfId="0" applyFont="1" applyAlignment="1" applyProtection="1">
      <alignment horizontal="left"/>
      <protection locked="0"/>
    </xf>
    <xf numFmtId="3" fontId="0" fillId="21" borderId="0" xfId="0" applyNumberFormat="1" applyFill="1" applyAlignment="1" applyProtection="1">
      <alignment horizontal="left" vertical="top"/>
      <protection locked="0"/>
    </xf>
    <xf numFmtId="2" fontId="11" fillId="6" borderId="1" xfId="7" applyNumberFormat="1" applyFont="1" applyFill="1" applyBorder="1" applyProtection="1">
      <protection locked="0"/>
    </xf>
    <xf numFmtId="0" fontId="0" fillId="9" borderId="0" xfId="0" applyFill="1" applyAlignment="1" applyProtection="1">
      <alignment horizontal="right" vertical="top" indent="1"/>
      <protection locked="0"/>
    </xf>
    <xf numFmtId="0" fontId="0" fillId="9" borderId="0" xfId="0" applyFill="1" applyAlignment="1" applyProtection="1">
      <alignment horizontal="left" vertical="top"/>
      <protection locked="0"/>
    </xf>
    <xf numFmtId="0" fontId="0" fillId="24" borderId="0" xfId="0" applyFill="1" applyAlignment="1" applyProtection="1">
      <alignment horizontal="left" vertical="top"/>
      <protection locked="0"/>
    </xf>
    <xf numFmtId="0" fontId="15" fillId="24" borderId="0" xfId="0" applyFont="1" applyFill="1" applyAlignment="1" applyProtection="1">
      <alignment horizontal="left" vertical="top"/>
      <protection locked="0"/>
    </xf>
    <xf numFmtId="0" fontId="15" fillId="24" borderId="0" xfId="0" applyFont="1" applyFill="1" applyAlignment="1" applyProtection="1">
      <alignment horizontal="center" vertical="center" wrapText="1"/>
      <protection locked="0"/>
    </xf>
    <xf numFmtId="0" fontId="0" fillId="24" borderId="0" xfId="0" applyFill="1" applyAlignment="1" applyProtection="1">
      <alignment horizontal="right" vertical="top"/>
      <protection locked="0"/>
    </xf>
    <xf numFmtId="0" fontId="0" fillId="24" borderId="0" xfId="0" applyFill="1" applyAlignment="1" applyProtection="1">
      <alignment horizontal="left" vertical="top" indent="1"/>
      <protection locked="0"/>
    </xf>
    <xf numFmtId="0" fontId="40" fillId="0" borderId="0" xfId="0" applyFont="1" applyAlignment="1" applyProtection="1">
      <alignment horizontal="left" vertical="top"/>
      <protection locked="0"/>
    </xf>
    <xf numFmtId="173" fontId="15" fillId="14" borderId="77" xfId="0" applyNumberFormat="1" applyFont="1" applyFill="1" applyBorder="1" applyAlignment="1">
      <alignment horizontal="right" vertical="top"/>
    </xf>
    <xf numFmtId="173" fontId="0" fillId="14" borderId="76" xfId="0" applyNumberFormat="1" applyFill="1" applyBorder="1" applyAlignment="1">
      <alignment horizontal="right" vertical="top"/>
    </xf>
    <xf numFmtId="173" fontId="0" fillId="0" borderId="0" xfId="0" applyNumberFormat="1" applyAlignment="1" applyProtection="1">
      <alignment horizontal="right" vertical="top"/>
      <protection locked="0"/>
    </xf>
    <xf numFmtId="0" fontId="3" fillId="8" borderId="1" xfId="7" applyFont="1" applyFill="1" applyBorder="1" applyProtection="1">
      <protection locked="0"/>
    </xf>
    <xf numFmtId="0" fontId="0" fillId="0" borderId="0" xfId="0" applyAlignment="1" applyProtection="1">
      <alignment horizontal="right"/>
      <protection locked="0"/>
    </xf>
    <xf numFmtId="177" fontId="42" fillId="28" borderId="0" xfId="12" applyProtection="1">
      <alignment vertical="center"/>
      <protection locked="0"/>
    </xf>
    <xf numFmtId="177" fontId="43" fillId="28" borderId="0" xfId="12" applyFont="1" applyProtection="1">
      <alignment vertical="center"/>
      <protection locked="0"/>
    </xf>
    <xf numFmtId="0" fontId="33" fillId="0" borderId="0" xfId="0" applyFont="1" applyAlignment="1" applyProtection="1">
      <alignment horizontal="left" vertical="top"/>
      <protection locked="0"/>
    </xf>
    <xf numFmtId="0" fontId="0" fillId="21" borderId="0" xfId="0" applyFill="1" applyAlignment="1" applyProtection="1">
      <alignment horizontal="left" vertical="top"/>
      <protection locked="0"/>
    </xf>
    <xf numFmtId="166" fontId="11" fillId="6" borderId="1" xfId="1" applyFont="1" applyFill="1" applyBorder="1" applyProtection="1">
      <protection locked="0"/>
    </xf>
    <xf numFmtId="0" fontId="8" fillId="2" borderId="3" xfId="3" applyFont="1" applyFill="1" applyBorder="1" applyAlignment="1" applyProtection="1">
      <alignment horizontal="left"/>
      <protection locked="0"/>
    </xf>
    <xf numFmtId="0" fontId="8" fillId="2" borderId="0" xfId="3" applyFont="1" applyFill="1" applyAlignment="1" applyProtection="1">
      <alignment horizontal="left"/>
      <protection locked="0"/>
    </xf>
    <xf numFmtId="0" fontId="4" fillId="2" borderId="7" xfId="3" applyFont="1" applyFill="1" applyBorder="1" applyAlignment="1" applyProtection="1">
      <alignment horizontal="left"/>
      <protection locked="0"/>
    </xf>
    <xf numFmtId="0" fontId="36" fillId="2" borderId="7" xfId="3" applyFont="1" applyFill="1" applyBorder="1" applyAlignment="1" applyProtection="1">
      <alignment horizontal="left"/>
      <protection locked="0"/>
    </xf>
    <xf numFmtId="0" fontId="8" fillId="2" borderId="7" xfId="3" applyFont="1" applyFill="1" applyBorder="1" applyAlignment="1" applyProtection="1">
      <alignment horizontal="left"/>
      <protection locked="0"/>
    </xf>
    <xf numFmtId="0" fontId="26" fillId="0" borderId="0" xfId="3" applyFont="1" applyAlignment="1" applyProtection="1">
      <alignment horizontal="left"/>
      <protection locked="0"/>
    </xf>
    <xf numFmtId="0" fontId="25" fillId="0" borderId="0" xfId="7" applyFont="1" applyProtection="1">
      <protection locked="0"/>
    </xf>
    <xf numFmtId="1" fontId="15" fillId="12" borderId="109" xfId="0" applyNumberFormat="1" applyFont="1" applyFill="1" applyBorder="1" applyAlignment="1" applyProtection="1">
      <alignment horizontal="center" vertical="center"/>
      <protection locked="0"/>
    </xf>
    <xf numFmtId="1" fontId="15" fillId="12" borderId="108" xfId="0" applyNumberFormat="1" applyFont="1" applyFill="1" applyBorder="1" applyAlignment="1" applyProtection="1">
      <alignment horizontal="center" vertical="center" wrapText="1"/>
      <protection locked="0"/>
    </xf>
    <xf numFmtId="1" fontId="15" fillId="12" borderId="109" xfId="0" applyNumberFormat="1" applyFont="1" applyFill="1" applyBorder="1" applyAlignment="1" applyProtection="1">
      <alignment horizontal="center" vertical="center" wrapText="1"/>
      <protection locked="0"/>
    </xf>
    <xf numFmtId="1" fontId="15" fillId="12" borderId="1" xfId="0" applyNumberFormat="1" applyFont="1" applyFill="1" applyBorder="1" applyAlignment="1" applyProtection="1">
      <alignment horizontal="center" vertical="center"/>
      <protection locked="0"/>
    </xf>
    <xf numFmtId="177" fontId="16" fillId="0" borderId="0" xfId="0" applyNumberFormat="1" applyFont="1" applyAlignment="1" applyProtection="1">
      <alignment horizontal="left" vertical="center"/>
      <protection locked="0"/>
    </xf>
    <xf numFmtId="173" fontId="0" fillId="21" borderId="76" xfId="1" applyNumberFormat="1" applyFont="1" applyFill="1" applyBorder="1" applyAlignment="1" applyProtection="1">
      <alignment horizontal="right" vertical="top"/>
    </xf>
    <xf numFmtId="167" fontId="0" fillId="0" borderId="0" xfId="0" applyNumberFormat="1" applyAlignment="1" applyProtection="1">
      <alignment horizontal="center" vertical="center"/>
      <protection locked="0"/>
    </xf>
    <xf numFmtId="0" fontId="32" fillId="0" borderId="0" xfId="0" applyFont="1" applyProtection="1">
      <protection locked="0"/>
    </xf>
    <xf numFmtId="167" fontId="0" fillId="0" borderId="0" xfId="0" applyNumberFormat="1" applyAlignment="1" applyProtection="1">
      <alignment horizontal="left" vertical="top"/>
      <protection locked="0"/>
    </xf>
    <xf numFmtId="177" fontId="11" fillId="0" borderId="0" xfId="0" applyNumberFormat="1" applyFont="1" applyAlignment="1" applyProtection="1">
      <alignment horizontal="left" vertical="center" indent="1"/>
      <protection locked="0"/>
    </xf>
    <xf numFmtId="0" fontId="16" fillId="0" borderId="0" xfId="13" applyFont="1" applyAlignment="1" applyProtection="1">
      <alignment horizontal="left" vertical="center" wrapText="1"/>
      <protection locked="0"/>
    </xf>
    <xf numFmtId="173" fontId="16" fillId="5" borderId="76" xfId="1" applyNumberFormat="1" applyFont="1" applyFill="1" applyBorder="1" applyProtection="1"/>
    <xf numFmtId="173" fontId="16" fillId="5" borderId="77" xfId="1" applyNumberFormat="1" applyFont="1" applyFill="1" applyBorder="1" applyProtection="1"/>
    <xf numFmtId="0" fontId="11" fillId="0" borderId="0" xfId="13" applyFont="1" applyAlignment="1" applyProtection="1">
      <alignment horizontal="left" vertical="center" wrapText="1" indent="1"/>
      <protection locked="0"/>
    </xf>
    <xf numFmtId="173" fontId="11" fillId="24" borderId="27" xfId="11" applyNumberFormat="1" applyFont="1" applyFill="1" applyBorder="1" applyProtection="1">
      <protection locked="0"/>
    </xf>
    <xf numFmtId="0" fontId="11" fillId="7" borderId="76" xfId="7" applyFont="1" applyFill="1" applyBorder="1" applyAlignment="1">
      <alignment horizontal="center" vertical="top"/>
    </xf>
    <xf numFmtId="0" fontId="11" fillId="7" borderId="77" xfId="7" applyFont="1" applyFill="1" applyBorder="1" applyAlignment="1">
      <alignment horizontal="center" vertical="top"/>
    </xf>
    <xf numFmtId="0" fontId="11" fillId="9" borderId="0" xfId="7" applyFont="1" applyFill="1" applyAlignment="1" applyProtection="1">
      <alignment horizontal="center" vertical="top"/>
      <protection locked="0"/>
    </xf>
    <xf numFmtId="173" fontId="11" fillId="0" borderId="0" xfId="11" applyNumberFormat="1" applyFont="1" applyFill="1" applyBorder="1" applyProtection="1">
      <protection locked="0"/>
    </xf>
    <xf numFmtId="0" fontId="29" fillId="0" borderId="0" xfId="0" applyFont="1" applyProtection="1">
      <protection locked="0"/>
    </xf>
    <xf numFmtId="0" fontId="11" fillId="0" borderId="0" xfId="6" applyFont="1" applyAlignment="1" applyProtection="1">
      <alignment horizontal="left" vertical="center" wrapText="1" indent="1"/>
      <protection locked="0"/>
    </xf>
    <xf numFmtId="168" fontId="0" fillId="21" borderId="76" xfId="1" applyNumberFormat="1" applyFont="1" applyFill="1" applyBorder="1" applyAlignment="1" applyProtection="1">
      <alignment horizontal="right"/>
    </xf>
    <xf numFmtId="173" fontId="16" fillId="14" borderId="76" xfId="11" applyNumberFormat="1" applyFont="1" applyFill="1" applyBorder="1" applyAlignment="1" applyProtection="1">
      <alignment horizontal="right" vertical="center"/>
    </xf>
    <xf numFmtId="173" fontId="16" fillId="14" borderId="109" xfId="11" applyNumberFormat="1" applyFont="1" applyFill="1" applyBorder="1" applyAlignment="1" applyProtection="1">
      <alignment horizontal="right" vertical="center"/>
    </xf>
    <xf numFmtId="173" fontId="11" fillId="0" borderId="0" xfId="1" applyNumberFormat="1" applyFont="1" applyFill="1" applyBorder="1" applyProtection="1">
      <protection locked="0"/>
    </xf>
    <xf numFmtId="173" fontId="11" fillId="0" borderId="0" xfId="11" applyNumberFormat="1" applyFont="1" applyFill="1" applyBorder="1" applyAlignment="1" applyProtection="1">
      <alignment horizontal="right" vertical="center"/>
      <protection locked="0"/>
    </xf>
    <xf numFmtId="173" fontId="16" fillId="21" borderId="76" xfId="1" applyNumberFormat="1" applyFont="1" applyFill="1" applyBorder="1" applyProtection="1"/>
    <xf numFmtId="0" fontId="0" fillId="9" borderId="0" xfId="0" applyFill="1" applyProtection="1">
      <protection locked="0"/>
    </xf>
    <xf numFmtId="177" fontId="11" fillId="9" borderId="0" xfId="0" applyNumberFormat="1" applyFont="1" applyFill="1" applyAlignment="1" applyProtection="1">
      <alignment horizontal="left" vertical="center" indent="1"/>
      <protection locked="0"/>
    </xf>
    <xf numFmtId="0" fontId="0" fillId="9" borderId="0" xfId="0" applyFill="1" applyAlignment="1" applyProtection="1">
      <alignment horizontal="center" vertical="center"/>
      <protection locked="0"/>
    </xf>
    <xf numFmtId="173" fontId="16" fillId="9" borderId="78" xfId="1" applyNumberFormat="1" applyFont="1" applyFill="1" applyBorder="1" applyProtection="1">
      <protection locked="0"/>
    </xf>
    <xf numFmtId="173" fontId="16" fillId="9" borderId="78" xfId="11" applyNumberFormat="1" applyFont="1" applyFill="1" applyBorder="1" applyAlignment="1" applyProtection="1">
      <alignment horizontal="right" vertical="center"/>
      <protection locked="0"/>
    </xf>
    <xf numFmtId="177" fontId="16" fillId="0" borderId="0" xfId="0" applyNumberFormat="1" applyFont="1" applyAlignment="1" applyProtection="1">
      <alignment horizontal="left" vertical="center" indent="1"/>
      <protection locked="0"/>
    </xf>
    <xf numFmtId="0" fontId="15" fillId="15" borderId="0" xfId="0" applyFont="1" applyFill="1" applyProtection="1">
      <protection locked="0"/>
    </xf>
    <xf numFmtId="0" fontId="13" fillId="22" borderId="0" xfId="0" applyFont="1" applyFill="1" applyAlignment="1" applyProtection="1">
      <alignment horizontal="left" vertical="top" indent="1"/>
      <protection locked="0"/>
    </xf>
    <xf numFmtId="0" fontId="0" fillId="22" borderId="0" xfId="0" applyFill="1" applyAlignment="1" applyProtection="1">
      <alignment horizontal="left" vertical="top"/>
      <protection locked="0"/>
    </xf>
    <xf numFmtId="165" fontId="11" fillId="22" borderId="76" xfId="1" applyNumberFormat="1" applyFont="1" applyFill="1" applyBorder="1" applyProtection="1"/>
    <xf numFmtId="165" fontId="11" fillId="22" borderId="77" xfId="1" applyNumberFormat="1" applyFont="1" applyFill="1" applyBorder="1" applyProtection="1"/>
    <xf numFmtId="173" fontId="11" fillId="5" borderId="18" xfId="1" applyNumberFormat="1" applyFont="1" applyFill="1" applyBorder="1" applyProtection="1"/>
    <xf numFmtId="173" fontId="11" fillId="5" borderId="77" xfId="1" applyNumberFormat="1" applyFont="1" applyFill="1" applyBorder="1" applyProtection="1"/>
    <xf numFmtId="173" fontId="11" fillId="14" borderId="76" xfId="11" applyNumberFormat="1" applyFont="1" applyFill="1" applyBorder="1" applyAlignment="1" applyProtection="1">
      <alignment horizontal="right" vertical="center"/>
    </xf>
    <xf numFmtId="173" fontId="11" fillId="14" borderId="109" xfId="11" applyNumberFormat="1" applyFont="1" applyFill="1" applyBorder="1" applyAlignment="1" applyProtection="1">
      <alignment horizontal="right" vertical="center"/>
    </xf>
    <xf numFmtId="0" fontId="15" fillId="15" borderId="0" xfId="0" applyFont="1" applyFill="1" applyAlignment="1" applyProtection="1">
      <alignment horizontal="left"/>
      <protection locked="0"/>
    </xf>
    <xf numFmtId="0" fontId="0" fillId="15" borderId="0" xfId="0" applyFill="1" applyAlignment="1" applyProtection="1">
      <alignment horizontal="center" vertical="center" wrapText="1"/>
      <protection locked="0"/>
    </xf>
    <xf numFmtId="0" fontId="13" fillId="22" borderId="0" xfId="0" applyFont="1" applyFill="1" applyAlignment="1" applyProtection="1">
      <alignment horizontal="left" vertical="top"/>
      <protection locked="0"/>
    </xf>
    <xf numFmtId="0" fontId="13" fillId="0" borderId="0" xfId="0" applyFont="1" applyAlignment="1" applyProtection="1">
      <alignment horizontal="left" vertical="top"/>
      <protection locked="0"/>
    </xf>
    <xf numFmtId="0" fontId="0" fillId="13" borderId="0" xfId="0" applyFill="1" applyProtection="1">
      <protection locked="0"/>
    </xf>
    <xf numFmtId="173" fontId="11" fillId="9" borderId="0" xfId="11" applyNumberFormat="1" applyFont="1" applyFill="1" applyBorder="1" applyAlignment="1" applyProtection="1">
      <alignment horizontal="right" vertical="center"/>
      <protection locked="0"/>
    </xf>
    <xf numFmtId="173" fontId="0" fillId="0" borderId="0" xfId="1" applyNumberFormat="1" applyFont="1" applyFill="1" applyBorder="1" applyAlignment="1" applyProtection="1">
      <alignment horizontal="right"/>
      <protection locked="0"/>
    </xf>
    <xf numFmtId="173" fontId="0" fillId="0" borderId="0" xfId="1" applyNumberFormat="1" applyFont="1" applyFill="1" applyBorder="1" applyAlignment="1" applyProtection="1">
      <protection locked="0"/>
    </xf>
    <xf numFmtId="0" fontId="15" fillId="15" borderId="0" xfId="0" applyFont="1" applyFill="1" applyAlignment="1" applyProtection="1">
      <alignment horizontal="left" indent="1"/>
      <protection locked="0"/>
    </xf>
    <xf numFmtId="173" fontId="11" fillId="24" borderId="1" xfId="11" applyNumberFormat="1" applyFont="1" applyFill="1" applyBorder="1" applyProtection="1">
      <protection locked="0"/>
    </xf>
    <xf numFmtId="173" fontId="15" fillId="21" borderId="76" xfId="1" applyNumberFormat="1" applyFont="1" applyFill="1" applyBorder="1" applyAlignment="1" applyProtection="1">
      <alignment horizontal="right"/>
    </xf>
    <xf numFmtId="173" fontId="11" fillId="21" borderId="17" xfId="1" applyNumberFormat="1" applyFont="1" applyFill="1" applyBorder="1" applyProtection="1"/>
    <xf numFmtId="0" fontId="0" fillId="21" borderId="0" xfId="0" applyFill="1" applyAlignment="1" applyProtection="1">
      <alignment horizontal="left" indent="1"/>
      <protection locked="0"/>
    </xf>
    <xf numFmtId="173" fontId="11" fillId="21" borderId="27" xfId="1" applyNumberFormat="1" applyFont="1" applyFill="1" applyBorder="1" applyProtection="1"/>
    <xf numFmtId="173" fontId="15" fillId="14" borderId="76" xfId="1" applyNumberFormat="1" applyFont="1" applyFill="1" applyBorder="1" applyAlignment="1" applyProtection="1">
      <alignment horizontal="right"/>
    </xf>
    <xf numFmtId="0" fontId="29" fillId="0" borderId="0" xfId="0" applyFont="1" applyAlignment="1" applyProtection="1">
      <alignment horizontal="left" vertical="top"/>
      <protection locked="0"/>
    </xf>
    <xf numFmtId="178" fontId="0" fillId="0" borderId="0" xfId="0" applyNumberFormat="1" applyAlignment="1" applyProtection="1">
      <alignment horizontal="center" vertical="center"/>
      <protection locked="0"/>
    </xf>
    <xf numFmtId="178" fontId="0" fillId="0" borderId="0" xfId="0" applyNumberFormat="1" applyAlignment="1" applyProtection="1">
      <alignment horizontal="left" vertical="top"/>
      <protection locked="0"/>
    </xf>
    <xf numFmtId="173" fontId="0" fillId="21" borderId="27" xfId="1" applyNumberFormat="1" applyFont="1" applyFill="1" applyBorder="1" applyAlignment="1" applyProtection="1">
      <alignment horizontal="right"/>
    </xf>
    <xf numFmtId="10" fontId="0" fillId="0" borderId="0" xfId="2" applyNumberFormat="1" applyFont="1" applyProtection="1">
      <protection locked="0"/>
    </xf>
    <xf numFmtId="173" fontId="11" fillId="14" borderId="17" xfId="1" applyNumberFormat="1" applyFont="1" applyFill="1" applyBorder="1" applyProtection="1"/>
    <xf numFmtId="175" fontId="0" fillId="24" borderId="17" xfId="1" applyNumberFormat="1" applyFont="1" applyFill="1" applyBorder="1" applyAlignment="1" applyProtection="1">
      <alignment horizontal="right" vertical="top"/>
      <protection locked="0"/>
    </xf>
    <xf numFmtId="173" fontId="11" fillId="24" borderId="17" xfId="1" applyNumberFormat="1" applyFont="1" applyFill="1" applyBorder="1" applyProtection="1">
      <protection locked="0"/>
    </xf>
    <xf numFmtId="0" fontId="11" fillId="0" borderId="0" xfId="13" applyFont="1" applyAlignment="1" applyProtection="1">
      <alignment horizontal="left" vertical="center" wrapText="1"/>
      <protection locked="0"/>
    </xf>
    <xf numFmtId="173" fontId="11" fillId="5" borderId="114" xfId="1" applyNumberFormat="1" applyFont="1" applyFill="1" applyBorder="1" applyProtection="1"/>
    <xf numFmtId="173" fontId="11" fillId="5" borderId="115" xfId="1" applyNumberFormat="1" applyFont="1" applyFill="1" applyBorder="1" applyProtection="1"/>
    <xf numFmtId="0" fontId="11" fillId="0" borderId="0" xfId="7" applyFont="1" applyAlignment="1" applyProtection="1">
      <alignment horizontal="center" vertical="top"/>
      <protection locked="0"/>
    </xf>
    <xf numFmtId="9" fontId="0" fillId="21" borderId="13" xfId="1" applyNumberFormat="1" applyFont="1" applyFill="1" applyBorder="1" applyAlignment="1" applyProtection="1">
      <alignment horizontal="right"/>
    </xf>
    <xf numFmtId="9" fontId="11" fillId="14" borderId="110" xfId="7" applyNumberFormat="1" applyFont="1" applyFill="1" applyBorder="1" applyAlignment="1">
      <alignment vertical="top"/>
    </xf>
    <xf numFmtId="9" fontId="11" fillId="14" borderId="32" xfId="7" applyNumberFormat="1" applyFont="1" applyFill="1" applyBorder="1" applyAlignment="1">
      <alignment vertical="top"/>
    </xf>
    <xf numFmtId="173" fontId="0" fillId="14" borderId="17" xfId="0" applyNumberFormat="1" applyFill="1" applyBorder="1"/>
    <xf numFmtId="173" fontId="0" fillId="14" borderId="18" xfId="0" applyNumberFormat="1" applyFill="1" applyBorder="1"/>
    <xf numFmtId="173" fontId="0" fillId="14" borderId="116" xfId="0" applyNumberFormat="1" applyFill="1" applyBorder="1"/>
    <xf numFmtId="173" fontId="0" fillId="14" borderId="117" xfId="0" applyNumberFormat="1" applyFill="1" applyBorder="1"/>
    <xf numFmtId="173" fontId="0" fillId="21" borderId="76" xfId="0" applyNumberFormat="1" applyFill="1" applyBorder="1"/>
    <xf numFmtId="165" fontId="0" fillId="14" borderId="76" xfId="0" applyNumberFormat="1" applyFill="1" applyBorder="1"/>
    <xf numFmtId="165" fontId="0" fillId="14" borderId="77" xfId="0" applyNumberFormat="1" applyFill="1" applyBorder="1"/>
    <xf numFmtId="165" fontId="0" fillId="21" borderId="104" xfId="0" applyNumberFormat="1" applyFill="1" applyBorder="1"/>
    <xf numFmtId="165" fontId="0" fillId="21" borderId="113" xfId="0" applyNumberFormat="1" applyFill="1" applyBorder="1"/>
    <xf numFmtId="165" fontId="0" fillId="14" borderId="76" xfId="0" applyNumberFormat="1" applyFill="1" applyBorder="1" applyAlignment="1">
      <alignment horizontal="right"/>
    </xf>
    <xf numFmtId="165" fontId="0" fillId="14" borderId="77" xfId="0" applyNumberFormat="1" applyFill="1" applyBorder="1" applyAlignment="1">
      <alignment horizontal="right"/>
    </xf>
    <xf numFmtId="176" fontId="0" fillId="14" borderId="17" xfId="0" applyNumberFormat="1" applyFill="1" applyBorder="1" applyAlignment="1">
      <alignment horizontal="right" vertical="top"/>
    </xf>
    <xf numFmtId="167" fontId="0" fillId="14" borderId="18" xfId="0" applyNumberFormat="1" applyFill="1" applyBorder="1" applyAlignment="1">
      <alignment horizontal="right" vertical="top"/>
    </xf>
    <xf numFmtId="173" fontId="0" fillId="14" borderId="116" xfId="0" applyNumberFormat="1" applyFill="1" applyBorder="1" applyAlignment="1">
      <alignment horizontal="right" vertical="top"/>
    </xf>
    <xf numFmtId="173" fontId="0" fillId="14" borderId="117" xfId="0" applyNumberFormat="1" applyFill="1" applyBorder="1" applyAlignment="1">
      <alignment horizontal="right" vertical="top"/>
    </xf>
    <xf numFmtId="0" fontId="26" fillId="2" borderId="3" xfId="3" applyFont="1" applyFill="1" applyBorder="1" applyAlignment="1" applyProtection="1">
      <alignment horizontal="center"/>
      <protection locked="0"/>
    </xf>
    <xf numFmtId="0" fontId="26" fillId="2" borderId="0" xfId="3" applyFont="1" applyFill="1" applyAlignment="1" applyProtection="1">
      <alignment horizontal="center"/>
      <protection locked="0"/>
    </xf>
    <xf numFmtId="0" fontId="16" fillId="0" borderId="0" xfId="0" applyFont="1" applyAlignment="1" applyProtection="1">
      <alignment horizontal="left" vertical="top"/>
      <protection locked="0"/>
    </xf>
    <xf numFmtId="0" fontId="13" fillId="0" borderId="0" xfId="0" applyFont="1" applyAlignment="1" applyProtection="1">
      <alignment horizontal="left" vertical="top" indent="1"/>
      <protection locked="0"/>
    </xf>
    <xf numFmtId="1" fontId="0" fillId="0" borderId="0" xfId="0" applyNumberFormat="1" applyAlignment="1" applyProtection="1">
      <alignment horizontal="center" vertical="top"/>
      <protection locked="0"/>
    </xf>
    <xf numFmtId="173" fontId="11" fillId="23" borderId="18" xfId="11" applyNumberFormat="1" applyFont="1" applyFill="1" applyBorder="1" applyProtection="1">
      <protection locked="0"/>
    </xf>
    <xf numFmtId="173" fontId="3" fillId="3" borderId="1" xfId="7" applyNumberFormat="1" applyFont="1" applyFill="1" applyBorder="1"/>
    <xf numFmtId="173" fontId="16" fillId="14" borderId="17" xfId="11" applyNumberFormat="1" applyFont="1" applyFill="1" applyBorder="1" applyProtection="1"/>
    <xf numFmtId="173" fontId="16" fillId="14" borderId="18" xfId="11" applyNumberFormat="1" applyFont="1" applyFill="1" applyBorder="1" applyProtection="1"/>
    <xf numFmtId="0" fontId="0" fillId="0" borderId="0" xfId="0" applyAlignment="1" applyProtection="1">
      <alignment horizontal="left" vertical="top" indent="2"/>
      <protection locked="0"/>
    </xf>
    <xf numFmtId="173" fontId="11" fillId="24" borderId="22" xfId="11" applyNumberFormat="1" applyFont="1" applyFill="1" applyBorder="1" applyProtection="1">
      <protection locked="0"/>
    </xf>
    <xf numFmtId="0" fontId="15" fillId="0" borderId="0" xfId="0" applyFont="1" applyAlignment="1" applyProtection="1">
      <alignment vertical="top"/>
      <protection locked="0"/>
    </xf>
    <xf numFmtId="173" fontId="16" fillId="14" borderId="116" xfId="11" applyNumberFormat="1" applyFont="1" applyFill="1" applyBorder="1" applyProtection="1"/>
    <xf numFmtId="173" fontId="16" fillId="24" borderId="116" xfId="11" applyNumberFormat="1" applyFont="1" applyFill="1" applyBorder="1" applyProtection="1">
      <protection locked="0"/>
    </xf>
    <xf numFmtId="173" fontId="16" fillId="14" borderId="13" xfId="11" applyNumberFormat="1" applyFont="1" applyFill="1" applyBorder="1" applyProtection="1"/>
    <xf numFmtId="166" fontId="0" fillId="0" borderId="0" xfId="0" applyNumberFormat="1" applyAlignment="1" applyProtection="1">
      <alignment horizontal="center" vertical="top"/>
      <protection locked="0"/>
    </xf>
    <xf numFmtId="173" fontId="16" fillId="14" borderId="76" xfId="11" applyNumberFormat="1" applyFont="1" applyFill="1" applyBorder="1" applyProtection="1"/>
    <xf numFmtId="43" fontId="0" fillId="0" borderId="0" xfId="0" applyNumberFormat="1" applyAlignment="1" applyProtection="1">
      <alignment horizontal="center" vertical="top"/>
      <protection locked="0"/>
    </xf>
    <xf numFmtId="173" fontId="16" fillId="14" borderId="118" xfId="11" applyNumberFormat="1" applyFont="1" applyFill="1" applyBorder="1" applyProtection="1"/>
    <xf numFmtId="173" fontId="16" fillId="14" borderId="79" xfId="11" applyNumberFormat="1" applyFont="1" applyFill="1" applyBorder="1" applyProtection="1"/>
    <xf numFmtId="179" fontId="11" fillId="0" borderId="0" xfId="11" applyNumberFormat="1" applyFont="1" applyFill="1" applyBorder="1" applyAlignment="1" applyProtection="1">
      <alignment horizontal="center"/>
      <protection locked="0"/>
    </xf>
    <xf numFmtId="179" fontId="11" fillId="10" borderId="76" xfId="11" applyNumberFormat="1" applyFont="1" applyFill="1" applyBorder="1" applyAlignment="1" applyProtection="1">
      <alignment horizontal="center"/>
    </xf>
    <xf numFmtId="179" fontId="11" fillId="10" borderId="118" xfId="11" applyNumberFormat="1" applyFont="1" applyFill="1" applyBorder="1" applyAlignment="1" applyProtection="1">
      <alignment horizontal="center"/>
    </xf>
    <xf numFmtId="179" fontId="11" fillId="10" borderId="79" xfId="11" applyNumberFormat="1" applyFont="1" applyFill="1" applyBorder="1" applyAlignment="1" applyProtection="1">
      <alignment horizontal="center"/>
    </xf>
    <xf numFmtId="173" fontId="16" fillId="0" borderId="0" xfId="11" applyNumberFormat="1" applyFont="1" applyFill="1" applyBorder="1" applyProtection="1">
      <protection locked="0"/>
    </xf>
    <xf numFmtId="169" fontId="11" fillId="14" borderId="1" xfId="11" applyNumberFormat="1" applyFont="1" applyFill="1" applyBorder="1" applyProtection="1"/>
    <xf numFmtId="173" fontId="44" fillId="0" borderId="0" xfId="11" applyNumberFormat="1" applyFont="1" applyFill="1" applyBorder="1" applyProtection="1">
      <protection locked="0"/>
    </xf>
    <xf numFmtId="1" fontId="0" fillId="0" borderId="0" xfId="0" applyNumberFormat="1" applyAlignment="1" applyProtection="1">
      <alignment vertical="top"/>
      <protection locked="0"/>
    </xf>
    <xf numFmtId="168" fontId="0" fillId="0" borderId="0" xfId="0" applyNumberFormat="1" applyAlignment="1" applyProtection="1">
      <alignment horizontal="center" vertical="top"/>
      <protection locked="0"/>
    </xf>
    <xf numFmtId="178" fontId="16" fillId="0" borderId="0" xfId="11" applyNumberFormat="1" applyFont="1" applyFill="1" applyBorder="1" applyProtection="1">
      <protection locked="0"/>
    </xf>
    <xf numFmtId="176" fontId="16" fillId="14" borderId="76" xfId="11" applyNumberFormat="1" applyFont="1" applyFill="1" applyBorder="1" applyProtection="1"/>
    <xf numFmtId="176" fontId="0" fillId="0" borderId="0" xfId="0" applyNumberFormat="1" applyAlignment="1" applyProtection="1">
      <alignment horizontal="left" vertical="top"/>
      <protection locked="0"/>
    </xf>
    <xf numFmtId="10" fontId="0" fillId="21" borderId="17" xfId="0" applyNumberFormat="1" applyFill="1" applyBorder="1" applyAlignment="1">
      <alignment horizontal="right" vertical="top"/>
    </xf>
    <xf numFmtId="10" fontId="0" fillId="21" borderId="27" xfId="0" applyNumberFormat="1" applyFill="1" applyBorder="1" applyAlignment="1">
      <alignment horizontal="right" vertical="top"/>
    </xf>
    <xf numFmtId="165" fontId="0" fillId="21" borderId="110" xfId="0" applyNumberFormat="1" applyFill="1" applyBorder="1" applyAlignment="1">
      <alignment horizontal="right" vertical="top"/>
    </xf>
    <xf numFmtId="10" fontId="11" fillId="14" borderId="76" xfId="11" applyNumberFormat="1" applyFont="1" applyFill="1" applyBorder="1" applyProtection="1"/>
    <xf numFmtId="10" fontId="11" fillId="14" borderId="77" xfId="11" applyNumberFormat="1" applyFont="1" applyFill="1" applyBorder="1" applyProtection="1"/>
    <xf numFmtId="0" fontId="32" fillId="0" borderId="0" xfId="0" applyFont="1" applyAlignment="1" applyProtection="1">
      <alignment horizontal="center"/>
      <protection locked="0"/>
    </xf>
    <xf numFmtId="178" fontId="0" fillId="0" borderId="0" xfId="0" applyNumberFormat="1" applyProtection="1">
      <protection locked="0"/>
    </xf>
    <xf numFmtId="173" fontId="11" fillId="5" borderId="104" xfId="1" applyNumberFormat="1" applyFont="1" applyFill="1" applyBorder="1" applyProtection="1"/>
    <xf numFmtId="173" fontId="11" fillId="5" borderId="113" xfId="1" applyNumberFormat="1" applyFont="1" applyFill="1" applyBorder="1" applyProtection="1"/>
    <xf numFmtId="173" fontId="11" fillId="5" borderId="14" xfId="1" applyNumberFormat="1" applyFont="1" applyFill="1" applyBorder="1" applyProtection="1"/>
    <xf numFmtId="173" fontId="11" fillId="5" borderId="32" xfId="1" applyNumberFormat="1" applyFont="1" applyFill="1" applyBorder="1" applyProtection="1"/>
    <xf numFmtId="173" fontId="0" fillId="0" borderId="0" xfId="0" applyNumberFormat="1" applyProtection="1">
      <protection locked="0"/>
    </xf>
    <xf numFmtId="0" fontId="45" fillId="2" borderId="7" xfId="3" applyFont="1" applyFill="1" applyBorder="1" applyAlignment="1" applyProtection="1">
      <alignment horizontal="center"/>
      <protection locked="0"/>
    </xf>
    <xf numFmtId="0" fontId="27" fillId="0" borderId="0" xfId="3" applyFont="1" applyAlignment="1" applyProtection="1">
      <alignment horizontal="left"/>
      <protection locked="0"/>
    </xf>
    <xf numFmtId="0" fontId="46" fillId="0" borderId="0" xfId="0" applyFont="1" applyProtection="1">
      <protection locked="0"/>
    </xf>
    <xf numFmtId="0" fontId="13" fillId="22" borderId="0" xfId="0" applyFont="1" applyFill="1" applyAlignment="1" applyProtection="1">
      <alignment vertical="top"/>
      <protection locked="0"/>
    </xf>
    <xf numFmtId="0" fontId="13" fillId="22" borderId="0" xfId="0" applyFont="1" applyFill="1" applyAlignment="1" applyProtection="1">
      <alignment horizontal="left" vertical="top" wrapText="1"/>
      <protection locked="0"/>
    </xf>
    <xf numFmtId="0" fontId="15" fillId="0" borderId="0" xfId="0" applyFont="1" applyAlignment="1" applyProtection="1">
      <alignment wrapText="1"/>
      <protection locked="0"/>
    </xf>
    <xf numFmtId="173" fontId="0" fillId="24" borderId="76" xfId="0" applyNumberFormat="1" applyFill="1" applyBorder="1" applyAlignment="1" applyProtection="1">
      <alignment horizontal="right" vertical="center"/>
      <protection locked="0"/>
    </xf>
    <xf numFmtId="0" fontId="47" fillId="0" borderId="0" xfId="0" applyFont="1" applyProtection="1">
      <protection locked="0"/>
    </xf>
    <xf numFmtId="173" fontId="0" fillId="0" borderId="0" xfId="0" applyNumberFormat="1" applyAlignment="1" applyProtection="1">
      <alignment horizontal="right" vertical="center"/>
      <protection locked="0"/>
    </xf>
    <xf numFmtId="177" fontId="16" fillId="0" borderId="0" xfId="0" applyNumberFormat="1" applyFont="1" applyAlignment="1" applyProtection="1">
      <alignment vertical="center"/>
      <protection locked="0"/>
    </xf>
    <xf numFmtId="173" fontId="11" fillId="0" borderId="0" xfId="0" applyNumberFormat="1" applyFont="1" applyAlignment="1" applyProtection="1">
      <alignment horizontal="left" vertical="center" indent="1"/>
      <protection locked="0"/>
    </xf>
    <xf numFmtId="173" fontId="0" fillId="0" borderId="0" xfId="0" applyNumberFormat="1" applyAlignment="1" applyProtection="1">
      <alignment horizontal="center" vertical="center"/>
      <protection locked="0"/>
    </xf>
    <xf numFmtId="177" fontId="29" fillId="0" borderId="0" xfId="0" applyNumberFormat="1" applyFont="1" applyAlignment="1" applyProtection="1">
      <alignment horizontal="left" vertical="center" indent="1"/>
      <protection locked="0"/>
    </xf>
    <xf numFmtId="173" fontId="0" fillId="14" borderId="76" xfId="0" applyNumberFormat="1" applyFill="1" applyBorder="1" applyAlignment="1">
      <alignment horizontal="right" vertical="center"/>
    </xf>
    <xf numFmtId="173" fontId="0" fillId="14" borderId="77" xfId="0" applyNumberFormat="1" applyFill="1" applyBorder="1" applyAlignment="1">
      <alignment horizontal="right" vertical="center"/>
    </xf>
    <xf numFmtId="168" fontId="0" fillId="21" borderId="76" xfId="0" applyNumberFormat="1" applyFill="1" applyBorder="1" applyAlignment="1">
      <alignment horizontal="right" vertical="top"/>
    </xf>
    <xf numFmtId="165" fontId="11" fillId="21" borderId="76" xfId="1" applyNumberFormat="1" applyFont="1" applyFill="1" applyBorder="1" applyProtection="1"/>
    <xf numFmtId="165" fontId="11" fillId="21" borderId="77" xfId="1" applyNumberFormat="1" applyFont="1" applyFill="1" applyBorder="1" applyProtection="1"/>
    <xf numFmtId="0" fontId="16" fillId="15" borderId="0" xfId="13" applyFont="1" applyFill="1" applyAlignment="1" applyProtection="1">
      <alignment horizontal="left" vertical="center" wrapText="1"/>
      <protection locked="0"/>
    </xf>
    <xf numFmtId="0" fontId="11" fillId="15" borderId="0" xfId="13" applyFont="1" applyFill="1" applyAlignment="1" applyProtection="1">
      <alignment horizontal="left" vertical="center" wrapText="1"/>
      <protection locked="0"/>
    </xf>
    <xf numFmtId="173" fontId="11" fillId="0" borderId="0" xfId="11" applyNumberFormat="1" applyFont="1" applyProtection="1">
      <protection locked="0"/>
    </xf>
    <xf numFmtId="173" fontId="11" fillId="23" borderId="1" xfId="11" applyNumberFormat="1" applyFont="1" applyFill="1" applyBorder="1" applyProtection="1">
      <protection locked="0"/>
    </xf>
    <xf numFmtId="1" fontId="15" fillId="0" borderId="0" xfId="0" applyNumberFormat="1" applyFont="1" applyAlignment="1" applyProtection="1">
      <alignment horizontal="center" vertical="top"/>
      <protection locked="0"/>
    </xf>
    <xf numFmtId="173" fontId="11" fillId="14" borderId="27" xfId="11" applyNumberFormat="1" applyFont="1" applyFill="1" applyBorder="1" applyProtection="1"/>
    <xf numFmtId="0" fontId="15" fillId="26" borderId="0" xfId="0" applyFont="1" applyFill="1" applyAlignment="1" applyProtection="1">
      <alignment horizontal="left" vertical="center" indent="1"/>
      <protection locked="0"/>
    </xf>
    <xf numFmtId="0" fontId="0" fillId="26" borderId="0" xfId="0" applyFill="1" applyAlignment="1" applyProtection="1">
      <alignment horizontal="left" vertical="top"/>
      <protection locked="0"/>
    </xf>
    <xf numFmtId="0" fontId="0" fillId="15" borderId="0" xfId="0" applyFill="1" applyProtection="1">
      <protection locked="0"/>
    </xf>
    <xf numFmtId="14" fontId="0" fillId="0" borderId="0" xfId="0" applyNumberFormat="1" applyProtection="1">
      <protection locked="0"/>
    </xf>
    <xf numFmtId="167" fontId="0" fillId="0" borderId="0" xfId="0" applyNumberFormat="1" applyProtection="1">
      <protection locked="0"/>
    </xf>
    <xf numFmtId="0" fontId="0" fillId="26" borderId="0" xfId="0" applyFill="1" applyProtection="1">
      <protection locked="0"/>
    </xf>
    <xf numFmtId="0" fontId="0" fillId="29" borderId="9" xfId="0" applyFill="1" applyBorder="1" applyAlignment="1" applyProtection="1">
      <alignment horizontal="center"/>
      <protection locked="0"/>
    </xf>
    <xf numFmtId="0" fontId="0" fillId="29" borderId="78" xfId="0" applyFill="1" applyBorder="1" applyAlignment="1" applyProtection="1">
      <alignment horizontal="center"/>
      <protection locked="0"/>
    </xf>
    <xf numFmtId="0" fontId="0" fillId="29" borderId="79" xfId="0" applyFill="1" applyBorder="1" applyAlignment="1" applyProtection="1">
      <alignment horizontal="center"/>
      <protection locked="0"/>
    </xf>
    <xf numFmtId="0" fontId="0" fillId="29" borderId="1" xfId="0" applyFill="1" applyBorder="1" applyProtection="1">
      <protection locked="0"/>
    </xf>
    <xf numFmtId="0" fontId="0" fillId="24" borderId="1" xfId="0" applyFill="1" applyBorder="1" applyProtection="1">
      <protection locked="0"/>
    </xf>
    <xf numFmtId="166" fontId="0" fillId="24" borderId="76" xfId="0" applyNumberFormat="1" applyFill="1" applyBorder="1" applyAlignment="1" applyProtection="1">
      <alignment horizontal="right" vertical="center"/>
      <protection locked="0"/>
    </xf>
    <xf numFmtId="166" fontId="0" fillId="14" borderId="13" xfId="0" applyNumberFormat="1" applyFill="1" applyBorder="1" applyAlignment="1">
      <alignment horizontal="right" vertical="top"/>
    </xf>
    <xf numFmtId="166" fontId="0" fillId="24" borderId="1" xfId="0" applyNumberFormat="1" applyFill="1" applyBorder="1" applyAlignment="1" applyProtection="1">
      <alignment horizontal="right" vertical="top"/>
      <protection locked="0"/>
    </xf>
    <xf numFmtId="166" fontId="0" fillId="0" borderId="0" xfId="0" applyNumberFormat="1" applyProtection="1">
      <protection locked="0"/>
    </xf>
    <xf numFmtId="166" fontId="0" fillId="24" borderId="17" xfId="0" applyNumberFormat="1" applyFill="1" applyBorder="1" applyAlignment="1" applyProtection="1">
      <alignment horizontal="right" vertical="top"/>
      <protection locked="0"/>
    </xf>
    <xf numFmtId="166" fontId="0" fillId="14" borderId="1" xfId="0" applyNumberFormat="1" applyFill="1" applyBorder="1"/>
    <xf numFmtId="169" fontId="0" fillId="0" borderId="0" xfId="0" applyNumberFormat="1" applyProtection="1">
      <protection locked="0"/>
    </xf>
    <xf numFmtId="169" fontId="0" fillId="24" borderId="17" xfId="0" applyNumberFormat="1" applyFill="1" applyBorder="1" applyAlignment="1" applyProtection="1">
      <alignment horizontal="right" vertical="top"/>
      <protection locked="0"/>
    </xf>
    <xf numFmtId="0" fontId="0" fillId="0" borderId="0" xfId="0" applyAlignment="1" applyProtection="1">
      <alignment horizontal="left" vertical="center"/>
      <protection locked="0"/>
    </xf>
    <xf numFmtId="169" fontId="0" fillId="14" borderId="17" xfId="0" applyNumberFormat="1" applyFill="1" applyBorder="1" applyAlignment="1">
      <alignment horizontal="right" vertical="top"/>
    </xf>
    <xf numFmtId="169" fontId="15" fillId="0" borderId="0" xfId="0" applyNumberFormat="1" applyFont="1" applyProtection="1">
      <protection locked="0"/>
    </xf>
    <xf numFmtId="166" fontId="0" fillId="14" borderId="17" xfId="0" applyNumberFormat="1" applyFill="1" applyBorder="1" applyAlignment="1">
      <alignment horizontal="right" vertical="top"/>
    </xf>
    <xf numFmtId="166" fontId="0" fillId="0" borderId="0" xfId="0" applyNumberFormat="1" applyAlignment="1" applyProtection="1">
      <alignment horizontal="right" vertical="top"/>
      <protection locked="0"/>
    </xf>
    <xf numFmtId="0" fontId="0" fillId="24" borderId="2" xfId="0" applyFill="1" applyBorder="1" applyAlignment="1" applyProtection="1">
      <alignment vertical="top" wrapText="1"/>
      <protection locked="0"/>
    </xf>
    <xf numFmtId="0" fontId="0" fillId="24" borderId="3" xfId="0" applyFill="1" applyBorder="1" applyAlignment="1" applyProtection="1">
      <alignment vertical="top" wrapText="1"/>
      <protection locked="0"/>
    </xf>
    <xf numFmtId="0" fontId="0" fillId="24" borderId="5" xfId="0" applyFill="1" applyBorder="1" applyAlignment="1" applyProtection="1">
      <alignment horizontal="left"/>
      <protection locked="0"/>
    </xf>
    <xf numFmtId="0" fontId="0" fillId="24" borderId="0" xfId="0" applyFill="1" applyAlignment="1" applyProtection="1">
      <alignment horizontal="left"/>
      <protection locked="0"/>
    </xf>
    <xf numFmtId="0" fontId="0" fillId="24" borderId="15" xfId="0" applyFill="1" applyBorder="1" applyAlignment="1" applyProtection="1">
      <alignment horizontal="left"/>
      <protection locked="0"/>
    </xf>
    <xf numFmtId="0" fontId="0" fillId="24" borderId="7" xfId="0" applyFill="1" applyBorder="1" applyAlignment="1" applyProtection="1">
      <alignment horizontal="left"/>
      <protection locked="0"/>
    </xf>
    <xf numFmtId="0" fontId="0" fillId="0" borderId="1" xfId="0" applyBorder="1" applyAlignment="1" applyProtection="1">
      <alignment horizontal="center" vertical="top"/>
      <protection locked="0"/>
    </xf>
    <xf numFmtId="0" fontId="15" fillId="15" borderId="0" xfId="0" applyFont="1" applyFill="1" applyAlignment="1" applyProtection="1">
      <alignment horizontal="left" vertical="top"/>
      <protection locked="0"/>
    </xf>
    <xf numFmtId="173" fontId="0" fillId="0" borderId="1" xfId="0" applyNumberFormat="1" applyBorder="1" applyAlignment="1" applyProtection="1">
      <alignment horizontal="right" vertical="top"/>
      <protection locked="0"/>
    </xf>
    <xf numFmtId="0" fontId="0" fillId="15" borderId="12" xfId="0" applyFill="1" applyBorder="1" applyAlignment="1" applyProtection="1">
      <alignment horizontal="center" vertical="top" wrapText="1"/>
      <protection locked="0"/>
    </xf>
    <xf numFmtId="0" fontId="0" fillId="15" borderId="94" xfId="0" applyFill="1" applyBorder="1" applyAlignment="1" applyProtection="1">
      <alignment horizontal="center" vertical="top" wrapText="1"/>
      <protection locked="0"/>
    </xf>
    <xf numFmtId="0" fontId="0" fillId="15" borderId="112" xfId="0" applyFill="1" applyBorder="1" applyAlignment="1" applyProtection="1">
      <alignment horizontal="center" vertical="top" wrapText="1"/>
      <protection locked="0"/>
    </xf>
    <xf numFmtId="14" fontId="11" fillId="24" borderId="1" xfId="11" applyNumberFormat="1" applyFont="1" applyFill="1" applyBorder="1" applyProtection="1">
      <protection locked="0"/>
    </xf>
    <xf numFmtId="14" fontId="11" fillId="9" borderId="0" xfId="11" applyNumberFormat="1" applyFont="1" applyFill="1" applyBorder="1" applyProtection="1">
      <protection locked="0"/>
    </xf>
    <xf numFmtId="0" fontId="11" fillId="24" borderId="1" xfId="11" applyNumberFormat="1" applyFont="1" applyFill="1" applyBorder="1" applyAlignment="1" applyProtection="1">
      <alignment horizontal="center" vertical="center"/>
      <protection locked="0"/>
    </xf>
    <xf numFmtId="14" fontId="11" fillId="21" borderId="0" xfId="11" applyNumberFormat="1" applyFont="1" applyFill="1" applyBorder="1" applyAlignment="1" applyProtection="1">
      <alignment horizontal="center" vertical="center"/>
      <protection locked="0"/>
    </xf>
    <xf numFmtId="14" fontId="11" fillId="9" borderId="0" xfId="11" applyNumberFormat="1" applyFont="1" applyFill="1" applyBorder="1" applyAlignment="1" applyProtection="1">
      <alignment horizontal="center" vertical="center"/>
      <protection locked="0"/>
    </xf>
    <xf numFmtId="173" fontId="0" fillId="0" borderId="0" xfId="0" applyNumberFormat="1" applyAlignment="1" applyProtection="1">
      <alignment horizontal="right"/>
      <protection locked="0"/>
    </xf>
    <xf numFmtId="173" fontId="11" fillId="5" borderId="1" xfId="1" applyNumberFormat="1" applyFont="1" applyFill="1" applyBorder="1" applyAlignment="1" applyProtection="1">
      <alignment horizontal="right"/>
    </xf>
    <xf numFmtId="177" fontId="11" fillId="0" borderId="0" xfId="0" applyNumberFormat="1" applyFont="1" applyAlignment="1" applyProtection="1">
      <alignment vertical="center"/>
      <protection locked="0"/>
    </xf>
    <xf numFmtId="173" fontId="0" fillId="24" borderId="1" xfId="0" applyNumberFormat="1" applyFill="1" applyBorder="1" applyAlignment="1" applyProtection="1">
      <alignment horizontal="right" vertical="top"/>
      <protection locked="0"/>
    </xf>
    <xf numFmtId="0" fontId="48" fillId="2" borderId="0" xfId="9" applyFont="1" applyFill="1"/>
    <xf numFmtId="0" fontId="49" fillId="2" borderId="0" xfId="9" applyFont="1" applyFill="1"/>
    <xf numFmtId="0" fontId="49" fillId="2" borderId="6" xfId="9" applyFont="1" applyFill="1" applyBorder="1"/>
    <xf numFmtId="0" fontId="49" fillId="30" borderId="0" xfId="9" applyFont="1" applyFill="1"/>
    <xf numFmtId="0" fontId="48" fillId="2" borderId="7" xfId="9" applyFont="1" applyFill="1" applyBorder="1"/>
    <xf numFmtId="0" fontId="49" fillId="2" borderId="7" xfId="9" applyFont="1" applyFill="1" applyBorder="1"/>
    <xf numFmtId="0" fontId="49" fillId="2" borderId="8" xfId="9" applyFont="1" applyFill="1" applyBorder="1"/>
    <xf numFmtId="0" fontId="22" fillId="0" borderId="0" xfId="9" applyFont="1"/>
    <xf numFmtId="0" fontId="5" fillId="0" borderId="0" xfId="9" applyFont="1"/>
    <xf numFmtId="0" fontId="5" fillId="0" borderId="0" xfId="9" applyFont="1" applyAlignment="1">
      <alignment horizontal="left"/>
    </xf>
    <xf numFmtId="0" fontId="1" fillId="0" borderId="0" xfId="9"/>
    <xf numFmtId="0" fontId="16" fillId="0" borderId="0" xfId="9" applyFont="1" applyAlignment="1">
      <alignment horizontal="left"/>
    </xf>
    <xf numFmtId="0" fontId="11" fillId="0" borderId="0" xfId="9" applyFont="1"/>
    <xf numFmtId="0" fontId="11" fillId="0" borderId="0" xfId="9" applyFont="1" applyAlignment="1">
      <alignment horizontal="left"/>
    </xf>
    <xf numFmtId="0" fontId="22" fillId="0" borderId="0" xfId="9" applyFont="1" applyAlignment="1">
      <alignment horizontal="left"/>
    </xf>
    <xf numFmtId="0" fontId="15" fillId="15" borderId="0" xfId="0" applyFont="1" applyFill="1" applyAlignment="1">
      <alignment horizontal="left" vertical="top" indent="1"/>
    </xf>
    <xf numFmtId="0" fontId="0" fillId="15" borderId="0" xfId="0" applyFill="1" applyAlignment="1">
      <alignment horizontal="center" vertical="center"/>
    </xf>
    <xf numFmtId="0" fontId="0" fillId="15" borderId="0" xfId="0" applyFill="1" applyAlignment="1">
      <alignment horizontal="left" vertical="top"/>
    </xf>
    <xf numFmtId="0" fontId="0" fillId="15" borderId="0" xfId="0" applyFill="1" applyAlignment="1">
      <alignment horizontal="center" vertical="top"/>
    </xf>
    <xf numFmtId="0" fontId="2" fillId="0" borderId="0" xfId="9" applyFont="1"/>
    <xf numFmtId="10" fontId="2" fillId="0" borderId="0" xfId="9" applyNumberFormat="1" applyFont="1"/>
    <xf numFmtId="10" fontId="1" fillId="0" borderId="0" xfId="9" applyNumberFormat="1"/>
    <xf numFmtId="180" fontId="2" fillId="0" borderId="0" xfId="9" applyNumberFormat="1" applyFont="1" applyAlignment="1">
      <alignment horizontal="left" vertical="center" indent="1"/>
    </xf>
    <xf numFmtId="1" fontId="11" fillId="21" borderId="1" xfId="9" applyNumberFormat="1" applyFont="1" applyFill="1" applyBorder="1" applyAlignment="1">
      <alignment vertical="center"/>
    </xf>
    <xf numFmtId="0" fontId="16" fillId="0" borderId="0" xfId="14" applyFont="1"/>
    <xf numFmtId="0" fontId="2" fillId="0" borderId="0" xfId="15"/>
    <xf numFmtId="0" fontId="11" fillId="0" borderId="0" xfId="14" applyFont="1" applyAlignment="1">
      <alignment horizontal="center"/>
    </xf>
    <xf numFmtId="181" fontId="2" fillId="0" borderId="0" xfId="9" applyNumberFormat="1" applyFont="1"/>
    <xf numFmtId="0" fontId="11" fillId="0" borderId="0" xfId="14" applyFont="1"/>
    <xf numFmtId="17" fontId="11" fillId="0" borderId="0" xfId="14" applyNumberFormat="1" applyFont="1" applyAlignment="1">
      <alignment horizontal="center"/>
    </xf>
    <xf numFmtId="0" fontId="11" fillId="12" borderId="1" xfId="14" applyFont="1" applyFill="1" applyBorder="1" applyAlignment="1">
      <alignment horizontal="center"/>
    </xf>
    <xf numFmtId="0" fontId="11" fillId="31" borderId="2" xfId="0" applyFont="1" applyFill="1" applyBorder="1"/>
    <xf numFmtId="0" fontId="11" fillId="31" borderId="3" xfId="0" applyFont="1" applyFill="1" applyBorder="1"/>
    <xf numFmtId="0" fontId="11" fillId="31" borderId="4" xfId="0" applyFont="1" applyFill="1" applyBorder="1"/>
    <xf numFmtId="10" fontId="2" fillId="0" borderId="1" xfId="16" applyNumberFormat="1" applyFont="1" applyFill="1" applyBorder="1" applyProtection="1"/>
    <xf numFmtId="10" fontId="0" fillId="0" borderId="1" xfId="16" applyNumberFormat="1" applyFont="1" applyFill="1" applyBorder="1"/>
    <xf numFmtId="0" fontId="11" fillId="31" borderId="5" xfId="0" applyFont="1" applyFill="1" applyBorder="1"/>
    <xf numFmtId="0" fontId="11" fillId="31" borderId="0" xfId="0" applyFont="1" applyFill="1"/>
    <xf numFmtId="0" fontId="11" fillId="31" borderId="6" xfId="0" applyFont="1" applyFill="1" applyBorder="1"/>
    <xf numFmtId="0" fontId="11" fillId="31" borderId="15" xfId="0" applyFont="1" applyFill="1" applyBorder="1"/>
    <xf numFmtId="0" fontId="11" fillId="31" borderId="7" xfId="0" applyFont="1" applyFill="1" applyBorder="1"/>
    <xf numFmtId="0" fontId="11" fillId="31" borderId="8" xfId="0" applyFont="1" applyFill="1" applyBorder="1"/>
    <xf numFmtId="165" fontId="2" fillId="0" borderId="0" xfId="2" applyNumberFormat="1" applyFont="1"/>
    <xf numFmtId="165" fontId="0" fillId="0" borderId="0" xfId="2" applyNumberFormat="1" applyFont="1"/>
    <xf numFmtId="165" fontId="1" fillId="0" borderId="0" xfId="2" applyNumberFormat="1" applyFont="1"/>
    <xf numFmtId="2" fontId="2" fillId="0" borderId="0" xfId="9" applyNumberFormat="1" applyFont="1"/>
    <xf numFmtId="2" fontId="0" fillId="0" borderId="0" xfId="9" applyNumberFormat="1" applyFont="1"/>
    <xf numFmtId="2" fontId="11" fillId="21" borderId="1" xfId="14" applyNumberFormat="1" applyFont="1" applyFill="1" applyBorder="1"/>
    <xf numFmtId="180" fontId="0" fillId="0" borderId="0" xfId="9" applyNumberFormat="1" applyFont="1" applyAlignment="1">
      <alignment horizontal="left" vertical="center" indent="1"/>
    </xf>
    <xf numFmtId="10" fontId="11" fillId="14" borderId="1" xfId="17" applyNumberFormat="1" applyFont="1" applyFill="1" applyBorder="1" applyProtection="1"/>
    <xf numFmtId="0" fontId="15" fillId="0" borderId="0" xfId="9" applyFont="1"/>
    <xf numFmtId="182" fontId="0" fillId="0" borderId="0" xfId="18" applyFont="1" applyAlignment="1">
      <alignment horizontal="left" indent="1"/>
    </xf>
    <xf numFmtId="0" fontId="11" fillId="31" borderId="12" xfId="0" applyFont="1" applyFill="1" applyBorder="1"/>
    <xf numFmtId="183" fontId="42" fillId="0" borderId="1" xfId="18" applyNumberFormat="1" applyFont="1" applyBorder="1" applyAlignment="1">
      <alignment vertical="center"/>
    </xf>
    <xf numFmtId="0" fontId="11" fillId="31" borderId="94" xfId="0" applyFont="1" applyFill="1" applyBorder="1"/>
    <xf numFmtId="0" fontId="11" fillId="31" borderId="112" xfId="0" applyFont="1" applyFill="1" applyBorder="1"/>
    <xf numFmtId="0" fontId="48" fillId="2" borderId="0" xfId="9" applyFont="1" applyFill="1" applyProtection="1">
      <protection locked="0"/>
    </xf>
    <xf numFmtId="0" fontId="49" fillId="2" borderId="0" xfId="9" applyFont="1" applyFill="1" applyProtection="1">
      <protection locked="0"/>
    </xf>
    <xf numFmtId="0" fontId="49" fillId="2" borderId="6" xfId="9" applyFont="1" applyFill="1" applyBorder="1" applyProtection="1">
      <protection locked="0"/>
    </xf>
    <xf numFmtId="0" fontId="49" fillId="0" borderId="0" xfId="9" applyFont="1" applyProtection="1">
      <protection locked="0"/>
    </xf>
    <xf numFmtId="0" fontId="1" fillId="0" borderId="0" xfId="9" applyProtection="1">
      <protection locked="0"/>
    </xf>
    <xf numFmtId="0" fontId="48" fillId="2" borderId="7" xfId="9" applyFont="1" applyFill="1" applyBorder="1" applyProtection="1">
      <protection locked="0"/>
    </xf>
    <xf numFmtId="0" fontId="49" fillId="2" borderId="7" xfId="9" applyFont="1" applyFill="1" applyBorder="1" applyProtection="1">
      <protection locked="0"/>
    </xf>
    <xf numFmtId="0" fontId="49" fillId="2" borderId="8" xfId="9" applyFont="1" applyFill="1" applyBorder="1" applyProtection="1">
      <protection locked="0"/>
    </xf>
    <xf numFmtId="177" fontId="49" fillId="0" borderId="0" xfId="9" applyNumberFormat="1" applyFont="1" applyAlignment="1" applyProtection="1">
      <alignment vertical="center"/>
      <protection locked="0"/>
    </xf>
    <xf numFmtId="0" fontId="2" fillId="0" borderId="0" xfId="9" applyFont="1" applyProtection="1">
      <protection locked="0"/>
    </xf>
    <xf numFmtId="184" fontId="16" fillId="0" borderId="0" xfId="0" applyNumberFormat="1" applyFont="1" applyAlignment="1" applyProtection="1">
      <alignment horizontal="center" vertical="center" wrapText="1"/>
      <protection locked="0"/>
    </xf>
    <xf numFmtId="0" fontId="16" fillId="0" borderId="0" xfId="0" applyFont="1" applyAlignment="1" applyProtection="1">
      <alignment horizontal="center" vertical="center" wrapText="1"/>
      <protection locked="0"/>
    </xf>
    <xf numFmtId="10" fontId="16" fillId="0" borderId="0" xfId="19" applyFont="1" applyFill="1" applyAlignment="1" applyProtection="1">
      <alignment horizontal="center" vertical="center" wrapText="1"/>
      <protection locked="0"/>
    </xf>
    <xf numFmtId="10" fontId="16" fillId="0" borderId="0" xfId="0" applyNumberFormat="1" applyFont="1" applyAlignment="1" applyProtection="1">
      <alignment horizontal="center" vertical="center" wrapText="1"/>
      <protection locked="0"/>
    </xf>
    <xf numFmtId="0" fontId="16" fillId="0" borderId="0" xfId="20" applyNumberFormat="1" applyFont="1" applyAlignment="1" applyProtection="1">
      <alignment horizontal="center" vertical="center" wrapText="1"/>
      <protection locked="0"/>
    </xf>
    <xf numFmtId="0" fontId="16" fillId="0" borderId="0" xfId="0" applyFont="1" applyProtection="1">
      <protection locked="0"/>
    </xf>
    <xf numFmtId="14" fontId="11" fillId="0" borderId="0" xfId="0" applyNumberFormat="1" applyFont="1"/>
    <xf numFmtId="1" fontId="11" fillId="0" borderId="0" xfId="0" applyNumberFormat="1" applyFont="1"/>
    <xf numFmtId="0" fontId="11" fillId="0" borderId="1" xfId="0" applyFont="1" applyBorder="1" applyProtection="1">
      <protection locked="0"/>
    </xf>
    <xf numFmtId="10" fontId="11" fillId="21" borderId="1" xfId="19" applyFont="1" applyFill="1" applyBorder="1" applyAlignment="1" applyProtection="1"/>
    <xf numFmtId="173" fontId="11" fillId="14" borderId="1" xfId="20" applyNumberFormat="1" applyFont="1" applyFill="1" applyBorder="1" applyProtection="1"/>
    <xf numFmtId="167" fontId="12" fillId="0" borderId="0" xfId="21" applyNumberFormat="1" applyFont="1" applyProtection="1">
      <protection locked="0"/>
    </xf>
    <xf numFmtId="10" fontId="0" fillId="0" borderId="0" xfId="22" applyNumberFormat="1" applyFont="1" applyProtection="1">
      <protection locked="0"/>
    </xf>
    <xf numFmtId="172" fontId="0" fillId="0" borderId="0" xfId="22" applyNumberFormat="1" applyFont="1" applyProtection="1">
      <protection locked="0"/>
    </xf>
    <xf numFmtId="185" fontId="11" fillId="0" borderId="0" xfId="0" applyNumberFormat="1" applyFont="1" applyProtection="1">
      <protection locked="0"/>
    </xf>
    <xf numFmtId="0" fontId="11" fillId="15" borderId="1" xfId="0" applyFont="1" applyFill="1" applyBorder="1" applyProtection="1">
      <protection locked="0"/>
    </xf>
    <xf numFmtId="14" fontId="11" fillId="0" borderId="0" xfId="0" applyNumberFormat="1" applyFont="1" applyProtection="1">
      <protection locked="0"/>
    </xf>
    <xf numFmtId="184" fontId="29" fillId="0" borderId="0" xfId="0" applyNumberFormat="1" applyFont="1" applyProtection="1">
      <protection locked="0"/>
    </xf>
    <xf numFmtId="10" fontId="11" fillId="0" borderId="0" xfId="19" applyFont="1" applyFill="1" applyAlignment="1" applyProtection="1">
      <protection locked="0"/>
    </xf>
    <xf numFmtId="173" fontId="11" fillId="0" borderId="0" xfId="20" applyNumberFormat="1" applyFont="1" applyFill="1" applyProtection="1">
      <protection locked="0"/>
    </xf>
    <xf numFmtId="184" fontId="11" fillId="0" borderId="0" xfId="0" applyNumberFormat="1" applyFont="1" applyProtection="1">
      <protection locked="0"/>
    </xf>
  </cellXfs>
  <cellStyles count="23">
    <cellStyle name="%" xfId="6" xr:uid="{F1CC6759-90C2-459B-8844-ED897079E236}"/>
    <cellStyle name="% 114 2" xfId="14" xr:uid="{70A0951F-D358-4D58-97F3-633CB94390AA}"/>
    <cellStyle name="=C:\WINNT\SYSTEM32\COMMAND.COM 2 2 2" xfId="5" xr:uid="{C2C8F773-6450-4665-B2DF-28F0ED87B941}"/>
    <cellStyle name="Comma" xfId="1" builtinId="3"/>
    <cellStyle name="Comma 2" xfId="11" xr:uid="{6883EB07-457A-452D-98CF-6D76C63A6C89}"/>
    <cellStyle name="Comma 27 2" xfId="21" xr:uid="{5A7C6E98-3B63-44D5-A2CE-0D129BB8DE3E}"/>
    <cellStyle name="Comma 3 10" xfId="20" xr:uid="{2C601FD2-514F-4185-BAC0-A03501E7A71D}"/>
    <cellStyle name="Comment" xfId="12" xr:uid="{12DB4C69-9214-4698-83DA-F053DEECBE7D}"/>
    <cellStyle name="Hyperlink" xfId="4" builtinId="8"/>
    <cellStyle name="Normal" xfId="0" builtinId="0"/>
    <cellStyle name="Normal 10 2 2 2 2" xfId="18" xr:uid="{24A77D66-5BD4-42F8-A6C0-9F993704AA98}"/>
    <cellStyle name="Normal 2 130 2 2" xfId="9" xr:uid="{2898EF9B-7BDC-4055-A67D-180F8B2349EA}"/>
    <cellStyle name="Normal 3 2" xfId="8" xr:uid="{632F0BC2-1E6F-48E4-A947-1BE9EB9756AF}"/>
    <cellStyle name="Normal 4 2 2" xfId="7" xr:uid="{31F59803-10F7-4C09-A973-366F10AFFE2F}"/>
    <cellStyle name="Normal 61" xfId="3" xr:uid="{2D57C9E7-E06E-4299-BB1A-BB2D6BC191D5}"/>
    <cellStyle name="Normal 61 3 2" xfId="15" xr:uid="{77D16AB1-CBE2-4D0A-AE7A-13148E81B162}"/>
    <cellStyle name="Normal 70" xfId="10" xr:uid="{7DB62D99-9BC5-4315-A1B5-0D65329CEB68}"/>
    <cellStyle name="Normal_Opex Tables 2 2 2" xfId="13" xr:uid="{1F84A374-3EDD-464F-BBD5-9872E83CD686}"/>
    <cellStyle name="Percent" xfId="2" builtinId="5"/>
    <cellStyle name="Percent 2 10" xfId="16" xr:uid="{44AFFD6B-1A87-4E5C-8E46-8F4B6F35156B}"/>
    <cellStyle name="Percent 2 6 18" xfId="22" xr:uid="{79AC51A6-C339-4326-BE7C-E2D8C2D27CE4}"/>
    <cellStyle name="Percent 3 10" xfId="19" xr:uid="{67A33C75-63B0-4E7B-AE6A-F7585FE1CB55}"/>
    <cellStyle name="Percent 3 2 4" xfId="17" xr:uid="{2A7AB0AD-44E4-48C1-B8A0-06E8FEDA49C5}"/>
  </cellStyles>
  <dxfs count="94">
    <dxf>
      <border>
        <right style="thin">
          <color auto="1"/>
        </right>
        <vertical/>
        <horizontal/>
      </border>
    </dxf>
    <dxf>
      <border>
        <right style="thin">
          <color auto="1"/>
        </right>
        <vertical/>
        <horizontal/>
      </border>
    </dxf>
    <dxf>
      <border>
        <right style="thin">
          <color auto="1"/>
        </right>
        <vertical/>
        <horizontal/>
      </border>
    </dxf>
    <dxf>
      <fill>
        <patternFill>
          <bgColor rgb="FFFFFFCC"/>
        </patternFill>
      </fill>
    </dxf>
    <dxf>
      <fill>
        <patternFill patternType="darkUp">
          <fgColor rgb="FFC0C0C0"/>
          <bgColor theme="0"/>
        </patternFill>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darkUp">
          <fgColor rgb="FFC0C0C0"/>
        </patternFill>
      </fill>
    </dxf>
    <dxf>
      <fill>
        <patternFill patternType="darkUp">
          <fgColor rgb="FFC0C0C0"/>
        </patternFill>
      </fill>
    </dxf>
    <dxf>
      <fill>
        <patternFill patternType="darkUp">
          <fgColor rgb="FFC0C0C0"/>
        </patternFill>
      </fill>
    </dxf>
    <dxf>
      <fill>
        <patternFill patternType="lightUp"/>
      </fill>
    </dxf>
    <dxf>
      <fill>
        <patternFill patternType="lightUp"/>
      </fill>
    </dxf>
    <dxf>
      <fill>
        <patternFill patternType="lightUp"/>
      </fill>
    </dxf>
    <dxf>
      <fill>
        <patternFill patternType="lightUp"/>
      </fill>
    </dxf>
    <dxf>
      <border>
        <right style="thin">
          <color auto="1"/>
        </right>
        <vertical/>
        <horizontal/>
      </border>
    </dxf>
    <dxf>
      <fill>
        <patternFill patternType="darkUp">
          <fgColor rgb="FFC0C0C0"/>
        </patternFill>
      </fill>
    </dxf>
    <dxf>
      <border>
        <right style="thin">
          <color auto="1"/>
        </right>
        <vertical/>
        <horizontal/>
      </border>
    </dxf>
    <dxf>
      <fill>
        <patternFill patternType="darkUp">
          <fgColor rgb="FFC0C0C0"/>
        </patternFill>
      </fill>
    </dxf>
    <dxf>
      <fill>
        <patternFill patternType="lightUp"/>
      </fill>
    </dxf>
    <dxf>
      <fill>
        <patternFill patternType="lightUp"/>
      </fill>
    </dxf>
    <dxf>
      <fill>
        <patternFill patternType="lightUp"/>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lightDown"/>
      </fill>
    </dxf>
    <dxf>
      <fill>
        <patternFill patternType="darkUp">
          <fgColor rgb="FFC0C0C0"/>
        </patternFill>
      </fill>
    </dxf>
    <dxf>
      <fill>
        <patternFill patternType="lightDown"/>
      </fill>
    </dxf>
    <dxf>
      <fill>
        <patternFill patternType="lightDown">
          <bgColor theme="0" tint="-4.9989318521683403E-2"/>
        </patternFill>
      </fill>
    </dxf>
    <dxf>
      <fill>
        <patternFill patternType="darkUp">
          <fgColor rgb="FFC0C0C0"/>
        </patternFill>
      </fill>
    </dxf>
    <dxf>
      <fill>
        <patternFill patternType="lightDown"/>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border>
        <right style="thin">
          <color auto="1"/>
        </right>
        <vertical/>
        <horizontal/>
      </border>
    </dxf>
    <dxf>
      <border>
        <right style="thin">
          <color auto="1"/>
        </right>
        <vertical/>
        <horizontal/>
      </border>
    </dxf>
    <dxf>
      <fill>
        <patternFill patternType="lightDown"/>
      </fill>
    </dxf>
    <dxf>
      <fill>
        <patternFill patternType="lightDown"/>
      </fill>
    </dxf>
    <dxf>
      <fill>
        <patternFill patternType="lightDown"/>
      </fill>
    </dxf>
    <dxf>
      <fill>
        <patternFill patternType="lightDown"/>
      </fill>
    </dxf>
    <dxf>
      <fill>
        <patternFill patternType="darkUp">
          <fgColor rgb="FFC0C0C0"/>
        </patternFill>
      </fill>
    </dxf>
    <dxf>
      <fill>
        <patternFill patternType="lightDown"/>
      </fill>
    </dxf>
    <dxf>
      <fill>
        <patternFill patternType="lightDown"/>
      </fill>
    </dxf>
    <dxf>
      <fill>
        <patternFill patternType="darkUp">
          <fgColor rgb="FFC0C0C0"/>
        </patternFill>
      </fill>
    </dxf>
    <dxf>
      <fill>
        <patternFill patternType="lightDown"/>
      </fill>
    </dxf>
    <dxf>
      <fill>
        <patternFill patternType="darkUp">
          <fgColor rgb="FFC0C0C0"/>
        </patternFill>
      </fill>
    </dxf>
    <dxf>
      <fill>
        <patternFill patternType="darkUp">
          <fgColor rgb="FFC0C0C0"/>
        </patternFill>
      </fill>
    </dxf>
    <dxf>
      <fill>
        <patternFill>
          <fgColor auto="1"/>
          <bgColor theme="7" tint="0.79998168889431442"/>
        </patternFill>
      </fill>
    </dxf>
    <dxf>
      <fill>
        <patternFill patternType="lightDown"/>
      </fill>
    </dxf>
    <dxf>
      <border>
        <right style="thin">
          <color auto="1"/>
        </right>
        <vertical/>
        <horizontal/>
      </border>
    </dxf>
    <dxf>
      <border>
        <right style="thin">
          <color auto="1"/>
        </right>
        <vertical/>
        <horizontal/>
      </border>
    </dxf>
    <dxf>
      <border>
        <right style="thin">
          <color auto="1"/>
        </right>
        <vertical/>
        <horizontal/>
      </border>
    </dxf>
    <dxf>
      <fill>
        <patternFill patternType="darkUp">
          <fgColor rgb="FFC0C0C0"/>
        </patternFill>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3.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4.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5.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6.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7.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8.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9.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10.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11.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12.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13.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2059781</xdr:colOff>
      <xdr:row>1</xdr:row>
      <xdr:rowOff>158</xdr:rowOff>
    </xdr:to>
    <xdr:pic>
      <xdr:nvPicPr>
        <xdr:cNvPr id="2" name="Picture 1" descr="image of the Ofgem logo" title="Ofgem logo">
          <a:extLst>
            <a:ext uri="{FF2B5EF4-FFF2-40B4-BE49-F238E27FC236}">
              <a16:creationId xmlns:a16="http://schemas.microsoft.com/office/drawing/2014/main" id="{BE173829-E34D-4FF5-A97D-05F288A459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751931" cy="724058"/>
        </a:xfrm>
        <a:prstGeom prst="rect">
          <a:avLst/>
        </a:prstGeom>
      </xdr:spPr>
    </xdr:pic>
    <xdr:clientData/>
  </xdr:twoCellAnchor>
  <xdr:twoCellAnchor editAs="oneCell">
    <xdr:from>
      <xdr:col>0</xdr:col>
      <xdr:colOff>1</xdr:colOff>
      <xdr:row>0</xdr:row>
      <xdr:rowOff>0</xdr:rowOff>
    </xdr:from>
    <xdr:to>
      <xdr:col>1</xdr:col>
      <xdr:colOff>2197385</xdr:colOff>
      <xdr:row>1</xdr:row>
      <xdr:rowOff>1810</xdr:rowOff>
    </xdr:to>
    <xdr:pic>
      <xdr:nvPicPr>
        <xdr:cNvPr id="3" name="Picture 2" descr="image of the Ofgem logo" title="Ofgem logo">
          <a:extLst>
            <a:ext uri="{FF2B5EF4-FFF2-40B4-BE49-F238E27FC236}">
              <a16:creationId xmlns:a16="http://schemas.microsoft.com/office/drawing/2014/main" id="{783CE1B9-C942-4AF1-AF83-9DB74D56DD7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 y="0"/>
          <a:ext cx="2889534" cy="725710"/>
        </a:xfrm>
        <a:prstGeom prst="rect">
          <a:avLst/>
        </a:prstGeom>
      </xdr:spPr>
    </xdr:pic>
    <xdr:clientData/>
  </xdr:twoCellAnchor>
  <xdr:twoCellAnchor editAs="oneCell">
    <xdr:from>
      <xdr:col>5</xdr:col>
      <xdr:colOff>179140</xdr:colOff>
      <xdr:row>0</xdr:row>
      <xdr:rowOff>183509</xdr:rowOff>
    </xdr:from>
    <xdr:to>
      <xdr:col>5</xdr:col>
      <xdr:colOff>1055312</xdr:colOff>
      <xdr:row>0</xdr:row>
      <xdr:rowOff>569271</xdr:rowOff>
    </xdr:to>
    <xdr:pic>
      <xdr:nvPicPr>
        <xdr:cNvPr id="4" name="Picture 3" title="white box">
          <a:extLst>
            <a:ext uri="{FF2B5EF4-FFF2-40B4-BE49-F238E27FC236}">
              <a16:creationId xmlns:a16="http://schemas.microsoft.com/office/drawing/2014/main" id="{78B99E97-AC22-4914-ABA5-78B5A901C39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799140" y="183509"/>
          <a:ext cx="876172" cy="38576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1</xdr:row>
      <xdr:rowOff>0</xdr:rowOff>
    </xdr:from>
    <xdr:to>
      <xdr:col>4</xdr:col>
      <xdr:colOff>116417</xdr:colOff>
      <xdr:row>2</xdr:row>
      <xdr:rowOff>31751</xdr:rowOff>
    </xdr:to>
    <xdr:sp macro="" textlink="">
      <xdr:nvSpPr>
        <xdr:cNvPr id="2" name="Rounded Rectangle 2">
          <a:hlinkClick xmlns:r="http://schemas.openxmlformats.org/officeDocument/2006/relationships" r:id="rId1"/>
          <a:extLst>
            <a:ext uri="{FF2B5EF4-FFF2-40B4-BE49-F238E27FC236}">
              <a16:creationId xmlns:a16="http://schemas.microsoft.com/office/drawing/2014/main" id="{33682B27-A760-4FE2-B693-FE7460D437D9}"/>
            </a:ext>
          </a:extLst>
        </xdr:cNvPr>
        <xdr:cNvSpPr/>
      </xdr:nvSpPr>
      <xdr:spPr>
        <a:xfrm>
          <a:off x="6902450" y="254000"/>
          <a:ext cx="992717"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809625</xdr:colOff>
      <xdr:row>2</xdr:row>
      <xdr:rowOff>31751</xdr:rowOff>
    </xdr:to>
    <xdr:sp macro="" textlink="">
      <xdr:nvSpPr>
        <xdr:cNvPr id="2" name="Rounded Rectangle 2">
          <a:hlinkClick xmlns:r="http://schemas.openxmlformats.org/officeDocument/2006/relationships" r:id="rId1"/>
          <a:extLst>
            <a:ext uri="{FF2B5EF4-FFF2-40B4-BE49-F238E27FC236}">
              <a16:creationId xmlns:a16="http://schemas.microsoft.com/office/drawing/2014/main" id="{0375F682-12AB-45B0-8D3C-17A6E3BDC795}"/>
            </a:ext>
          </a:extLst>
        </xdr:cNvPr>
        <xdr:cNvSpPr/>
      </xdr:nvSpPr>
      <xdr:spPr>
        <a:xfrm>
          <a:off x="11715750"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2" name="Rounded Rectangle 2">
          <a:hlinkClick xmlns:r="http://schemas.openxmlformats.org/officeDocument/2006/relationships" r:id="rId1"/>
          <a:extLst>
            <a:ext uri="{FF2B5EF4-FFF2-40B4-BE49-F238E27FC236}">
              <a16:creationId xmlns:a16="http://schemas.microsoft.com/office/drawing/2014/main" id="{A0198D5A-0DEC-4895-ADD1-EF9BE070A4DB}"/>
            </a:ext>
          </a:extLst>
        </xdr:cNvPr>
        <xdr:cNvSpPr/>
      </xdr:nvSpPr>
      <xdr:spPr>
        <a:xfrm>
          <a:off x="7118350"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2" name="Rounded Rectangle 3">
          <a:hlinkClick xmlns:r="http://schemas.openxmlformats.org/officeDocument/2006/relationships" r:id="rId1"/>
          <a:extLst>
            <a:ext uri="{FF2B5EF4-FFF2-40B4-BE49-F238E27FC236}">
              <a16:creationId xmlns:a16="http://schemas.microsoft.com/office/drawing/2014/main" id="{B0905E13-F9AC-4301-BB37-7C6315FF169F}"/>
            </a:ext>
          </a:extLst>
        </xdr:cNvPr>
        <xdr:cNvSpPr/>
      </xdr:nvSpPr>
      <xdr:spPr>
        <a:xfrm>
          <a:off x="7689850"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2" name="Rounded Rectangle 2">
          <a:hlinkClick xmlns:r="http://schemas.openxmlformats.org/officeDocument/2006/relationships" r:id="rId1"/>
          <a:extLst>
            <a:ext uri="{FF2B5EF4-FFF2-40B4-BE49-F238E27FC236}">
              <a16:creationId xmlns:a16="http://schemas.microsoft.com/office/drawing/2014/main" id="{309BF2EA-6D62-4168-9CB2-2DC63FFE849C}"/>
            </a:ext>
          </a:extLst>
        </xdr:cNvPr>
        <xdr:cNvSpPr/>
      </xdr:nvSpPr>
      <xdr:spPr>
        <a:xfrm>
          <a:off x="8039100" y="254000"/>
          <a:ext cx="75247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2" name="Rounded Rectangle 2">
          <a:hlinkClick xmlns:r="http://schemas.openxmlformats.org/officeDocument/2006/relationships" r:id="rId1"/>
          <a:extLst>
            <a:ext uri="{FF2B5EF4-FFF2-40B4-BE49-F238E27FC236}">
              <a16:creationId xmlns:a16="http://schemas.microsoft.com/office/drawing/2014/main" id="{B07A73B5-B7FE-476B-9067-0975A8A7C805}"/>
            </a:ext>
          </a:extLst>
        </xdr:cNvPr>
        <xdr:cNvSpPr/>
      </xdr:nvSpPr>
      <xdr:spPr>
        <a:xfrm>
          <a:off x="8940800"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0</xdr:colOff>
      <xdr:row>1</xdr:row>
      <xdr:rowOff>0</xdr:rowOff>
    </xdr:from>
    <xdr:to>
      <xdr:col>5</xdr:col>
      <xdr:colOff>809625</xdr:colOff>
      <xdr:row>2</xdr:row>
      <xdr:rowOff>31751</xdr:rowOff>
    </xdr:to>
    <xdr:sp macro="" textlink="">
      <xdr:nvSpPr>
        <xdr:cNvPr id="2" name="Rounded Rectangle 2">
          <a:hlinkClick xmlns:r="http://schemas.openxmlformats.org/officeDocument/2006/relationships" r:id="rId1"/>
          <a:extLst>
            <a:ext uri="{FF2B5EF4-FFF2-40B4-BE49-F238E27FC236}">
              <a16:creationId xmlns:a16="http://schemas.microsoft.com/office/drawing/2014/main" id="{C5BDEE64-763C-4655-A524-627925FB4083}"/>
            </a:ext>
          </a:extLst>
        </xdr:cNvPr>
        <xdr:cNvSpPr/>
      </xdr:nvSpPr>
      <xdr:spPr>
        <a:xfrm>
          <a:off x="6864350"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809625</xdr:colOff>
      <xdr:row>2</xdr:row>
      <xdr:rowOff>31751</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927FF9B2-AA26-4958-B978-8C214A74AA15}"/>
            </a:ext>
          </a:extLst>
        </xdr:cNvPr>
        <xdr:cNvSpPr/>
      </xdr:nvSpPr>
      <xdr:spPr>
        <a:xfrm>
          <a:off x="6527800"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2" name="Rounded Rectangle 2">
          <a:hlinkClick xmlns:r="http://schemas.openxmlformats.org/officeDocument/2006/relationships" r:id="rId1"/>
          <a:extLst>
            <a:ext uri="{FF2B5EF4-FFF2-40B4-BE49-F238E27FC236}">
              <a16:creationId xmlns:a16="http://schemas.microsoft.com/office/drawing/2014/main" id="{D7D3CA75-A3B3-4576-8DEF-2C695BB1B98A}"/>
            </a:ext>
          </a:extLst>
        </xdr:cNvPr>
        <xdr:cNvSpPr/>
      </xdr:nvSpPr>
      <xdr:spPr>
        <a:xfrm>
          <a:off x="8794750"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2" name="Rounded Rectangle 2">
          <a:hlinkClick xmlns:r="http://schemas.openxmlformats.org/officeDocument/2006/relationships" r:id="rId1"/>
          <a:extLst>
            <a:ext uri="{FF2B5EF4-FFF2-40B4-BE49-F238E27FC236}">
              <a16:creationId xmlns:a16="http://schemas.microsoft.com/office/drawing/2014/main" id="{48C663FD-1554-4C1D-A054-3BAE746B73B5}"/>
            </a:ext>
          </a:extLst>
        </xdr:cNvPr>
        <xdr:cNvSpPr/>
      </xdr:nvSpPr>
      <xdr:spPr>
        <a:xfrm>
          <a:off x="8235950"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5415642</xdr:colOff>
      <xdr:row>0</xdr:row>
      <xdr:rowOff>217714</xdr:rowOff>
    </xdr:from>
    <xdr:to>
      <xdr:col>1</xdr:col>
      <xdr:colOff>782410</xdr:colOff>
      <xdr:row>2</xdr:row>
      <xdr:rowOff>21545</xdr:rowOff>
    </xdr:to>
    <xdr:sp macro="" textlink="">
      <xdr:nvSpPr>
        <xdr:cNvPr id="2" name="Rounded Rectangle 2">
          <a:hlinkClick xmlns:r="http://schemas.openxmlformats.org/officeDocument/2006/relationships" r:id="rId1"/>
          <a:extLst>
            <a:ext uri="{FF2B5EF4-FFF2-40B4-BE49-F238E27FC236}">
              <a16:creationId xmlns:a16="http://schemas.microsoft.com/office/drawing/2014/main" id="{5A964885-A6C2-485A-AA98-2A522CF6C716}"/>
            </a:ext>
          </a:extLst>
        </xdr:cNvPr>
        <xdr:cNvSpPr/>
      </xdr:nvSpPr>
      <xdr:spPr>
        <a:xfrm>
          <a:off x="4177392" y="217714"/>
          <a:ext cx="783318" cy="29913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11</xdr:col>
      <xdr:colOff>0</xdr:colOff>
      <xdr:row>0</xdr:row>
      <xdr:rowOff>201705</xdr:rowOff>
    </xdr:from>
    <xdr:to>
      <xdr:col>11</xdr:col>
      <xdr:colOff>439831</xdr:colOff>
      <xdr:row>2</xdr:row>
      <xdr:rowOff>2334</xdr:rowOff>
    </xdr:to>
    <xdr:sp macro="" textlink="">
      <xdr:nvSpPr>
        <xdr:cNvPr id="2" name="Rounded Rectangle 2">
          <a:hlinkClick xmlns:r="http://schemas.openxmlformats.org/officeDocument/2006/relationships" r:id="rId1"/>
          <a:extLst>
            <a:ext uri="{FF2B5EF4-FFF2-40B4-BE49-F238E27FC236}">
              <a16:creationId xmlns:a16="http://schemas.microsoft.com/office/drawing/2014/main" id="{80C00518-8E81-4828-9D54-59A8262F2CF6}"/>
            </a:ext>
          </a:extLst>
        </xdr:cNvPr>
        <xdr:cNvSpPr/>
      </xdr:nvSpPr>
      <xdr:spPr>
        <a:xfrm>
          <a:off x="8655050" y="201705"/>
          <a:ext cx="439831" cy="295929"/>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46B45-2E13-4E80-9A73-FD395BEE9657}">
  <sheetPr>
    <pageSetUpPr fitToPage="1"/>
  </sheetPr>
  <dimension ref="A1:J87"/>
  <sheetViews>
    <sheetView zoomScale="80" zoomScaleNormal="80" workbookViewId="0">
      <selection activeCell="E18" sqref="E18"/>
    </sheetView>
  </sheetViews>
  <sheetFormatPr defaultRowHeight="13.5"/>
  <cols>
    <col min="1" max="1" width="8.3828125" customWidth="1"/>
    <col min="2" max="2" width="41.4609375" customWidth="1"/>
    <col min="3" max="6" width="14.15234375" customWidth="1"/>
    <col min="7" max="7" width="40.84375" style="14" customWidth="1"/>
    <col min="8" max="8" width="3.4609375" customWidth="1"/>
    <col min="9" max="9" width="14.15234375" customWidth="1"/>
  </cols>
  <sheetData>
    <row r="1" spans="1:10" s="1" customFormat="1" ht="57" customHeight="1"/>
    <row r="2" spans="1:10" ht="20">
      <c r="A2" s="2" t="s">
        <v>0</v>
      </c>
      <c r="B2" s="3"/>
      <c r="C2" s="3"/>
      <c r="D2" s="4"/>
      <c r="E2" s="5"/>
      <c r="F2" s="3"/>
      <c r="G2" s="6"/>
      <c r="H2" s="3"/>
      <c r="I2" s="3"/>
    </row>
    <row r="3" spans="1:10" ht="20">
      <c r="A3" s="2" t="str">
        <f>Licensee</f>
        <v>NGET (TO)</v>
      </c>
      <c r="B3" s="3"/>
      <c r="C3" s="3"/>
      <c r="D3" s="5"/>
      <c r="E3" s="5"/>
      <c r="F3" s="3"/>
      <c r="G3" s="6"/>
      <c r="H3" s="3"/>
      <c r="I3" s="3"/>
    </row>
    <row r="4" spans="1:10" ht="20">
      <c r="A4" s="2" t="s">
        <v>1</v>
      </c>
      <c r="B4" s="3"/>
      <c r="C4" s="3"/>
      <c r="D4" s="5"/>
      <c r="E4" s="5"/>
      <c r="F4" s="3"/>
      <c r="G4" s="6"/>
      <c r="H4" s="3"/>
      <c r="I4" s="3"/>
    </row>
    <row r="5" spans="1:10" ht="20">
      <c r="A5" s="7"/>
      <c r="B5" s="8"/>
      <c r="C5" s="8"/>
      <c r="D5" s="9"/>
      <c r="E5" s="9"/>
      <c r="F5" s="8"/>
      <c r="G5" s="10"/>
      <c r="H5" s="8"/>
      <c r="I5" s="8"/>
    </row>
    <row r="6" spans="1:10" ht="14">
      <c r="A6" s="11"/>
      <c r="B6" s="12" t="s">
        <v>2</v>
      </c>
      <c r="C6" s="13" cm="1">
        <f t="array" ref="C6">INDEX(Data!$E$63:'Data'!$E$91,MATCH(Licensee,Data!$B$63:$B$91,0),0)</f>
        <v>2022</v>
      </c>
      <c r="D6" s="9"/>
      <c r="E6" s="9"/>
      <c r="H6" s="15"/>
    </row>
    <row r="7" spans="1:10" ht="13.5" customHeight="1">
      <c r="A7" s="11"/>
      <c r="B7" s="12" t="s">
        <v>3</v>
      </c>
      <c r="C7" s="16" t="s">
        <v>4</v>
      </c>
      <c r="D7" s="9"/>
      <c r="E7" s="9"/>
      <c r="F7" s="17"/>
      <c r="G7" s="18" t="s">
        <v>5</v>
      </c>
      <c r="H7" s="15"/>
    </row>
    <row r="8" spans="1:10" ht="13.5" customHeight="1">
      <c r="A8" s="11"/>
      <c r="B8" s="12" t="s">
        <v>6</v>
      </c>
      <c r="C8" s="19" t="str">
        <f>INDEX(Data!$A$63:$A$91,MATCH($C$7,Data!$B$63:$B$91,0),0)&amp;"2"</f>
        <v>ET2</v>
      </c>
      <c r="D8" s="9"/>
      <c r="E8" s="9"/>
      <c r="F8" s="20"/>
      <c r="G8" s="18" t="s">
        <v>7</v>
      </c>
      <c r="H8" s="15"/>
    </row>
    <row r="9" spans="1:10" ht="27">
      <c r="A9" s="11"/>
      <c r="B9" s="21" t="s">
        <v>8</v>
      </c>
      <c r="C9" s="22">
        <v>2026</v>
      </c>
      <c r="D9" s="9"/>
      <c r="E9" s="9"/>
      <c r="F9" s="13"/>
      <c r="G9" s="23" t="s">
        <v>9</v>
      </c>
      <c r="H9" s="15"/>
    </row>
    <row r="10" spans="1:10" ht="14">
      <c r="A10" s="11"/>
      <c r="B10" s="12" t="s">
        <v>10</v>
      </c>
      <c r="C10" s="22"/>
      <c r="D10" s="9"/>
      <c r="E10" s="9"/>
      <c r="F10" s="24"/>
      <c r="G10" s="18" t="s">
        <v>11</v>
      </c>
      <c r="H10" s="15"/>
    </row>
    <row r="11" spans="1:10" ht="14">
      <c r="A11" s="11"/>
      <c r="B11" s="12" t="s">
        <v>12</v>
      </c>
      <c r="C11" s="25"/>
      <c r="D11" s="9"/>
      <c r="E11" s="9"/>
      <c r="F11" s="26"/>
      <c r="G11" s="18" t="s">
        <v>13</v>
      </c>
      <c r="H11" s="15"/>
    </row>
    <row r="12" spans="1:10" ht="14">
      <c r="A12" s="11"/>
      <c r="D12" s="9"/>
      <c r="E12" s="9"/>
      <c r="F12" s="27"/>
      <c r="G12" s="18" t="s">
        <v>14</v>
      </c>
      <c r="H12" s="15"/>
    </row>
    <row r="13" spans="1:10" ht="14">
      <c r="A13" s="11"/>
      <c r="D13" s="9"/>
      <c r="E13" s="9"/>
      <c r="F13" s="28"/>
      <c r="G13" s="18" t="s">
        <v>15</v>
      </c>
      <c r="H13" s="15"/>
    </row>
    <row r="14" spans="1:10">
      <c r="A14" s="11"/>
      <c r="D14" s="9"/>
      <c r="E14" s="9"/>
      <c r="F14" s="29"/>
      <c r="G14" s="30"/>
    </row>
    <row r="15" spans="1:10">
      <c r="C15" s="9"/>
      <c r="F15" s="9"/>
      <c r="G15"/>
      <c r="H15" s="9"/>
      <c r="J15" s="9"/>
    </row>
    <row r="16" spans="1:10">
      <c r="C16" s="9"/>
      <c r="F16" s="9"/>
      <c r="G16"/>
      <c r="H16" s="9"/>
      <c r="J16" s="9"/>
    </row>
    <row r="17" spans="3:10">
      <c r="C17" s="9"/>
      <c r="F17" s="9"/>
      <c r="G17"/>
      <c r="H17" s="9"/>
      <c r="J17" s="9"/>
    </row>
    <row r="18" spans="3:10">
      <c r="C18" s="9"/>
      <c r="F18" s="9"/>
      <c r="G18"/>
      <c r="H18" s="9"/>
      <c r="J18" s="9"/>
    </row>
    <row r="19" spans="3:10">
      <c r="C19" s="9"/>
      <c r="F19" s="9"/>
      <c r="G19"/>
      <c r="H19" s="9"/>
      <c r="J19" s="9"/>
    </row>
    <row r="20" spans="3:10">
      <c r="C20" s="9"/>
      <c r="F20" s="9"/>
      <c r="G20"/>
      <c r="H20" s="9"/>
      <c r="J20" s="9"/>
    </row>
    <row r="21" spans="3:10">
      <c r="J21" s="9"/>
    </row>
    <row r="22" spans="3:10">
      <c r="C22" s="9"/>
      <c r="F22" s="9"/>
      <c r="G22"/>
      <c r="H22" s="9"/>
      <c r="J22" s="9"/>
    </row>
    <row r="23" spans="3:10">
      <c r="C23" s="9"/>
      <c r="F23" s="9"/>
      <c r="G23"/>
      <c r="H23" s="9"/>
      <c r="J23" s="9"/>
    </row>
    <row r="24" spans="3:10">
      <c r="C24" s="9"/>
      <c r="F24" s="9"/>
      <c r="G24"/>
      <c r="H24" s="9"/>
      <c r="J24" s="9"/>
    </row>
    <row r="25" spans="3:10">
      <c r="C25" s="9"/>
      <c r="F25" s="9"/>
      <c r="G25"/>
      <c r="H25" s="9"/>
      <c r="J25" s="9"/>
    </row>
    <row r="26" spans="3:10">
      <c r="C26" s="9"/>
      <c r="F26" s="9"/>
      <c r="G26"/>
      <c r="H26" s="9"/>
      <c r="J26" s="9"/>
    </row>
    <row r="27" spans="3:10">
      <c r="C27" s="9"/>
      <c r="F27" s="9"/>
      <c r="G27"/>
      <c r="H27" s="9"/>
      <c r="J27" s="9"/>
    </row>
    <row r="87" spans="1:1">
      <c r="A87" s="31"/>
    </row>
  </sheetData>
  <mergeCells count="1">
    <mergeCell ref="A1:XFD1"/>
  </mergeCells>
  <pageMargins left="0.70866141732283472" right="0.70866141732283472" top="0.74803149606299213" bottom="0.74803149606299213" header="0.31496062992125984" footer="0.31496062992125984"/>
  <pageSetup scale="48" orientation="portrait" r:id="rId1"/>
  <headerFooter>
    <oddFooter>&amp;C_x000D_&amp;1#&amp;"Calibri"&amp;10&amp;K000000 OFFICIAL-InternalOnly</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72D1DA6C-85C6-419F-B4B7-43D0586F9055}">
          <x14:formula1>
            <xm:f>Data!$B$63:$B$91</xm:f>
          </x14:formula1>
          <xm:sqref>C7</xm:sqref>
        </x14:dataValidation>
        <x14:dataValidation type="list" allowBlank="1" showInputMessage="1" showErrorMessage="1" xr:uid="{1A2BDFC3-4FF8-4A2E-9B17-9000DF86DB1E}">
          <x14:formula1>
            <xm:f>Data!$F$18:$L$18</xm:f>
          </x14:formula1>
          <xm:sqref>C9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46A36-2409-4770-B5F3-A4CD8281278B}">
  <sheetPr>
    <tabColor rgb="FFD9D9D9"/>
  </sheetPr>
  <dimension ref="A1:AJ413"/>
  <sheetViews>
    <sheetView zoomScale="60" zoomScaleNormal="60" workbookViewId="0">
      <selection activeCell="D9" sqref="D9"/>
    </sheetView>
  </sheetViews>
  <sheetFormatPr defaultRowHeight="13.5"/>
  <cols>
    <col min="1" max="1" width="9.23046875" customWidth="1"/>
    <col min="2" max="2" width="84.84375" bestFit="1" customWidth="1"/>
    <col min="3" max="3" width="17.765625" customWidth="1"/>
    <col min="4" max="4" width="16.84375" customWidth="1"/>
    <col min="5" max="5" width="11.765625" customWidth="1"/>
    <col min="6" max="6" width="13.15234375" bestFit="1" customWidth="1"/>
    <col min="7" max="7" width="19.4609375" customWidth="1"/>
    <col min="8" max="8" width="11.4609375" bestFit="1" customWidth="1"/>
    <col min="9" max="9" width="11.84375" customWidth="1"/>
    <col min="10" max="10" width="12.3828125" customWidth="1"/>
    <col min="11" max="11" width="11.23046875" customWidth="1"/>
    <col min="12" max="12" width="15.84375" customWidth="1"/>
    <col min="13" max="13" width="11.84375" customWidth="1"/>
    <col min="14" max="14" width="12.765625" customWidth="1"/>
  </cols>
  <sheetData>
    <row r="1" spans="1:14" ht="20">
      <c r="A1" s="32" t="s">
        <v>16</v>
      </c>
      <c r="B1" s="33"/>
      <c r="C1" s="33"/>
      <c r="D1" s="33"/>
      <c r="E1" s="33"/>
      <c r="F1" s="33"/>
      <c r="G1" s="33"/>
      <c r="H1" s="33"/>
      <c r="I1" s="33"/>
      <c r="J1" s="33"/>
      <c r="K1" s="33"/>
      <c r="L1" s="33"/>
      <c r="M1" s="33"/>
      <c r="N1" s="34"/>
    </row>
    <row r="2" spans="1:14" ht="20">
      <c r="A2" s="35" t="str">
        <f>Licensee</f>
        <v>NGET (TO)</v>
      </c>
      <c r="B2" s="5"/>
      <c r="C2" s="5"/>
      <c r="D2" s="5"/>
      <c r="E2" s="5"/>
      <c r="F2" s="5"/>
      <c r="G2" s="5"/>
      <c r="H2" s="5"/>
      <c r="I2" s="5"/>
      <c r="J2" s="5"/>
      <c r="K2" s="5"/>
      <c r="L2" s="5"/>
      <c r="M2" s="5"/>
      <c r="N2" s="36"/>
    </row>
    <row r="3" spans="1:14" ht="20">
      <c r="A3" s="2">
        <f>Reporting_Year</f>
        <v>2026</v>
      </c>
      <c r="B3" s="37"/>
      <c r="C3" s="37"/>
      <c r="D3" s="37"/>
      <c r="E3" s="37"/>
      <c r="F3" s="37"/>
      <c r="G3" s="37"/>
      <c r="H3" s="37"/>
      <c r="I3" s="37"/>
      <c r="J3" s="37"/>
      <c r="K3" s="37"/>
      <c r="L3" s="37"/>
      <c r="M3" s="37"/>
      <c r="N3" s="38"/>
    </row>
    <row r="6" spans="1:14">
      <c r="B6" s="12" t="s">
        <v>17</v>
      </c>
      <c r="C6" s="39">
        <f>INDEX(O63:U91,MATCH(Licensee,Data!B63:B91,0),MATCH(Reporting_Year,Data!O62:U62,0))</f>
        <v>5.0933685333333333E-2</v>
      </c>
      <c r="F6" s="40" t="s">
        <v>18</v>
      </c>
      <c r="G6" s="14"/>
      <c r="H6" s="41" t="s">
        <v>19</v>
      </c>
      <c r="I6" s="42" t="s">
        <v>20</v>
      </c>
    </row>
    <row r="7" spans="1:14">
      <c r="B7" s="12" t="s">
        <v>21</v>
      </c>
      <c r="C7" s="39">
        <f>SUMIF(Data!$B$62:$B$91,'RFPR cover'!C7,Data!$C$62:$C$91)</f>
        <v>0.67</v>
      </c>
      <c r="F7" s="43">
        <v>0.1</v>
      </c>
      <c r="G7" s="44"/>
      <c r="H7" s="41" t="s">
        <v>22</v>
      </c>
      <c r="I7" s="45" t="s">
        <v>23</v>
      </c>
    </row>
    <row r="8" spans="1:14">
      <c r="B8" s="12" t="s">
        <v>24</v>
      </c>
      <c r="C8" s="46">
        <f>SUMIF(Data!$B$62:$B$91,'RFPR cover'!C7,Data!$D$62:$D$91)</f>
        <v>0.55000000000000004</v>
      </c>
      <c r="H8" s="41" t="s">
        <v>25</v>
      </c>
      <c r="I8" s="45" t="s">
        <v>23</v>
      </c>
    </row>
    <row r="9" spans="1:14">
      <c r="B9" s="47" t="s">
        <v>26</v>
      </c>
      <c r="C9" s="48" t="str">
        <f>INDEX(Data!$F$63:$F$91,MATCH('RFPR cover'!$C$7,Data!$B$63:$B$91,0),0)</f>
        <v>£m 18/19</v>
      </c>
      <c r="H9" s="41" t="s">
        <v>27</v>
      </c>
      <c r="I9" s="45" t="s">
        <v>23</v>
      </c>
    </row>
    <row r="10" spans="1:14">
      <c r="B10" s="47" t="s">
        <v>28</v>
      </c>
      <c r="C10" s="49">
        <v>20.174788192251761</v>
      </c>
      <c r="H10" s="41" t="s">
        <v>29</v>
      </c>
      <c r="I10" s="45" t="s">
        <v>23</v>
      </c>
    </row>
    <row r="11" spans="1:14">
      <c r="B11" s="47" t="s">
        <v>30</v>
      </c>
      <c r="C11" s="49">
        <v>6.7249293974172542</v>
      </c>
      <c r="H11" s="50"/>
      <c r="I11" s="51"/>
    </row>
    <row r="13" spans="1:14">
      <c r="A13" s="11"/>
      <c r="B13" s="52" t="s">
        <v>31</v>
      </c>
      <c r="C13" s="53">
        <v>0.19</v>
      </c>
      <c r="D13" s="54">
        <v>0.19</v>
      </c>
      <c r="E13" s="54">
        <v>0.19</v>
      </c>
      <c r="F13" s="54">
        <v>0.19</v>
      </c>
      <c r="G13" s="53">
        <v>0.19</v>
      </c>
      <c r="H13" s="53">
        <v>0.25</v>
      </c>
      <c r="I13" s="53">
        <v>0.25</v>
      </c>
      <c r="J13" s="53">
        <v>0.25</v>
      </c>
      <c r="K13" s="55">
        <v>0.25</v>
      </c>
      <c r="L13" s="55">
        <v>0.25</v>
      </c>
      <c r="M13" s="55">
        <v>0.25</v>
      </c>
      <c r="N13" s="55">
        <v>0.25</v>
      </c>
    </row>
    <row r="15" spans="1:14">
      <c r="A15" s="56" t="s">
        <v>32</v>
      </c>
      <c r="B15" s="56" t="s">
        <v>33</v>
      </c>
    </row>
    <row r="16" spans="1:14">
      <c r="B16" s="52" t="s">
        <v>34</v>
      </c>
      <c r="C16" s="57" t="str">
        <f t="shared" ref="C16:N16" si="0">IF(VALUE(C18)&lt;=Reporting_Year,"Actual","Forecast")</f>
        <v>Actual</v>
      </c>
      <c r="D16" s="57" t="str">
        <f t="shared" si="0"/>
        <v>Actual</v>
      </c>
      <c r="E16" s="57" t="str">
        <f t="shared" si="0"/>
        <v>Actual</v>
      </c>
      <c r="F16" s="57" t="str">
        <f t="shared" si="0"/>
        <v>Actual</v>
      </c>
      <c r="G16" s="57" t="str">
        <f t="shared" si="0"/>
        <v>Actual</v>
      </c>
      <c r="H16" s="57" t="str">
        <f t="shared" si="0"/>
        <v>Actual</v>
      </c>
      <c r="I16" s="57" t="str">
        <f t="shared" si="0"/>
        <v>Actual</v>
      </c>
      <c r="J16" s="57" t="str">
        <f t="shared" si="0"/>
        <v>Actual</v>
      </c>
      <c r="K16" s="57" t="str">
        <f t="shared" si="0"/>
        <v>Forecast</v>
      </c>
      <c r="L16" s="57" t="str">
        <f t="shared" si="0"/>
        <v>Forecast</v>
      </c>
      <c r="M16" s="57" t="str">
        <f t="shared" si="0"/>
        <v>Forecast</v>
      </c>
      <c r="N16" s="57" t="str">
        <f t="shared" si="0"/>
        <v>Forecast</v>
      </c>
    </row>
    <row r="17" spans="1:22">
      <c r="B17" s="52" t="s">
        <v>35</v>
      </c>
      <c r="C17" s="58">
        <v>43555</v>
      </c>
      <c r="D17" s="59">
        <v>43921</v>
      </c>
      <c r="E17" s="59">
        <v>44286</v>
      </c>
      <c r="F17" s="59">
        <v>44651</v>
      </c>
      <c r="G17" s="59">
        <v>45016</v>
      </c>
      <c r="H17" s="58">
        <v>45382</v>
      </c>
      <c r="I17" s="58">
        <v>45747</v>
      </c>
      <c r="J17" s="58">
        <v>46112</v>
      </c>
      <c r="K17" s="58">
        <v>46477</v>
      </c>
      <c r="L17" s="58">
        <v>46843</v>
      </c>
      <c r="M17" s="58">
        <v>47208</v>
      </c>
      <c r="N17" s="58">
        <v>47573</v>
      </c>
    </row>
    <row r="18" spans="1:22">
      <c r="B18" s="52" t="s">
        <v>36</v>
      </c>
      <c r="C18" s="60">
        <v>2019</v>
      </c>
      <c r="D18" s="61">
        <v>2020</v>
      </c>
      <c r="E18" s="60">
        <v>2021</v>
      </c>
      <c r="F18" s="61">
        <v>2022</v>
      </c>
      <c r="G18" s="60">
        <v>2023</v>
      </c>
      <c r="H18" s="61">
        <v>2024</v>
      </c>
      <c r="I18" s="60">
        <v>2025</v>
      </c>
      <c r="J18" s="61">
        <v>2026</v>
      </c>
      <c r="K18" s="60">
        <v>2027</v>
      </c>
      <c r="L18" s="61">
        <v>2028</v>
      </c>
      <c r="M18" s="60">
        <v>2029</v>
      </c>
      <c r="N18" s="61">
        <v>2030</v>
      </c>
    </row>
    <row r="19" spans="1:22">
      <c r="B19" s="62" t="s">
        <v>37</v>
      </c>
      <c r="C19" s="63">
        <v>283.30833333333334</v>
      </c>
      <c r="D19" s="64">
        <v>290.64166666666665</v>
      </c>
      <c r="E19" s="64">
        <v>294.16666666666669</v>
      </c>
      <c r="F19" s="64">
        <v>307.32821397646848</v>
      </c>
      <c r="G19" s="64">
        <v>334.29358180068937</v>
      </c>
      <c r="H19" s="64">
        <v>352.83651735739545</v>
      </c>
      <c r="I19" s="64">
        <v>364.17963178219367</v>
      </c>
      <c r="J19" s="65">
        <v>377.96796847820582</v>
      </c>
      <c r="K19" s="66">
        <f t="shared" ref="K19:N21" si="1">J19*(1+K$22)</f>
        <v>385.52732784776993</v>
      </c>
      <c r="L19" s="66">
        <f t="shared" si="1"/>
        <v>393.23787440472535</v>
      </c>
      <c r="M19" s="66">
        <f t="shared" si="1"/>
        <v>401.10263189281989</v>
      </c>
      <c r="N19" s="66">
        <f t="shared" si="1"/>
        <v>409.12468453067629</v>
      </c>
    </row>
    <row r="20" spans="1:22">
      <c r="B20" s="62" t="s">
        <v>38</v>
      </c>
      <c r="C20" s="63">
        <v>286.64999999999998</v>
      </c>
      <c r="D20" s="64">
        <v>292.60000000000002</v>
      </c>
      <c r="E20" s="64">
        <v>298.42363263445759</v>
      </c>
      <c r="F20" s="64">
        <v>319.91658048382931</v>
      </c>
      <c r="G20" s="64">
        <v>346.54233410371501</v>
      </c>
      <c r="H20" s="64">
        <v>358.36090841458258</v>
      </c>
      <c r="I20" s="65">
        <v>371.94547658799365</v>
      </c>
      <c r="J20" s="65">
        <v>383.89989658059528</v>
      </c>
      <c r="K20" s="66">
        <f t="shared" si="1"/>
        <v>391.57789451220719</v>
      </c>
      <c r="L20" s="66">
        <f t="shared" si="1"/>
        <v>399.40945240245134</v>
      </c>
      <c r="M20" s="66">
        <f t="shared" si="1"/>
        <v>407.39764145050037</v>
      </c>
      <c r="N20" s="66">
        <f t="shared" si="1"/>
        <v>415.5455942795104</v>
      </c>
    </row>
    <row r="21" spans="1:22">
      <c r="A21" s="11"/>
      <c r="B21" s="67" t="s">
        <v>39</v>
      </c>
      <c r="C21" s="68">
        <v>106.43333333333334</v>
      </c>
      <c r="D21" s="68">
        <v>108.24166666666663</v>
      </c>
      <c r="E21" s="68">
        <v>109.10833333333335</v>
      </c>
      <c r="F21" s="68">
        <v>113.11666666666667</v>
      </c>
      <c r="G21" s="68">
        <v>123.04166666666664</v>
      </c>
      <c r="H21" s="68">
        <v>129.86666666666665</v>
      </c>
      <c r="I21" s="68">
        <v>134.04166666666663</v>
      </c>
      <c r="J21" s="69">
        <v>139.11666666666667</v>
      </c>
      <c r="K21" s="66">
        <f t="shared" si="1"/>
        <v>141.899</v>
      </c>
      <c r="L21" s="66">
        <f t="shared" si="1"/>
        <v>144.73698000000002</v>
      </c>
      <c r="M21" s="66">
        <f t="shared" si="1"/>
        <v>147.63171960000003</v>
      </c>
      <c r="N21" s="66">
        <f t="shared" si="1"/>
        <v>150.58435399200002</v>
      </c>
      <c r="U21" s="70"/>
      <c r="V21" s="70"/>
    </row>
    <row r="22" spans="1:22" ht="16">
      <c r="A22" s="11"/>
      <c r="B22" s="52" t="s">
        <v>40</v>
      </c>
      <c r="C22" s="67"/>
      <c r="D22" s="67"/>
      <c r="E22" s="67"/>
      <c r="F22" s="67"/>
      <c r="G22" s="67"/>
      <c r="H22" s="71"/>
      <c r="I22" s="67"/>
      <c r="J22" s="67"/>
      <c r="K22" s="53">
        <v>0.02</v>
      </c>
      <c r="L22" s="53">
        <v>0.02</v>
      </c>
      <c r="M22" s="53">
        <v>0.02</v>
      </c>
      <c r="N22" s="53">
        <v>0.02</v>
      </c>
      <c r="O22" s="72" t="s">
        <v>41</v>
      </c>
      <c r="U22" s="70"/>
      <c r="V22" s="70"/>
    </row>
    <row r="23" spans="1:22" ht="16">
      <c r="A23" s="11"/>
      <c r="H23" s="73"/>
      <c r="K23" s="74"/>
      <c r="L23" s="74"/>
      <c r="M23" s="74"/>
      <c r="N23" s="74"/>
      <c r="O23" s="72"/>
      <c r="U23" s="70"/>
      <c r="V23" s="70"/>
    </row>
    <row r="24" spans="1:22">
      <c r="A24" s="75" t="s">
        <v>42</v>
      </c>
      <c r="B24" s="56" t="s">
        <v>43</v>
      </c>
      <c r="U24" s="70"/>
      <c r="V24" s="70"/>
    </row>
    <row r="25" spans="1:22">
      <c r="A25" s="11"/>
      <c r="B25" s="52" t="s">
        <v>34</v>
      </c>
      <c r="C25" s="57" t="str">
        <f t="shared" ref="C25:N25" si="2">IF(VALUE(C27)&lt;=Reporting_Year,"Actual","Forecast")</f>
        <v>Actual</v>
      </c>
      <c r="D25" s="57" t="str">
        <f t="shared" si="2"/>
        <v>Actual</v>
      </c>
      <c r="E25" s="57" t="str">
        <f t="shared" si="2"/>
        <v>Actual</v>
      </c>
      <c r="F25" s="57" t="str">
        <f t="shared" si="2"/>
        <v>Actual</v>
      </c>
      <c r="G25" s="57" t="str">
        <f t="shared" si="2"/>
        <v>Actual</v>
      </c>
      <c r="H25" s="57" t="str">
        <f t="shared" si="2"/>
        <v>Actual</v>
      </c>
      <c r="I25" s="57" t="str">
        <f t="shared" si="2"/>
        <v>Actual</v>
      </c>
      <c r="J25" s="57" t="str">
        <f t="shared" si="2"/>
        <v>Actual</v>
      </c>
      <c r="K25" s="57" t="str">
        <f t="shared" si="2"/>
        <v>Forecast</v>
      </c>
      <c r="L25" s="57" t="str">
        <f t="shared" si="2"/>
        <v>Forecast</v>
      </c>
      <c r="M25" s="57" t="str">
        <f t="shared" si="2"/>
        <v>Forecast</v>
      </c>
      <c r="N25" s="57" t="str">
        <f t="shared" si="2"/>
        <v>Forecast</v>
      </c>
      <c r="U25" s="70"/>
      <c r="V25" s="70"/>
    </row>
    <row r="26" spans="1:22">
      <c r="A26" s="11"/>
      <c r="B26" s="52" t="s">
        <v>35</v>
      </c>
      <c r="C26" s="58">
        <v>43555</v>
      </c>
      <c r="D26" s="59">
        <v>43921</v>
      </c>
      <c r="E26" s="59">
        <v>44286</v>
      </c>
      <c r="F26" s="59">
        <v>44651</v>
      </c>
      <c r="G26" s="59">
        <v>45016</v>
      </c>
      <c r="H26" s="58">
        <v>45382</v>
      </c>
      <c r="I26" s="58">
        <v>45747</v>
      </c>
      <c r="J26" s="58">
        <v>46112</v>
      </c>
      <c r="K26" s="58">
        <v>46477</v>
      </c>
      <c r="L26" s="58">
        <v>46843</v>
      </c>
      <c r="M26" s="58">
        <v>47208</v>
      </c>
      <c r="N26" s="58">
        <v>47573</v>
      </c>
      <c r="U26" s="70"/>
      <c r="V26" s="70"/>
    </row>
    <row r="27" spans="1:22">
      <c r="A27" s="11"/>
      <c r="B27" s="52" t="s">
        <v>36</v>
      </c>
      <c r="C27" s="60">
        <v>2019</v>
      </c>
      <c r="D27" s="61">
        <v>2020</v>
      </c>
      <c r="E27" s="60">
        <v>2021</v>
      </c>
      <c r="F27" s="61">
        <v>2022</v>
      </c>
      <c r="G27" s="60">
        <v>2023</v>
      </c>
      <c r="H27" s="61">
        <v>2024</v>
      </c>
      <c r="I27" s="60">
        <v>2025</v>
      </c>
      <c r="J27" s="61">
        <v>2026</v>
      </c>
      <c r="K27" s="76">
        <v>2027</v>
      </c>
      <c r="L27" s="77">
        <v>2028</v>
      </c>
      <c r="M27" s="76">
        <v>2029</v>
      </c>
      <c r="N27" s="77">
        <v>2030</v>
      </c>
      <c r="U27" s="70"/>
      <c r="V27" s="70"/>
    </row>
    <row r="28" spans="1:22">
      <c r="A28" s="11"/>
      <c r="B28" s="62" t="s">
        <v>37</v>
      </c>
      <c r="C28" s="63">
        <v>283.30833333333334</v>
      </c>
      <c r="D28" s="64">
        <v>290.64166666666665</v>
      </c>
      <c r="E28" s="64">
        <v>294.16666666666669</v>
      </c>
      <c r="F28" s="64">
        <v>311.1583333333333</v>
      </c>
      <c r="G28" s="64">
        <v>351.2166666666667</v>
      </c>
      <c r="H28" s="64">
        <v>376.71650221738128</v>
      </c>
      <c r="I28" s="64">
        <v>388.82731892752673</v>
      </c>
      <c r="J28" s="78">
        <v>400.25000322166551</v>
      </c>
      <c r="K28" s="79">
        <v>408.5665013920929</v>
      </c>
      <c r="L28" s="80">
        <v>416.71585232655929</v>
      </c>
      <c r="M28" s="81">
        <f t="shared" ref="M28:N29" si="3">L28*(1+M$22)</f>
        <v>425.05016937309045</v>
      </c>
      <c r="N28" s="81">
        <f t="shared" si="3"/>
        <v>433.55117276055228</v>
      </c>
      <c r="U28" s="70"/>
      <c r="V28" s="70"/>
    </row>
    <row r="29" spans="1:22">
      <c r="A29" s="11"/>
      <c r="B29" s="52" t="s">
        <v>38</v>
      </c>
      <c r="C29" s="63">
        <v>286.64999999999998</v>
      </c>
      <c r="D29" s="64">
        <v>292.60000000000002</v>
      </c>
      <c r="E29" s="64">
        <v>299</v>
      </c>
      <c r="F29" s="64">
        <v>329.05</v>
      </c>
      <c r="G29" s="64">
        <v>369.68596214511041</v>
      </c>
      <c r="H29" s="64">
        <v>382.61478420795106</v>
      </c>
      <c r="I29" s="64">
        <v>395.31902736058032</v>
      </c>
      <c r="J29" s="78">
        <v>404.48526872002913</v>
      </c>
      <c r="K29" s="79">
        <v>412.61136936520217</v>
      </c>
      <c r="L29" s="80">
        <v>420.50827436801416</v>
      </c>
      <c r="M29" s="81">
        <f t="shared" si="3"/>
        <v>428.91843985537446</v>
      </c>
      <c r="N29" s="81">
        <f t="shared" si="3"/>
        <v>437.49680865248195</v>
      </c>
      <c r="U29" s="70"/>
      <c r="V29" s="70"/>
    </row>
    <row r="31" spans="1:22" ht="14.25" customHeight="1">
      <c r="B31" s="56" t="s">
        <v>44</v>
      </c>
      <c r="M31" s="82"/>
    </row>
    <row r="32" spans="1:22" ht="48.75" customHeight="1">
      <c r="E32" s="57" t="str">
        <f>IF(E33&lt;='RFPR cover'!$C$9,"Actuals","Forecast")</f>
        <v>Actuals</v>
      </c>
      <c r="F32" s="57" t="str">
        <f>IF(F33&lt;='RFPR cover'!$C$9,"Actuals","Forecast")</f>
        <v>Actuals</v>
      </c>
      <c r="G32" s="57" t="str">
        <f>IF(G33&lt;='RFPR cover'!$C$9,"Actuals","Forecast")</f>
        <v>Actuals</v>
      </c>
      <c r="H32" s="57" t="str">
        <f>IF(H33&lt;='RFPR cover'!$C$9,"Actuals","Forecast")</f>
        <v>Actuals</v>
      </c>
      <c r="I32" s="57" t="str">
        <f>IF(I33&lt;='RFPR cover'!$C$9,"Actuals","Forecast")</f>
        <v>Actuals</v>
      </c>
      <c r="J32" s="57" t="str">
        <f>IF(J33&lt;='RFPR cover'!$C$9,"Actuals","Forecast")</f>
        <v>Actuals</v>
      </c>
      <c r="K32" s="57" t="str">
        <f>IF(K33&lt;='RFPR cover'!$C$9,"Actuals","Forecast")</f>
        <v>Forecast</v>
      </c>
      <c r="L32" s="57" t="str">
        <f>IF(L33&lt;='RFPR cover'!$C$9,"Actuals","Forecast")</f>
        <v>Forecast</v>
      </c>
      <c r="M32" s="50"/>
      <c r="N32" s="83"/>
      <c r="O32" s="83"/>
      <c r="P32" s="83"/>
      <c r="Q32" s="83"/>
      <c r="R32" s="83"/>
      <c r="S32" s="83"/>
    </row>
    <row r="33" spans="1:23" ht="58.5" customHeight="1">
      <c r="E33" s="84">
        <v>2021</v>
      </c>
      <c r="F33" s="85">
        <f t="shared" ref="F33:L33" si="4">E33+1</f>
        <v>2022</v>
      </c>
      <c r="G33" s="85">
        <f t="shared" si="4"/>
        <v>2023</v>
      </c>
      <c r="H33" s="85">
        <f t="shared" si="4"/>
        <v>2024</v>
      </c>
      <c r="I33" s="85">
        <f t="shared" si="4"/>
        <v>2025</v>
      </c>
      <c r="J33" s="85">
        <f t="shared" si="4"/>
        <v>2026</v>
      </c>
      <c r="K33" s="85">
        <f t="shared" si="4"/>
        <v>2027</v>
      </c>
      <c r="L33" s="85">
        <f t="shared" si="4"/>
        <v>2028</v>
      </c>
      <c r="M33" s="50"/>
    </row>
    <row r="34" spans="1:23" ht="71.25" customHeight="1">
      <c r="A34" s="86"/>
      <c r="D34" s="87" t="s">
        <v>45</v>
      </c>
      <c r="E34" s="88">
        <f>IF(SectorCov="ED2",E28/INDEX($C$28:$N$28,MATCH($E$27,$C$27:$N$27,0)),E19/INDEX($C$19:$N$19,MATCH($C$18,$C$18:$N$18,0)))</f>
        <v>1.0383269111980469</v>
      </c>
      <c r="F34" s="88">
        <f t="shared" ref="F34:L34" si="5">IF(SectorCov="ED2",F28/INDEX($C$28:$N$28,MATCH($E$27,$C$27:$N$27,0)),F19/INDEX($C$19:$N$19,MATCH($C$18,$C$18:$N$18,0)))</f>
        <v>1.0847835302284383</v>
      </c>
      <c r="G34" s="88">
        <f t="shared" si="5"/>
        <v>1.1799638149272795</v>
      </c>
      <c r="H34" s="88">
        <f t="shared" si="5"/>
        <v>1.2454152449594804</v>
      </c>
      <c r="I34" s="88">
        <f t="shared" si="5"/>
        <v>1.2854532992282626</v>
      </c>
      <c r="J34" s="88">
        <f t="shared" si="5"/>
        <v>1.3341223113034886</v>
      </c>
      <c r="K34" s="88">
        <f t="shared" si="5"/>
        <v>1.3608047575295583</v>
      </c>
      <c r="L34" s="88">
        <f t="shared" si="5"/>
        <v>1.3880208526801494</v>
      </c>
    </row>
    <row r="35" spans="1:23" ht="59.9" customHeight="1">
      <c r="A35" s="86"/>
      <c r="B35" s="86"/>
      <c r="C35" s="86"/>
      <c r="D35" s="89" t="s">
        <v>46</v>
      </c>
      <c r="E35" s="88">
        <f>IF(Sector="ED2",INDEX(Data!$C$28:$N$28,MATCH(E$33,Data!$C$27:$N$27,0))/INDEX(Data!$C$28:$N$28,MATCH(E$33-1,Data!$C$27:$N$27,0)),INDEX(Data!$C$19:$N$19,MATCH(E$33,Data!$C$18:$N$18,0))/INDEX(Data!$C$19:$N$19,MATCH(E$33-1,Data!$C$18:$N$18,0)))</f>
        <v>1.0121283367262093</v>
      </c>
      <c r="F35" s="88">
        <f>IF(Sector="ED2",INDEX(Data!$C$28:$N$28,MATCH(F$33,Data!$C$27:$N$27,0))/INDEX(Data!$C$28:$N$28,MATCH(F$33-1,Data!$C$27:$N$27,0)),INDEX(Data!$C$19:$N$19,MATCH(F$33,Data!$C$18:$N$18,0))/INDEX(Data!$C$19:$N$19,MATCH(F$33-1,Data!$C$18:$N$18,0)))</f>
        <v>1.0447418038860117</v>
      </c>
      <c r="G35" s="88">
        <f>IF(Sector="ED2",INDEX(Data!$C$28:$N$28,MATCH(G$33,Data!$C$27:$N$27,0))/INDEX(Data!$C$28:$N$28,MATCH(G$33-1,Data!$C$27:$N$27,0)),INDEX(Data!$C$19:$N$19,MATCH(G$33,Data!$C$18:$N$18,0))/INDEX(Data!$C$19:$N$19,MATCH(G$33-1,Data!$C$18:$N$18,0)))</f>
        <v>1.0877412700751437</v>
      </c>
      <c r="H35" s="88">
        <f>IF(Sector="ED2",INDEX(Data!$C$28:$N$28,MATCH(H$33,Data!$C$27:$N$27,0))/INDEX(Data!$C$28:$N$28,MATCH(H$33-1,Data!$C$27:$N$27,0)),INDEX(Data!$C$19:$N$19,MATCH(H$33,Data!$C$18:$N$18,0))/INDEX(Data!$C$19:$N$19,MATCH(H$33-1,Data!$C$18:$N$18,0)))</f>
        <v>1.0554690145614631</v>
      </c>
      <c r="I35" s="88">
        <f>IF(Sector="ED2",INDEX(Data!$C$28:$N$28,MATCH(I$33,Data!$C$27:$N$27,0))/INDEX(Data!$C$28:$N$28,MATCH(I$33-1,Data!$C$27:$N$27,0)),INDEX(Data!$C$19:$N$19,MATCH(I$33,Data!$C$18:$N$18,0))/INDEX(Data!$C$19:$N$19,MATCH(I$33-1,Data!$C$18:$N$18,0)))</f>
        <v>1.0321483572895278</v>
      </c>
      <c r="J35" s="88">
        <f>IF(Sector="ED2",INDEX(Data!$C$28:$N$28,MATCH(J$33,Data!$C$27:$N$27,0))/INDEX(Data!$C$28:$N$28,MATCH(J$33-1,Data!$C$27:$N$27,0)),INDEX(Data!$C$19:$N$19,MATCH(J$33,Data!$C$18:$N$18,0))/INDEX(Data!$C$19:$N$19,MATCH(J$33-1,Data!$C$18:$N$18,0)))</f>
        <v>1.0378613615169412</v>
      </c>
      <c r="K35" s="88">
        <f>IF(Sector="ED2",INDEX(Data!$C$28:$N$28,MATCH(K$33,Data!$C$27:$N$27,0))/INDEX(Data!$C$28:$N$28,MATCH(K$33-1,Data!$C$27:$N$27,0)),INDEX(Data!$C$19:$N$19,MATCH(K$33,Data!$C$18:$N$18,0))/INDEX(Data!$C$19:$N$19,MATCH(K$33-1,Data!$C$18:$N$18,0)))</f>
        <v>1.02</v>
      </c>
      <c r="L35" s="88">
        <f>IF(Sector="ED2",INDEX(Data!$C$28:$N$28,MATCH(L$33,Data!$C$27:$N$27,0))/INDEX(Data!$C$28:$N$28,MATCH(L$33-1,Data!$C$27:$N$27,0)),INDEX(Data!$C$19:$N$19,MATCH(L$33,Data!$C$18:$N$18,0))/INDEX(Data!$C$19:$N$19,MATCH(L$33-1,Data!$C$18:$N$18,0)))</f>
        <v>1.02</v>
      </c>
      <c r="M35" s="50"/>
      <c r="N35" s="73"/>
      <c r="O35" s="73"/>
      <c r="P35" s="73"/>
      <c r="Q35" s="73"/>
      <c r="R35" s="73"/>
      <c r="S35" s="73"/>
      <c r="T35" s="73"/>
      <c r="U35" s="73"/>
      <c r="V35" s="73"/>
      <c r="W35" s="73"/>
    </row>
    <row r="36" spans="1:23" ht="67.5">
      <c r="A36" s="86"/>
      <c r="D36" s="89" t="s">
        <v>47</v>
      </c>
      <c r="E36" s="88">
        <f>IF(SectorCov="ED2",INDEX(Data!$C$29:$N$29,MATCH(E$33,Data!$C$27:$N$27,0))/Data!$E$28,INDEX(Data!$C$20:$N$20,MATCH(E$33,Data!$C$18:$N$18,0))/Data!$C$19)</f>
        <v>1.0533528227824487</v>
      </c>
      <c r="F36" s="88">
        <f>IF(SectorCov="ED2",INDEX(Data!$C$29:$N$29,MATCH(F$33,Data!$C$27:$N$27,0))/Data!$E$28,INDEX(Data!$C$20:$N$20,MATCH(F$33,Data!$C$18:$N$18,0))/Data!$C$19)</f>
        <v>1.1292169796764278</v>
      </c>
      <c r="G36" s="88">
        <f>IF(SectorCov="ED2",INDEX(Data!$C$29:$N$29,MATCH(G$33,Data!$C$27:$N$27,0))/Data!$E$28,INDEX(Data!$C$20:$N$20,MATCH(G$33,Data!$C$18:$N$18,0))/Data!$C$19)</f>
        <v>1.2231985202354856</v>
      </c>
      <c r="H36" s="88">
        <f>IF(SectorCov="ED2",INDEX(Data!$C$29:$N$29,MATCH(H$33,Data!$C$27:$N$27,0))/Data!$E$28,INDEX(Data!$C$20:$N$20,MATCH(H$33,Data!$C$18:$N$18,0))/Data!$C$19)</f>
        <v>1.2649148162999651</v>
      </c>
      <c r="I36" s="88">
        <f>IF(SectorCov="ED2",INDEX(Data!$C$29:$N$29,MATCH(I$33,Data!$C$27:$N$27,0))/Data!$E$28,INDEX(Data!$C$20:$N$20,MATCH(I$33,Data!$C$18:$N$18,0))/Data!$C$19)</f>
        <v>1.3128645818913209</v>
      </c>
      <c r="J36" s="88">
        <f>IF(SectorCov="ED2",INDEX(Data!$C$29:$N$29,MATCH(J$33,Data!$C$27:$N$27,0))/Data!$E$28,INDEX(Data!$C$20:$N$20,MATCH(J$33,Data!$C$18:$N$18,0))/Data!$C$19)</f>
        <v>1.3550603756117139</v>
      </c>
      <c r="K36" s="88">
        <f>IF(SectorCov="ED2",INDEX(Data!$C$29:$N$29,MATCH(K$33,Data!$C$27:$N$27,0))/Data!$E$28,INDEX(Data!$C$20:$N$20,MATCH(K$33,Data!$C$18:$N$18,0))/Data!$C$19)</f>
        <v>1.382161583123948</v>
      </c>
      <c r="L36" s="88">
        <f>IF(SectorCov="ED2",INDEX(Data!$C$29:$N$29,MATCH(L$33,Data!$C$27:$N$27,0))/Data!$E$28,INDEX(Data!$C$20:$N$20,MATCH(L$33,Data!$C$18:$N$18,0))/Data!$C$19)</f>
        <v>1.4098048147864271</v>
      </c>
      <c r="M36" s="50"/>
    </row>
    <row r="37" spans="1:23" ht="93.75" customHeight="1">
      <c r="A37" s="86"/>
      <c r="B37" s="90" t="s">
        <v>48</v>
      </c>
      <c r="C37" s="91"/>
      <c r="D37" s="91"/>
      <c r="E37" s="91"/>
      <c r="F37" s="91"/>
      <c r="G37" s="91"/>
      <c r="H37" s="91"/>
      <c r="I37" s="91"/>
      <c r="J37" s="91"/>
      <c r="K37" s="91"/>
      <c r="L37" s="91"/>
      <c r="M37" s="91"/>
      <c r="N37" s="91"/>
      <c r="O37" s="91"/>
      <c r="P37" s="91"/>
      <c r="Q37" s="92"/>
    </row>
    <row r="38" spans="1:23">
      <c r="B38" s="93"/>
      <c r="C38" s="86"/>
      <c r="D38" s="86"/>
      <c r="E38" s="86"/>
      <c r="F38" s="86"/>
      <c r="G38" s="86"/>
      <c r="H38" s="86"/>
      <c r="I38" s="86"/>
      <c r="J38" s="86"/>
    </row>
    <row r="39" spans="1:23">
      <c r="B39" s="94"/>
      <c r="C39" s="94"/>
      <c r="D39" s="95"/>
      <c r="E39" s="94"/>
      <c r="F39" s="96"/>
      <c r="G39" s="97"/>
      <c r="H39" s="97"/>
      <c r="I39" s="97"/>
      <c r="J39" s="98"/>
      <c r="K39" s="98"/>
      <c r="L39" s="95"/>
      <c r="M39" s="95"/>
      <c r="N39" s="95"/>
      <c r="O39" s="95"/>
      <c r="P39" s="95"/>
      <c r="Q39" s="95"/>
      <c r="R39" s="95"/>
      <c r="S39" s="95"/>
      <c r="T39" s="95"/>
    </row>
    <row r="40" spans="1:23">
      <c r="B40" s="99" t="s">
        <v>49</v>
      </c>
      <c r="C40" s="14"/>
      <c r="I40" s="100"/>
    </row>
    <row r="41" spans="1:23">
      <c r="C41" s="84">
        <v>2022</v>
      </c>
      <c r="D41" s="85">
        <f t="shared" ref="D41:I41" si="6">C41+1</f>
        <v>2023</v>
      </c>
      <c r="E41" s="85">
        <f t="shared" si="6"/>
        <v>2024</v>
      </c>
      <c r="F41" s="85">
        <f t="shared" si="6"/>
        <v>2025</v>
      </c>
      <c r="G41" s="85">
        <f t="shared" si="6"/>
        <v>2026</v>
      </c>
      <c r="H41" s="85">
        <f t="shared" si="6"/>
        <v>2027</v>
      </c>
      <c r="I41" s="85">
        <f t="shared" si="6"/>
        <v>2028</v>
      </c>
    </row>
    <row r="42" spans="1:23">
      <c r="B42" s="101" t="s">
        <v>50</v>
      </c>
      <c r="C42" s="102"/>
      <c r="D42" s="103"/>
      <c r="E42" s="104">
        <v>3.04E-2</v>
      </c>
      <c r="F42" s="104">
        <v>3.1099999999999999E-2</v>
      </c>
      <c r="G42" s="104">
        <v>3.1300000000000001E-2</v>
      </c>
      <c r="H42" s="104">
        <v>3.1300000000000001E-2</v>
      </c>
      <c r="I42" s="105">
        <v>3.1399999999999997E-2</v>
      </c>
    </row>
    <row r="43" spans="1:23">
      <c r="B43" s="106" t="s">
        <v>51</v>
      </c>
      <c r="C43" s="107"/>
      <c r="D43" s="108"/>
      <c r="E43" s="109">
        <v>3.04E-2</v>
      </c>
      <c r="F43" s="109">
        <v>3.1099999999999999E-2</v>
      </c>
      <c r="G43" s="109">
        <v>3.1300000000000001E-2</v>
      </c>
      <c r="H43" s="109">
        <v>3.1300000000000001E-2</v>
      </c>
      <c r="I43" s="110">
        <v>3.1399999999999997E-2</v>
      </c>
    </row>
    <row r="44" spans="1:23">
      <c r="B44" s="106" t="s">
        <v>52</v>
      </c>
      <c r="C44" s="107"/>
      <c r="D44" s="108"/>
      <c r="E44" s="109">
        <v>3.04E-2</v>
      </c>
      <c r="F44" s="109">
        <v>3.1099999999999999E-2</v>
      </c>
      <c r="G44" s="109">
        <v>3.1300000000000001E-2</v>
      </c>
      <c r="H44" s="109">
        <v>3.1300000000000001E-2</v>
      </c>
      <c r="I44" s="110">
        <v>3.1399999999999997E-2</v>
      </c>
    </row>
    <row r="45" spans="1:23">
      <c r="A45" s="111"/>
      <c r="B45" s="112" t="s">
        <v>53</v>
      </c>
      <c r="C45" s="113"/>
      <c r="D45" s="114"/>
      <c r="E45" s="115">
        <v>3.1E-2</v>
      </c>
      <c r="F45" s="115">
        <v>3.1699999999999999E-2</v>
      </c>
      <c r="G45" s="115">
        <v>3.1899999999999998E-2</v>
      </c>
      <c r="H45" s="115">
        <v>3.1899999999999998E-2</v>
      </c>
      <c r="I45" s="116">
        <v>3.1899999999999998E-2</v>
      </c>
    </row>
    <row r="46" spans="1:23">
      <c r="A46" s="111"/>
      <c r="B46" s="112" t="s">
        <v>54</v>
      </c>
      <c r="C46" s="112">
        <v>1.8184707641684131E-2</v>
      </c>
      <c r="D46" s="115">
        <v>1.5816904422859705E-2</v>
      </c>
      <c r="E46" s="115">
        <v>1.8016000499583691E-2</v>
      </c>
      <c r="F46" s="115">
        <v>2.3111514046595519E-2</v>
      </c>
      <c r="G46" s="115">
        <v>2.6621070489787287E-2</v>
      </c>
      <c r="H46" s="114"/>
      <c r="I46" s="117"/>
    </row>
    <row r="47" spans="1:23">
      <c r="A47" s="118"/>
      <c r="B47" s="112" t="s">
        <v>55</v>
      </c>
      <c r="C47" s="112">
        <v>2.0500000000000001E-2</v>
      </c>
      <c r="D47" s="115">
        <v>1.9E-2</v>
      </c>
      <c r="E47" s="115">
        <v>1.9199999999999998E-2</v>
      </c>
      <c r="F47" s="115">
        <v>2.1100000000000001E-2</v>
      </c>
      <c r="G47" s="115">
        <v>2.2599999999999999E-2</v>
      </c>
      <c r="H47" s="114"/>
      <c r="I47" s="117"/>
      <c r="N47" s="119"/>
      <c r="O47" s="119"/>
      <c r="P47" s="119"/>
      <c r="Q47" s="119"/>
      <c r="R47" s="119"/>
    </row>
    <row r="48" spans="1:23">
      <c r="A48" s="111"/>
      <c r="B48" s="112" t="s">
        <v>25</v>
      </c>
      <c r="C48" s="112">
        <v>2.0500000000000001E-2</v>
      </c>
      <c r="D48" s="115">
        <v>1.9E-2</v>
      </c>
      <c r="E48" s="115">
        <v>1.9199999999999998E-2</v>
      </c>
      <c r="F48" s="115">
        <v>2.1100000000000001E-2</v>
      </c>
      <c r="G48" s="115">
        <v>2.2599999999999999E-2</v>
      </c>
      <c r="H48" s="114"/>
      <c r="I48" s="117"/>
    </row>
    <row r="49" spans="1:23">
      <c r="A49" s="111"/>
      <c r="B49" s="112" t="s">
        <v>56</v>
      </c>
      <c r="C49" s="112">
        <v>2.1100000000000001E-2</v>
      </c>
      <c r="D49" s="115">
        <v>1.9599999999999999E-2</v>
      </c>
      <c r="E49" s="115">
        <v>1.9799999999999998E-2</v>
      </c>
      <c r="F49" s="115">
        <v>2.1700000000000001E-2</v>
      </c>
      <c r="G49" s="115">
        <v>2.3199999999999998E-2</v>
      </c>
      <c r="H49" s="114"/>
      <c r="I49" s="117"/>
    </row>
    <row r="50" spans="1:23">
      <c r="A50" s="111"/>
      <c r="B50" s="112" t="s">
        <v>27</v>
      </c>
      <c r="C50" s="112">
        <v>2.0500000000000001E-2</v>
      </c>
      <c r="D50" s="115">
        <v>1.9E-2</v>
      </c>
      <c r="E50" s="115">
        <v>1.9199999999999998E-2</v>
      </c>
      <c r="F50" s="115">
        <v>2.1100000000000001E-2</v>
      </c>
      <c r="G50" s="115">
        <v>2.2599999999999999E-2</v>
      </c>
      <c r="H50" s="114"/>
      <c r="I50" s="117"/>
    </row>
    <row r="51" spans="1:23">
      <c r="A51" s="111"/>
      <c r="B51" s="120" t="s">
        <v>29</v>
      </c>
      <c r="C51" s="120">
        <v>-5.9999999999999995E-4</v>
      </c>
      <c r="D51" s="121">
        <v>2.12E-2</v>
      </c>
      <c r="E51" s="121">
        <v>5.0099999999999999E-2</v>
      </c>
      <c r="F51" s="121">
        <v>4.7300000000000002E-2</v>
      </c>
      <c r="G51" s="121">
        <v>4.19E-2</v>
      </c>
      <c r="H51" s="122"/>
      <c r="I51" s="123"/>
    </row>
    <row r="52" spans="1:23">
      <c r="C52" s="124"/>
      <c r="D52" s="124"/>
      <c r="E52" s="124"/>
      <c r="F52" s="124"/>
      <c r="G52" s="124"/>
      <c r="H52" s="100"/>
    </row>
    <row r="53" spans="1:23">
      <c r="B53" s="99" t="s">
        <v>57</v>
      </c>
      <c r="C53" s="14"/>
      <c r="D53" s="14"/>
      <c r="E53" s="14"/>
      <c r="F53" s="14"/>
      <c r="G53" s="14"/>
      <c r="I53" s="100"/>
    </row>
    <row r="54" spans="1:23">
      <c r="A54" s="31" t="s">
        <v>6</v>
      </c>
      <c r="C54" s="84">
        <v>2022</v>
      </c>
      <c r="D54" s="85">
        <f t="shared" ref="D54:I54" si="7">C54+1</f>
        <v>2023</v>
      </c>
      <c r="E54" s="85">
        <f t="shared" si="7"/>
        <v>2024</v>
      </c>
      <c r="F54" s="85">
        <f t="shared" si="7"/>
        <v>2025</v>
      </c>
      <c r="G54" s="85">
        <f t="shared" si="7"/>
        <v>2026</v>
      </c>
      <c r="H54" s="85">
        <f t="shared" si="7"/>
        <v>2027</v>
      </c>
      <c r="I54" s="85">
        <f t="shared" si="7"/>
        <v>2028</v>
      </c>
    </row>
    <row r="55" spans="1:23">
      <c r="A55" s="31" t="s">
        <v>42</v>
      </c>
      <c r="B55" s="112" t="s">
        <v>19</v>
      </c>
      <c r="C55" s="113"/>
      <c r="D55" s="114"/>
      <c r="E55" s="115">
        <v>5.2833944000000001E-2</v>
      </c>
      <c r="F55" s="115">
        <v>5.5875458000000003E-2</v>
      </c>
      <c r="G55" s="115">
        <v>5.4475396000000002E-2</v>
      </c>
      <c r="H55" s="115">
        <v>5.4934037000000012E-2</v>
      </c>
      <c r="I55" s="116">
        <v>5.5127149E-2</v>
      </c>
    </row>
    <row r="56" spans="1:23">
      <c r="A56" s="31" t="s">
        <v>58</v>
      </c>
      <c r="B56" s="112" t="s">
        <v>22</v>
      </c>
      <c r="C56" s="112">
        <v>4.2439449777777784E-2</v>
      </c>
      <c r="D56" s="115">
        <v>4.2616093333333334E-2</v>
      </c>
      <c r="E56" s="115">
        <v>4.909683911111111E-2</v>
      </c>
      <c r="F56" s="115">
        <v>5.2011518222222233E-2</v>
      </c>
      <c r="G56" s="115">
        <v>5.0933685333333333E-2</v>
      </c>
      <c r="H56" s="114"/>
      <c r="I56" s="117"/>
      <c r="N56" s="119"/>
      <c r="O56" s="119"/>
      <c r="P56" s="119"/>
      <c r="Q56" s="119"/>
      <c r="R56" s="119"/>
    </row>
    <row r="57" spans="1:23">
      <c r="A57" s="31" t="s">
        <v>59</v>
      </c>
      <c r="B57" s="112" t="s">
        <v>25</v>
      </c>
      <c r="C57" s="112">
        <v>4.5181881000000007E-2</v>
      </c>
      <c r="D57" s="115">
        <v>4.5568105000000005E-2</v>
      </c>
      <c r="E57" s="115">
        <v>5.2833944000000001E-2</v>
      </c>
      <c r="F57" s="115">
        <v>5.5875458000000003E-2</v>
      </c>
      <c r="G57" s="115">
        <v>5.4475395999999995E-2</v>
      </c>
      <c r="H57" s="114"/>
      <c r="I57" s="117"/>
    </row>
    <row r="58" spans="1:23">
      <c r="A58" s="31" t="s">
        <v>60</v>
      </c>
      <c r="B58" s="112" t="s">
        <v>27</v>
      </c>
      <c r="C58" s="125">
        <v>4.5181881000000007E-2</v>
      </c>
      <c r="D58" s="126">
        <v>4.5568105000000005E-2</v>
      </c>
      <c r="E58" s="126">
        <v>5.2833944000000001E-2</v>
      </c>
      <c r="F58" s="126">
        <v>5.5875458000000003E-2</v>
      </c>
      <c r="G58" s="126">
        <v>5.4475395999999995E-2</v>
      </c>
      <c r="H58" s="114"/>
      <c r="I58" s="117"/>
    </row>
    <row r="59" spans="1:23">
      <c r="A59" s="31" t="s">
        <v>61</v>
      </c>
      <c r="B59" s="120" t="s">
        <v>29</v>
      </c>
      <c r="C59" s="127">
        <v>7.5718976000000007E-2</v>
      </c>
      <c r="D59" s="127">
        <v>7.5510080000000007E-2</v>
      </c>
      <c r="E59" s="127">
        <v>7.1580223999999998E-2</v>
      </c>
      <c r="F59" s="127">
        <v>6.9935168000000006E-2</v>
      </c>
      <c r="G59" s="127">
        <v>7.0313792E-2</v>
      </c>
      <c r="H59" s="128"/>
      <c r="I59" s="123"/>
    </row>
    <row r="60" spans="1:23" ht="14" thickBot="1">
      <c r="A60" s="111"/>
      <c r="B60" s="124"/>
      <c r="C60" s="124"/>
      <c r="D60" s="124"/>
      <c r="E60" s="124"/>
      <c r="F60" s="124"/>
      <c r="G60" s="124"/>
      <c r="H60" s="129"/>
      <c r="I60" s="129"/>
    </row>
    <row r="61" spans="1:23" s="73" customFormat="1" ht="41" thickBot="1">
      <c r="A61"/>
      <c r="B61" s="130"/>
      <c r="C61" s="131" t="s">
        <v>62</v>
      </c>
      <c r="D61" s="131" t="s">
        <v>63</v>
      </c>
      <c r="E61" s="131" t="s">
        <v>64</v>
      </c>
      <c r="F61" s="131" t="s">
        <v>65</v>
      </c>
      <c r="G61" s="132" t="s">
        <v>66</v>
      </c>
      <c r="H61" s="133" t="s">
        <v>67</v>
      </c>
      <c r="I61" s="134"/>
      <c r="J61" s="134"/>
      <c r="K61" s="134"/>
      <c r="L61" s="134"/>
      <c r="M61" s="134"/>
      <c r="N61" s="134"/>
      <c r="O61" s="135" t="s">
        <v>68</v>
      </c>
      <c r="P61" s="136"/>
      <c r="Q61" s="136"/>
      <c r="R61" s="136"/>
      <c r="S61" s="136"/>
      <c r="T61" s="136"/>
      <c r="U61" s="137"/>
      <c r="V61"/>
      <c r="W61"/>
    </row>
    <row r="62" spans="1:23" ht="14" thickBot="1">
      <c r="A62" s="138" t="s">
        <v>6</v>
      </c>
      <c r="B62" s="139" t="s">
        <v>69</v>
      </c>
      <c r="C62" s="140"/>
      <c r="D62" s="140"/>
      <c r="E62" s="141"/>
      <c r="F62" s="142"/>
      <c r="G62" s="143"/>
      <c r="H62" s="144">
        <v>2022</v>
      </c>
      <c r="I62" s="145">
        <f t="shared" ref="I62:N62" si="8">H62+1</f>
        <v>2023</v>
      </c>
      <c r="J62" s="145">
        <f t="shared" si="8"/>
        <v>2024</v>
      </c>
      <c r="K62" s="146">
        <f t="shared" si="8"/>
        <v>2025</v>
      </c>
      <c r="L62" s="146">
        <f t="shared" si="8"/>
        <v>2026</v>
      </c>
      <c r="M62" s="146">
        <f t="shared" si="8"/>
        <v>2027</v>
      </c>
      <c r="N62" s="147">
        <f t="shared" si="8"/>
        <v>2028</v>
      </c>
      <c r="O62" s="148">
        <v>2022</v>
      </c>
      <c r="P62" s="149">
        <f t="shared" ref="P62:U62" si="9">O62+1</f>
        <v>2023</v>
      </c>
      <c r="Q62" s="149">
        <f t="shared" si="9"/>
        <v>2024</v>
      </c>
      <c r="R62" s="150">
        <f t="shared" si="9"/>
        <v>2025</v>
      </c>
      <c r="S62" s="150">
        <f t="shared" si="9"/>
        <v>2026</v>
      </c>
      <c r="T62" s="150">
        <f t="shared" si="9"/>
        <v>2027</v>
      </c>
      <c r="U62" s="151">
        <f t="shared" si="9"/>
        <v>2028</v>
      </c>
    </row>
    <row r="63" spans="1:23">
      <c r="A63" s="31" t="s">
        <v>19</v>
      </c>
      <c r="B63" s="152" t="s">
        <v>70</v>
      </c>
      <c r="C63" s="153">
        <v>0.50600000000000001</v>
      </c>
      <c r="D63" s="115">
        <v>0.6</v>
      </c>
      <c r="E63" s="154">
        <v>2024</v>
      </c>
      <c r="F63" s="155" t="str">
        <f t="shared" ref="F63:F91" si="10">VLOOKUP($A63,$H$6:$I$10,2,FALSE)</f>
        <v>£m 20/21</v>
      </c>
      <c r="G63" s="156" t="s">
        <v>53</v>
      </c>
      <c r="H63" s="157"/>
      <c r="I63" s="158"/>
      <c r="J63" s="159">
        <f t="shared" ref="J63:N76" si="11">INDEX($C$42:$I$51,MATCH($G63,$B$42:$B$51,0),MATCH(J$62,$C$41:$I$41))</f>
        <v>3.1E-2</v>
      </c>
      <c r="K63" s="159">
        <f t="shared" si="11"/>
        <v>3.1699999999999999E-2</v>
      </c>
      <c r="L63" s="159">
        <f t="shared" si="11"/>
        <v>3.1899999999999998E-2</v>
      </c>
      <c r="M63" s="160">
        <f t="shared" si="11"/>
        <v>3.1899999999999998E-2</v>
      </c>
      <c r="N63" s="161">
        <f t="shared" si="11"/>
        <v>3.1899999999999998E-2</v>
      </c>
      <c r="O63" s="162"/>
      <c r="P63" s="103"/>
      <c r="Q63" s="163">
        <f t="shared" ref="Q63:U76" si="12">INDEX($C$55:$I$59,MATCH($A63,$B$55:$B$59,0),MATCH(Q$62,$C$54:$I$54))</f>
        <v>5.2833944000000001E-2</v>
      </c>
      <c r="R63" s="163">
        <f t="shared" si="12"/>
        <v>5.5875458000000003E-2</v>
      </c>
      <c r="S63" s="163">
        <f t="shared" si="12"/>
        <v>5.4475396000000002E-2</v>
      </c>
      <c r="T63" s="160">
        <f t="shared" si="12"/>
        <v>5.4934037000000012E-2</v>
      </c>
      <c r="U63" s="161">
        <f t="shared" si="12"/>
        <v>5.5127149E-2</v>
      </c>
    </row>
    <row r="64" spans="1:23">
      <c r="A64" s="31" t="s">
        <v>19</v>
      </c>
      <c r="B64" s="164" t="s">
        <v>71</v>
      </c>
      <c r="C64" s="115">
        <v>0.501</v>
      </c>
      <c r="D64" s="115">
        <v>0.6</v>
      </c>
      <c r="E64" s="165">
        <v>2024</v>
      </c>
      <c r="F64" s="166" t="str">
        <f t="shared" si="10"/>
        <v>£m 20/21</v>
      </c>
      <c r="G64" s="167" t="s">
        <v>53</v>
      </c>
      <c r="H64" s="168"/>
      <c r="I64" s="114"/>
      <c r="J64" s="160">
        <f t="shared" si="11"/>
        <v>3.1E-2</v>
      </c>
      <c r="K64" s="160">
        <f t="shared" si="11"/>
        <v>3.1699999999999999E-2</v>
      </c>
      <c r="L64" s="160">
        <f t="shared" si="11"/>
        <v>3.1899999999999998E-2</v>
      </c>
      <c r="M64" s="160">
        <f t="shared" si="11"/>
        <v>3.1899999999999998E-2</v>
      </c>
      <c r="N64" s="161">
        <f t="shared" si="11"/>
        <v>3.1899999999999998E-2</v>
      </c>
      <c r="O64" s="168"/>
      <c r="P64" s="114"/>
      <c r="Q64" s="160">
        <f t="shared" si="12"/>
        <v>5.2833944000000001E-2</v>
      </c>
      <c r="R64" s="160">
        <f t="shared" si="12"/>
        <v>5.5875458000000003E-2</v>
      </c>
      <c r="S64" s="160">
        <f t="shared" si="12"/>
        <v>5.4475396000000002E-2</v>
      </c>
      <c r="T64" s="160">
        <f t="shared" si="12"/>
        <v>5.4934037000000012E-2</v>
      </c>
      <c r="U64" s="161">
        <f t="shared" si="12"/>
        <v>5.5127149E-2</v>
      </c>
    </row>
    <row r="65" spans="1:21">
      <c r="A65" s="31" t="s">
        <v>19</v>
      </c>
      <c r="B65" s="164" t="s">
        <v>72</v>
      </c>
      <c r="C65" s="115">
        <v>0.501</v>
      </c>
      <c r="D65" s="115">
        <v>0.6</v>
      </c>
      <c r="E65" s="165">
        <v>2024</v>
      </c>
      <c r="F65" s="166" t="str">
        <f t="shared" si="10"/>
        <v>£m 20/21</v>
      </c>
      <c r="G65" s="167" t="s">
        <v>53</v>
      </c>
      <c r="H65" s="168"/>
      <c r="I65" s="114"/>
      <c r="J65" s="160">
        <f t="shared" si="11"/>
        <v>3.1E-2</v>
      </c>
      <c r="K65" s="160">
        <f t="shared" si="11"/>
        <v>3.1699999999999999E-2</v>
      </c>
      <c r="L65" s="160">
        <f t="shared" si="11"/>
        <v>3.1899999999999998E-2</v>
      </c>
      <c r="M65" s="160">
        <f t="shared" si="11"/>
        <v>3.1899999999999998E-2</v>
      </c>
      <c r="N65" s="161">
        <f t="shared" si="11"/>
        <v>3.1899999999999998E-2</v>
      </c>
      <c r="O65" s="168"/>
      <c r="P65" s="114"/>
      <c r="Q65" s="160">
        <f t="shared" si="12"/>
        <v>5.2833944000000001E-2</v>
      </c>
      <c r="R65" s="160">
        <f t="shared" si="12"/>
        <v>5.5875458000000003E-2</v>
      </c>
      <c r="S65" s="160">
        <f t="shared" si="12"/>
        <v>5.4475396000000002E-2</v>
      </c>
      <c r="T65" s="160">
        <f t="shared" si="12"/>
        <v>5.4934037000000012E-2</v>
      </c>
      <c r="U65" s="161">
        <f t="shared" si="12"/>
        <v>5.5127149E-2</v>
      </c>
    </row>
    <row r="66" spans="1:21">
      <c r="A66" s="31" t="s">
        <v>19</v>
      </c>
      <c r="B66" s="164" t="s">
        <v>52</v>
      </c>
      <c r="C66" s="115">
        <v>0.5</v>
      </c>
      <c r="D66" s="115">
        <v>0.6</v>
      </c>
      <c r="E66" s="165">
        <v>2024</v>
      </c>
      <c r="F66" s="166" t="str">
        <f t="shared" si="10"/>
        <v>£m 20/21</v>
      </c>
      <c r="G66" s="167" t="s">
        <v>52</v>
      </c>
      <c r="H66" s="168"/>
      <c r="I66" s="114"/>
      <c r="J66" s="160">
        <f t="shared" si="11"/>
        <v>3.04E-2</v>
      </c>
      <c r="K66" s="160">
        <f t="shared" si="11"/>
        <v>3.1099999999999999E-2</v>
      </c>
      <c r="L66" s="160">
        <f t="shared" si="11"/>
        <v>3.1300000000000001E-2</v>
      </c>
      <c r="M66" s="160">
        <f t="shared" si="11"/>
        <v>3.1300000000000001E-2</v>
      </c>
      <c r="N66" s="161">
        <f t="shared" si="11"/>
        <v>3.1399999999999997E-2</v>
      </c>
      <c r="O66" s="168"/>
      <c r="P66" s="114"/>
      <c r="Q66" s="160">
        <f t="shared" si="12"/>
        <v>5.2833944000000001E-2</v>
      </c>
      <c r="R66" s="160">
        <f t="shared" si="12"/>
        <v>5.5875458000000003E-2</v>
      </c>
      <c r="S66" s="160">
        <f t="shared" si="12"/>
        <v>5.4475396000000002E-2</v>
      </c>
      <c r="T66" s="160">
        <f t="shared" si="12"/>
        <v>5.4934037000000012E-2</v>
      </c>
      <c r="U66" s="161">
        <f t="shared" si="12"/>
        <v>5.5127149E-2</v>
      </c>
    </row>
    <row r="67" spans="1:21">
      <c r="A67" s="31" t="s">
        <v>19</v>
      </c>
      <c r="B67" s="164" t="s">
        <v>73</v>
      </c>
      <c r="C67" s="115">
        <v>0.5</v>
      </c>
      <c r="D67" s="115">
        <v>0.6</v>
      </c>
      <c r="E67" s="165">
        <v>2024</v>
      </c>
      <c r="F67" s="166" t="str">
        <f t="shared" si="10"/>
        <v>£m 20/21</v>
      </c>
      <c r="G67" s="167" t="s">
        <v>53</v>
      </c>
      <c r="H67" s="168"/>
      <c r="I67" s="114"/>
      <c r="J67" s="160">
        <f t="shared" si="11"/>
        <v>3.1E-2</v>
      </c>
      <c r="K67" s="160">
        <f t="shared" si="11"/>
        <v>3.1699999999999999E-2</v>
      </c>
      <c r="L67" s="160">
        <f t="shared" si="11"/>
        <v>3.1899999999999998E-2</v>
      </c>
      <c r="M67" s="160">
        <f t="shared" si="11"/>
        <v>3.1899999999999998E-2</v>
      </c>
      <c r="N67" s="161">
        <f t="shared" si="11"/>
        <v>3.1899999999999998E-2</v>
      </c>
      <c r="O67" s="168"/>
      <c r="P67" s="114"/>
      <c r="Q67" s="160">
        <f t="shared" si="12"/>
        <v>5.2833944000000001E-2</v>
      </c>
      <c r="R67" s="160">
        <f t="shared" si="12"/>
        <v>5.5875458000000003E-2</v>
      </c>
      <c r="S67" s="160">
        <f t="shared" si="12"/>
        <v>5.4475396000000002E-2</v>
      </c>
      <c r="T67" s="160">
        <f t="shared" si="12"/>
        <v>5.4934037000000012E-2</v>
      </c>
      <c r="U67" s="161">
        <f t="shared" si="12"/>
        <v>5.5127149E-2</v>
      </c>
    </row>
    <row r="68" spans="1:21">
      <c r="A68" s="31" t="s">
        <v>19</v>
      </c>
      <c r="B68" s="164" t="s">
        <v>74</v>
      </c>
      <c r="C68" s="115">
        <v>0.5</v>
      </c>
      <c r="D68" s="115">
        <v>0.6</v>
      </c>
      <c r="E68" s="165">
        <v>2024</v>
      </c>
      <c r="F68" s="166" t="str">
        <f t="shared" si="10"/>
        <v>£m 20/21</v>
      </c>
      <c r="G68" s="167" t="s">
        <v>53</v>
      </c>
      <c r="H68" s="168"/>
      <c r="I68" s="114"/>
      <c r="J68" s="160">
        <f t="shared" si="11"/>
        <v>3.1E-2</v>
      </c>
      <c r="K68" s="160">
        <f t="shared" si="11"/>
        <v>3.1699999999999999E-2</v>
      </c>
      <c r="L68" s="160">
        <f t="shared" si="11"/>
        <v>3.1899999999999998E-2</v>
      </c>
      <c r="M68" s="160">
        <f t="shared" si="11"/>
        <v>3.1899999999999998E-2</v>
      </c>
      <c r="N68" s="161">
        <f t="shared" si="11"/>
        <v>3.1899999999999998E-2</v>
      </c>
      <c r="O68" s="168"/>
      <c r="P68" s="114"/>
      <c r="Q68" s="160">
        <f t="shared" si="12"/>
        <v>5.2833944000000001E-2</v>
      </c>
      <c r="R68" s="160">
        <f t="shared" si="12"/>
        <v>5.5875458000000003E-2</v>
      </c>
      <c r="S68" s="160">
        <f t="shared" si="12"/>
        <v>5.4475396000000002E-2</v>
      </c>
      <c r="T68" s="160">
        <f t="shared" si="12"/>
        <v>5.4934037000000012E-2</v>
      </c>
      <c r="U68" s="161">
        <f t="shared" si="12"/>
        <v>5.5127149E-2</v>
      </c>
    </row>
    <row r="69" spans="1:21">
      <c r="A69" s="31" t="s">
        <v>19</v>
      </c>
      <c r="B69" s="164" t="s">
        <v>75</v>
      </c>
      <c r="C69" s="115">
        <v>0.5</v>
      </c>
      <c r="D69" s="115">
        <v>0.6</v>
      </c>
      <c r="E69" s="165">
        <v>2024</v>
      </c>
      <c r="F69" s="166" t="str">
        <f t="shared" si="10"/>
        <v>£m 20/21</v>
      </c>
      <c r="G69" s="167" t="s">
        <v>53</v>
      </c>
      <c r="H69" s="168"/>
      <c r="I69" s="114"/>
      <c r="J69" s="160">
        <f t="shared" si="11"/>
        <v>3.1E-2</v>
      </c>
      <c r="K69" s="160">
        <f t="shared" si="11"/>
        <v>3.1699999999999999E-2</v>
      </c>
      <c r="L69" s="160">
        <f t="shared" si="11"/>
        <v>3.1899999999999998E-2</v>
      </c>
      <c r="M69" s="160">
        <f t="shared" si="11"/>
        <v>3.1899999999999998E-2</v>
      </c>
      <c r="N69" s="161">
        <f t="shared" si="11"/>
        <v>3.1899999999999998E-2</v>
      </c>
      <c r="O69" s="168"/>
      <c r="P69" s="114"/>
      <c r="Q69" s="160">
        <f t="shared" si="12"/>
        <v>5.2833944000000001E-2</v>
      </c>
      <c r="R69" s="160">
        <f t="shared" si="12"/>
        <v>5.5875458000000003E-2</v>
      </c>
      <c r="S69" s="160">
        <f t="shared" si="12"/>
        <v>5.4475396000000002E-2</v>
      </c>
      <c r="T69" s="160">
        <f t="shared" si="12"/>
        <v>5.4934037000000012E-2</v>
      </c>
      <c r="U69" s="161">
        <f t="shared" si="12"/>
        <v>5.5127149E-2</v>
      </c>
    </row>
    <row r="70" spans="1:21">
      <c r="A70" s="31" t="s">
        <v>19</v>
      </c>
      <c r="B70" s="164" t="s">
        <v>76</v>
      </c>
      <c r="C70" s="115">
        <v>0.5</v>
      </c>
      <c r="D70" s="115">
        <v>0.6</v>
      </c>
      <c r="E70" s="165">
        <v>2024</v>
      </c>
      <c r="F70" s="166" t="str">
        <f t="shared" si="10"/>
        <v>£m 20/21</v>
      </c>
      <c r="G70" s="167" t="s">
        <v>53</v>
      </c>
      <c r="H70" s="168"/>
      <c r="I70" s="114"/>
      <c r="J70" s="160">
        <f t="shared" si="11"/>
        <v>3.1E-2</v>
      </c>
      <c r="K70" s="160">
        <f t="shared" si="11"/>
        <v>3.1699999999999999E-2</v>
      </c>
      <c r="L70" s="160">
        <f t="shared" si="11"/>
        <v>3.1899999999999998E-2</v>
      </c>
      <c r="M70" s="160">
        <f t="shared" si="11"/>
        <v>3.1899999999999998E-2</v>
      </c>
      <c r="N70" s="161">
        <f t="shared" si="11"/>
        <v>3.1899999999999998E-2</v>
      </c>
      <c r="O70" s="168"/>
      <c r="P70" s="114"/>
      <c r="Q70" s="160">
        <f t="shared" si="12"/>
        <v>5.2833944000000001E-2</v>
      </c>
      <c r="R70" s="160">
        <f t="shared" si="12"/>
        <v>5.5875458000000003E-2</v>
      </c>
      <c r="S70" s="160">
        <f t="shared" si="12"/>
        <v>5.4475396000000002E-2</v>
      </c>
      <c r="T70" s="160">
        <f t="shared" si="12"/>
        <v>5.4934037000000012E-2</v>
      </c>
      <c r="U70" s="161">
        <f t="shared" si="12"/>
        <v>5.5127149E-2</v>
      </c>
    </row>
    <row r="71" spans="1:21">
      <c r="A71" s="31" t="s">
        <v>19</v>
      </c>
      <c r="B71" s="164" t="s">
        <v>77</v>
      </c>
      <c r="C71" s="115">
        <v>0.50700000000000001</v>
      </c>
      <c r="D71" s="115">
        <v>0.6</v>
      </c>
      <c r="E71" s="165">
        <v>2024</v>
      </c>
      <c r="F71" s="166" t="str">
        <f t="shared" si="10"/>
        <v>£m 20/21</v>
      </c>
      <c r="G71" s="167" t="s">
        <v>53</v>
      </c>
      <c r="H71" s="168"/>
      <c r="I71" s="114"/>
      <c r="J71" s="160">
        <f t="shared" si="11"/>
        <v>3.1E-2</v>
      </c>
      <c r="K71" s="160">
        <f t="shared" si="11"/>
        <v>3.1699999999999999E-2</v>
      </c>
      <c r="L71" s="160">
        <f t="shared" si="11"/>
        <v>3.1899999999999998E-2</v>
      </c>
      <c r="M71" s="160">
        <f t="shared" si="11"/>
        <v>3.1899999999999998E-2</v>
      </c>
      <c r="N71" s="161">
        <f t="shared" si="11"/>
        <v>3.1899999999999998E-2</v>
      </c>
      <c r="O71" s="168"/>
      <c r="P71" s="114"/>
      <c r="Q71" s="160">
        <f t="shared" si="12"/>
        <v>5.2833944000000001E-2</v>
      </c>
      <c r="R71" s="160">
        <f t="shared" si="12"/>
        <v>5.5875458000000003E-2</v>
      </c>
      <c r="S71" s="160">
        <f t="shared" si="12"/>
        <v>5.4475396000000002E-2</v>
      </c>
      <c r="T71" s="160">
        <f t="shared" si="12"/>
        <v>5.4934037000000012E-2</v>
      </c>
      <c r="U71" s="161">
        <f t="shared" si="12"/>
        <v>5.5127149E-2</v>
      </c>
    </row>
    <row r="72" spans="1:21">
      <c r="A72" s="31" t="s">
        <v>19</v>
      </c>
      <c r="B72" s="164" t="s">
        <v>50</v>
      </c>
      <c r="C72" s="115">
        <v>0.50700000000000001</v>
      </c>
      <c r="D72" s="115">
        <v>0.6</v>
      </c>
      <c r="E72" s="165">
        <v>2024</v>
      </c>
      <c r="F72" s="166" t="str">
        <f t="shared" si="10"/>
        <v>£m 20/21</v>
      </c>
      <c r="G72" s="167" t="s">
        <v>50</v>
      </c>
      <c r="H72" s="168"/>
      <c r="I72" s="114"/>
      <c r="J72" s="160">
        <f t="shared" si="11"/>
        <v>3.04E-2</v>
      </c>
      <c r="K72" s="160">
        <f t="shared" si="11"/>
        <v>3.1099999999999999E-2</v>
      </c>
      <c r="L72" s="160">
        <f t="shared" si="11"/>
        <v>3.1300000000000001E-2</v>
      </c>
      <c r="M72" s="160">
        <f t="shared" si="11"/>
        <v>3.1300000000000001E-2</v>
      </c>
      <c r="N72" s="161">
        <f t="shared" si="11"/>
        <v>3.1399999999999997E-2</v>
      </c>
      <c r="O72" s="168"/>
      <c r="P72" s="114"/>
      <c r="Q72" s="160">
        <f t="shared" si="12"/>
        <v>5.2833944000000001E-2</v>
      </c>
      <c r="R72" s="160">
        <f t="shared" si="12"/>
        <v>5.5875458000000003E-2</v>
      </c>
      <c r="S72" s="160">
        <f t="shared" si="12"/>
        <v>5.4475396000000002E-2</v>
      </c>
      <c r="T72" s="160">
        <f t="shared" si="12"/>
        <v>5.4934037000000012E-2</v>
      </c>
      <c r="U72" s="161">
        <f t="shared" si="12"/>
        <v>5.5127149E-2</v>
      </c>
    </row>
    <row r="73" spans="1:21">
      <c r="A73" s="31" t="s">
        <v>19</v>
      </c>
      <c r="B73" s="164" t="s">
        <v>51</v>
      </c>
      <c r="C73" s="115">
        <v>0.5</v>
      </c>
      <c r="D73" s="115">
        <v>0.6</v>
      </c>
      <c r="E73" s="165">
        <v>2024</v>
      </c>
      <c r="F73" s="166" t="str">
        <f t="shared" si="10"/>
        <v>£m 20/21</v>
      </c>
      <c r="G73" s="167" t="s">
        <v>51</v>
      </c>
      <c r="H73" s="168"/>
      <c r="I73" s="114"/>
      <c r="J73" s="160">
        <f t="shared" si="11"/>
        <v>3.04E-2</v>
      </c>
      <c r="K73" s="160">
        <f t="shared" si="11"/>
        <v>3.1099999999999999E-2</v>
      </c>
      <c r="L73" s="160">
        <f t="shared" si="11"/>
        <v>3.1300000000000001E-2</v>
      </c>
      <c r="M73" s="160">
        <f t="shared" si="11"/>
        <v>3.1300000000000001E-2</v>
      </c>
      <c r="N73" s="161">
        <f t="shared" si="11"/>
        <v>3.1399999999999997E-2</v>
      </c>
      <c r="O73" s="168"/>
      <c r="P73" s="114"/>
      <c r="Q73" s="160">
        <f t="shared" si="12"/>
        <v>5.2833944000000001E-2</v>
      </c>
      <c r="R73" s="160">
        <f t="shared" si="12"/>
        <v>5.5875458000000003E-2</v>
      </c>
      <c r="S73" s="160">
        <f t="shared" si="12"/>
        <v>5.4475396000000002E-2</v>
      </c>
      <c r="T73" s="160">
        <f t="shared" si="12"/>
        <v>5.4934037000000012E-2</v>
      </c>
      <c r="U73" s="161">
        <f t="shared" si="12"/>
        <v>5.5127149E-2</v>
      </c>
    </row>
    <row r="74" spans="1:21">
      <c r="A74" s="31" t="s">
        <v>19</v>
      </c>
      <c r="B74" s="164" t="s">
        <v>78</v>
      </c>
      <c r="C74" s="115">
        <v>0.5</v>
      </c>
      <c r="D74" s="115">
        <v>0.6</v>
      </c>
      <c r="E74" s="165">
        <v>2024</v>
      </c>
      <c r="F74" s="166" t="str">
        <f t="shared" si="10"/>
        <v>£m 20/21</v>
      </c>
      <c r="G74" s="167" t="s">
        <v>53</v>
      </c>
      <c r="H74" s="168"/>
      <c r="I74" s="114"/>
      <c r="J74" s="160">
        <f t="shared" si="11"/>
        <v>3.1E-2</v>
      </c>
      <c r="K74" s="160">
        <f t="shared" si="11"/>
        <v>3.1699999999999999E-2</v>
      </c>
      <c r="L74" s="160">
        <f t="shared" si="11"/>
        <v>3.1899999999999998E-2</v>
      </c>
      <c r="M74" s="160">
        <f t="shared" si="11"/>
        <v>3.1899999999999998E-2</v>
      </c>
      <c r="N74" s="161">
        <f t="shared" si="11"/>
        <v>3.1899999999999998E-2</v>
      </c>
      <c r="O74" s="168"/>
      <c r="P74" s="114"/>
      <c r="Q74" s="160">
        <f t="shared" si="12"/>
        <v>5.2833944000000001E-2</v>
      </c>
      <c r="R74" s="160">
        <f t="shared" si="12"/>
        <v>5.5875458000000003E-2</v>
      </c>
      <c r="S74" s="160">
        <f t="shared" si="12"/>
        <v>5.4475396000000002E-2</v>
      </c>
      <c r="T74" s="160">
        <f t="shared" si="12"/>
        <v>5.4934037000000012E-2</v>
      </c>
      <c r="U74" s="161">
        <f t="shared" si="12"/>
        <v>5.5127149E-2</v>
      </c>
    </row>
    <row r="75" spans="1:21">
      <c r="A75" s="31" t="s">
        <v>19</v>
      </c>
      <c r="B75" s="164" t="s">
        <v>79</v>
      </c>
      <c r="C75" s="115">
        <v>0.5</v>
      </c>
      <c r="D75" s="115">
        <v>0.6</v>
      </c>
      <c r="E75" s="165">
        <v>2024</v>
      </c>
      <c r="F75" s="166" t="str">
        <f t="shared" si="10"/>
        <v>£m 20/21</v>
      </c>
      <c r="G75" s="167" t="s">
        <v>53</v>
      </c>
      <c r="H75" s="168"/>
      <c r="I75" s="114"/>
      <c r="J75" s="160">
        <f t="shared" si="11"/>
        <v>3.1E-2</v>
      </c>
      <c r="K75" s="160">
        <f t="shared" si="11"/>
        <v>3.1699999999999999E-2</v>
      </c>
      <c r="L75" s="160">
        <f t="shared" si="11"/>
        <v>3.1899999999999998E-2</v>
      </c>
      <c r="M75" s="160">
        <f t="shared" si="11"/>
        <v>3.1899999999999998E-2</v>
      </c>
      <c r="N75" s="161">
        <f t="shared" si="11"/>
        <v>3.1899999999999998E-2</v>
      </c>
      <c r="O75" s="168"/>
      <c r="P75" s="114"/>
      <c r="Q75" s="160">
        <f t="shared" si="12"/>
        <v>5.2833944000000001E-2</v>
      </c>
      <c r="R75" s="160">
        <f t="shared" si="12"/>
        <v>5.5875458000000003E-2</v>
      </c>
      <c r="S75" s="160">
        <f t="shared" si="12"/>
        <v>5.4475396000000002E-2</v>
      </c>
      <c r="T75" s="160">
        <f t="shared" si="12"/>
        <v>5.4934037000000012E-2</v>
      </c>
      <c r="U75" s="161">
        <f t="shared" si="12"/>
        <v>5.5127149E-2</v>
      </c>
    </row>
    <row r="76" spans="1:21">
      <c r="A76" s="31" t="s">
        <v>19</v>
      </c>
      <c r="B76" s="164" t="s">
        <v>80</v>
      </c>
      <c r="C76" s="115">
        <v>0.5</v>
      </c>
      <c r="D76" s="115">
        <v>0.6</v>
      </c>
      <c r="E76" s="165">
        <v>2024</v>
      </c>
      <c r="F76" s="166" t="str">
        <f t="shared" si="10"/>
        <v>£m 20/21</v>
      </c>
      <c r="G76" s="167" t="s">
        <v>53</v>
      </c>
      <c r="H76" s="168"/>
      <c r="I76" s="114"/>
      <c r="J76" s="160">
        <f t="shared" si="11"/>
        <v>3.1E-2</v>
      </c>
      <c r="K76" s="160">
        <f t="shared" si="11"/>
        <v>3.1699999999999999E-2</v>
      </c>
      <c r="L76" s="160">
        <f t="shared" si="11"/>
        <v>3.1899999999999998E-2</v>
      </c>
      <c r="M76" s="160">
        <f t="shared" si="11"/>
        <v>3.1899999999999998E-2</v>
      </c>
      <c r="N76" s="161">
        <f t="shared" si="11"/>
        <v>3.1899999999999998E-2</v>
      </c>
      <c r="O76" s="168"/>
      <c r="P76" s="114"/>
      <c r="Q76" s="160">
        <f t="shared" si="12"/>
        <v>5.2833944000000001E-2</v>
      </c>
      <c r="R76" s="160">
        <f t="shared" si="12"/>
        <v>5.5875458000000003E-2</v>
      </c>
      <c r="S76" s="160">
        <f t="shared" si="12"/>
        <v>5.4475396000000002E-2</v>
      </c>
      <c r="T76" s="160">
        <f t="shared" si="12"/>
        <v>5.4934037000000012E-2</v>
      </c>
      <c r="U76" s="161">
        <f t="shared" si="12"/>
        <v>5.5127149E-2</v>
      </c>
    </row>
    <row r="77" spans="1:21">
      <c r="A77" s="31" t="s">
        <v>25</v>
      </c>
      <c r="B77" s="164" t="s">
        <v>81</v>
      </c>
      <c r="C77" s="115">
        <v>0.5</v>
      </c>
      <c r="D77" s="115">
        <v>0.6</v>
      </c>
      <c r="E77" s="165">
        <v>2022</v>
      </c>
      <c r="F77" s="166" t="str">
        <f t="shared" si="10"/>
        <v>£m 18/19</v>
      </c>
      <c r="G77" s="167" t="s">
        <v>25</v>
      </c>
      <c r="H77" s="169">
        <f t="shared" ref="H77:L91" si="13">INDEX($C$42:$I$51,MATCH($G77,$B$42:$B$51,0),MATCH(H$62,$C$41:$I$41))</f>
        <v>2.0500000000000001E-2</v>
      </c>
      <c r="I77" s="160">
        <f t="shared" si="13"/>
        <v>1.9E-2</v>
      </c>
      <c r="J77" s="160">
        <f t="shared" si="13"/>
        <v>1.9199999999999998E-2</v>
      </c>
      <c r="K77" s="160">
        <f t="shared" si="13"/>
        <v>2.1100000000000001E-2</v>
      </c>
      <c r="L77" s="160">
        <f t="shared" si="13"/>
        <v>2.2599999999999999E-2</v>
      </c>
      <c r="M77" s="114"/>
      <c r="N77" s="170"/>
      <c r="O77" s="169">
        <f t="shared" ref="O77:S91" si="14">INDEX($C$55:$I$59,MATCH($A77,$B$55:$B$59,0),MATCH(O$62,$C$54:$I$54))</f>
        <v>4.5181881000000007E-2</v>
      </c>
      <c r="P77" s="160">
        <f t="shared" si="14"/>
        <v>4.5568105000000005E-2</v>
      </c>
      <c r="Q77" s="160">
        <f t="shared" si="14"/>
        <v>5.2833944000000001E-2</v>
      </c>
      <c r="R77" s="160">
        <f t="shared" si="14"/>
        <v>5.5875458000000003E-2</v>
      </c>
      <c r="S77" s="160">
        <f t="shared" si="14"/>
        <v>5.4475395999999995E-2</v>
      </c>
      <c r="T77" s="114"/>
      <c r="U77" s="170"/>
    </row>
    <row r="78" spans="1:21">
      <c r="A78" s="31" t="s">
        <v>25</v>
      </c>
      <c r="B78" s="164" t="s">
        <v>82</v>
      </c>
      <c r="C78" s="115">
        <v>0.5</v>
      </c>
      <c r="D78" s="115">
        <v>0.6</v>
      </c>
      <c r="E78" s="165">
        <v>2022</v>
      </c>
      <c r="F78" s="166" t="str">
        <f t="shared" si="10"/>
        <v>£m 18/19</v>
      </c>
      <c r="G78" s="167" t="s">
        <v>25</v>
      </c>
      <c r="H78" s="169">
        <f t="shared" si="13"/>
        <v>2.0500000000000001E-2</v>
      </c>
      <c r="I78" s="160">
        <f t="shared" si="13"/>
        <v>1.9E-2</v>
      </c>
      <c r="J78" s="160">
        <f t="shared" si="13"/>
        <v>1.9199999999999998E-2</v>
      </c>
      <c r="K78" s="160">
        <f t="shared" si="13"/>
        <v>2.1100000000000001E-2</v>
      </c>
      <c r="L78" s="160">
        <f t="shared" si="13"/>
        <v>2.2599999999999999E-2</v>
      </c>
      <c r="M78" s="114"/>
      <c r="N78" s="170"/>
      <c r="O78" s="169">
        <f t="shared" si="14"/>
        <v>4.5181881000000007E-2</v>
      </c>
      <c r="P78" s="160">
        <f t="shared" si="14"/>
        <v>4.5568105000000005E-2</v>
      </c>
      <c r="Q78" s="160">
        <f t="shared" si="14"/>
        <v>5.2833944000000001E-2</v>
      </c>
      <c r="R78" s="160">
        <f t="shared" si="14"/>
        <v>5.5875458000000003E-2</v>
      </c>
      <c r="S78" s="160">
        <f t="shared" si="14"/>
        <v>5.4475395999999995E-2</v>
      </c>
      <c r="T78" s="114"/>
      <c r="U78" s="170"/>
    </row>
    <row r="79" spans="1:21">
      <c r="A79" s="31" t="s">
        <v>25</v>
      </c>
      <c r="B79" s="164" t="s">
        <v>83</v>
      </c>
      <c r="C79" s="115">
        <v>0.5</v>
      </c>
      <c r="D79" s="115">
        <v>0.6</v>
      </c>
      <c r="E79" s="165">
        <v>2022</v>
      </c>
      <c r="F79" s="166" t="str">
        <f t="shared" si="10"/>
        <v>£m 18/19</v>
      </c>
      <c r="G79" s="167" t="s">
        <v>25</v>
      </c>
      <c r="H79" s="169">
        <f t="shared" si="13"/>
        <v>2.0500000000000001E-2</v>
      </c>
      <c r="I79" s="160">
        <f t="shared" si="13"/>
        <v>1.9E-2</v>
      </c>
      <c r="J79" s="160">
        <f t="shared" si="13"/>
        <v>1.9199999999999998E-2</v>
      </c>
      <c r="K79" s="160">
        <f t="shared" si="13"/>
        <v>2.1100000000000001E-2</v>
      </c>
      <c r="L79" s="160">
        <f t="shared" si="13"/>
        <v>2.2599999999999999E-2</v>
      </c>
      <c r="M79" s="114"/>
      <c r="N79" s="170"/>
      <c r="O79" s="169">
        <f t="shared" si="14"/>
        <v>4.5181881000000007E-2</v>
      </c>
      <c r="P79" s="160">
        <f t="shared" si="14"/>
        <v>4.5568105000000005E-2</v>
      </c>
      <c r="Q79" s="160">
        <f t="shared" si="14"/>
        <v>5.2833944000000001E-2</v>
      </c>
      <c r="R79" s="160">
        <f t="shared" si="14"/>
        <v>5.5875458000000003E-2</v>
      </c>
      <c r="S79" s="160">
        <f t="shared" si="14"/>
        <v>5.4475395999999995E-2</v>
      </c>
      <c r="T79" s="114"/>
      <c r="U79" s="170"/>
    </row>
    <row r="80" spans="1:21">
      <c r="A80" s="31" t="s">
        <v>25</v>
      </c>
      <c r="B80" s="164" t="s">
        <v>84</v>
      </c>
      <c r="C80" s="115">
        <v>0.5</v>
      </c>
      <c r="D80" s="115">
        <v>0.6</v>
      </c>
      <c r="E80" s="165">
        <v>2022</v>
      </c>
      <c r="F80" s="166" t="str">
        <f t="shared" si="10"/>
        <v>£m 18/19</v>
      </c>
      <c r="G80" s="167" t="s">
        <v>25</v>
      </c>
      <c r="H80" s="169">
        <f t="shared" si="13"/>
        <v>2.0500000000000001E-2</v>
      </c>
      <c r="I80" s="160">
        <f t="shared" si="13"/>
        <v>1.9E-2</v>
      </c>
      <c r="J80" s="160">
        <f t="shared" si="13"/>
        <v>1.9199999999999998E-2</v>
      </c>
      <c r="K80" s="160">
        <f t="shared" si="13"/>
        <v>2.1100000000000001E-2</v>
      </c>
      <c r="L80" s="160">
        <f t="shared" si="13"/>
        <v>2.2599999999999999E-2</v>
      </c>
      <c r="M80" s="114"/>
      <c r="N80" s="170"/>
      <c r="O80" s="169">
        <f t="shared" si="14"/>
        <v>4.5181881000000007E-2</v>
      </c>
      <c r="P80" s="160">
        <f t="shared" si="14"/>
        <v>4.5568105000000005E-2</v>
      </c>
      <c r="Q80" s="160">
        <f t="shared" si="14"/>
        <v>5.2833944000000001E-2</v>
      </c>
      <c r="R80" s="160">
        <f t="shared" si="14"/>
        <v>5.5875458000000003E-2</v>
      </c>
      <c r="S80" s="160">
        <f t="shared" si="14"/>
        <v>5.4475395999999995E-2</v>
      </c>
      <c r="T80" s="114"/>
      <c r="U80" s="170"/>
    </row>
    <row r="81" spans="1:21">
      <c r="A81" s="31" t="s">
        <v>25</v>
      </c>
      <c r="B81" s="164" t="s">
        <v>85</v>
      </c>
      <c r="C81" s="115">
        <v>0.51</v>
      </c>
      <c r="D81" s="115">
        <v>0.6</v>
      </c>
      <c r="E81" s="165">
        <v>2022</v>
      </c>
      <c r="F81" s="166" t="str">
        <f t="shared" si="10"/>
        <v>£m 18/19</v>
      </c>
      <c r="G81" s="167" t="s">
        <v>56</v>
      </c>
      <c r="H81" s="169">
        <f t="shared" si="13"/>
        <v>2.1100000000000001E-2</v>
      </c>
      <c r="I81" s="160">
        <f t="shared" si="13"/>
        <v>1.9599999999999999E-2</v>
      </c>
      <c r="J81" s="160">
        <f t="shared" si="13"/>
        <v>1.9799999999999998E-2</v>
      </c>
      <c r="K81" s="160">
        <f t="shared" si="13"/>
        <v>2.1700000000000001E-2</v>
      </c>
      <c r="L81" s="160">
        <f t="shared" si="13"/>
        <v>2.3199999999999998E-2</v>
      </c>
      <c r="M81" s="114"/>
      <c r="N81" s="170"/>
      <c r="O81" s="169">
        <f t="shared" si="14"/>
        <v>4.5181881000000007E-2</v>
      </c>
      <c r="P81" s="160">
        <f t="shared" si="14"/>
        <v>4.5568105000000005E-2</v>
      </c>
      <c r="Q81" s="160">
        <f t="shared" si="14"/>
        <v>5.2833944000000001E-2</v>
      </c>
      <c r="R81" s="160">
        <f t="shared" si="14"/>
        <v>5.5875458000000003E-2</v>
      </c>
      <c r="S81" s="160">
        <f t="shared" si="14"/>
        <v>5.4475395999999995E-2</v>
      </c>
      <c r="T81" s="114"/>
      <c r="U81" s="170"/>
    </row>
    <row r="82" spans="1:21">
      <c r="A82" s="31" t="s">
        <v>25</v>
      </c>
      <c r="B82" s="164" t="s">
        <v>86</v>
      </c>
      <c r="C82" s="115">
        <v>0.51</v>
      </c>
      <c r="D82" s="115">
        <v>0.6</v>
      </c>
      <c r="E82" s="165">
        <v>2022</v>
      </c>
      <c r="F82" s="166" t="str">
        <f t="shared" si="10"/>
        <v>£m 18/19</v>
      </c>
      <c r="G82" s="167" t="s">
        <v>56</v>
      </c>
      <c r="H82" s="169">
        <f t="shared" si="13"/>
        <v>2.1100000000000001E-2</v>
      </c>
      <c r="I82" s="160">
        <f t="shared" si="13"/>
        <v>1.9599999999999999E-2</v>
      </c>
      <c r="J82" s="160">
        <f t="shared" si="13"/>
        <v>1.9799999999999998E-2</v>
      </c>
      <c r="K82" s="160">
        <f t="shared" si="13"/>
        <v>2.1700000000000001E-2</v>
      </c>
      <c r="L82" s="160">
        <f t="shared" si="13"/>
        <v>2.3199999999999998E-2</v>
      </c>
      <c r="M82" s="114"/>
      <c r="N82" s="170"/>
      <c r="O82" s="169">
        <f t="shared" si="14"/>
        <v>4.5181881000000007E-2</v>
      </c>
      <c r="P82" s="160">
        <f t="shared" si="14"/>
        <v>4.5568105000000005E-2</v>
      </c>
      <c r="Q82" s="160">
        <f t="shared" si="14"/>
        <v>5.2833944000000001E-2</v>
      </c>
      <c r="R82" s="160">
        <f t="shared" si="14"/>
        <v>5.5875458000000003E-2</v>
      </c>
      <c r="S82" s="160">
        <f t="shared" si="14"/>
        <v>5.4475395999999995E-2</v>
      </c>
      <c r="T82" s="114"/>
      <c r="U82" s="170"/>
    </row>
    <row r="83" spans="1:21">
      <c r="A83" s="31" t="s">
        <v>25</v>
      </c>
      <c r="B83" s="164" t="s">
        <v>87</v>
      </c>
      <c r="C83" s="115">
        <v>0.5</v>
      </c>
      <c r="D83" s="115">
        <v>0.6</v>
      </c>
      <c r="E83" s="165">
        <v>2022</v>
      </c>
      <c r="F83" s="166" t="str">
        <f t="shared" si="10"/>
        <v>£m 18/19</v>
      </c>
      <c r="G83" s="167" t="s">
        <v>25</v>
      </c>
      <c r="H83" s="169">
        <f t="shared" si="13"/>
        <v>2.0500000000000001E-2</v>
      </c>
      <c r="I83" s="160">
        <f t="shared" si="13"/>
        <v>1.9E-2</v>
      </c>
      <c r="J83" s="160">
        <f t="shared" si="13"/>
        <v>1.9199999999999998E-2</v>
      </c>
      <c r="K83" s="160">
        <f t="shared" si="13"/>
        <v>2.1100000000000001E-2</v>
      </c>
      <c r="L83" s="160">
        <f t="shared" si="13"/>
        <v>2.2599999999999999E-2</v>
      </c>
      <c r="M83" s="114"/>
      <c r="N83" s="170"/>
      <c r="O83" s="169">
        <f t="shared" si="14"/>
        <v>4.5181881000000007E-2</v>
      </c>
      <c r="P83" s="160">
        <f t="shared" si="14"/>
        <v>4.5568105000000005E-2</v>
      </c>
      <c r="Q83" s="160">
        <f t="shared" si="14"/>
        <v>5.2833944000000001E-2</v>
      </c>
      <c r="R83" s="160">
        <f t="shared" si="14"/>
        <v>5.5875458000000003E-2</v>
      </c>
      <c r="S83" s="160">
        <f t="shared" si="14"/>
        <v>5.4475395999999995E-2</v>
      </c>
      <c r="T83" s="114"/>
      <c r="U83" s="170"/>
    </row>
    <row r="84" spans="1:21">
      <c r="A84" s="31" t="s">
        <v>25</v>
      </c>
      <c r="B84" s="164" t="s">
        <v>88</v>
      </c>
      <c r="C84" s="115">
        <v>0.5</v>
      </c>
      <c r="D84" s="115">
        <v>0.6</v>
      </c>
      <c r="E84" s="165">
        <v>2022</v>
      </c>
      <c r="F84" s="166" t="str">
        <f t="shared" si="10"/>
        <v>£m 18/19</v>
      </c>
      <c r="G84" s="167" t="s">
        <v>56</v>
      </c>
      <c r="H84" s="169">
        <f t="shared" si="13"/>
        <v>2.1100000000000001E-2</v>
      </c>
      <c r="I84" s="160">
        <f t="shared" si="13"/>
        <v>1.9599999999999999E-2</v>
      </c>
      <c r="J84" s="160">
        <f t="shared" si="13"/>
        <v>1.9799999999999998E-2</v>
      </c>
      <c r="K84" s="160">
        <f t="shared" si="13"/>
        <v>2.1700000000000001E-2</v>
      </c>
      <c r="L84" s="160">
        <f t="shared" si="13"/>
        <v>2.3199999999999998E-2</v>
      </c>
      <c r="M84" s="114"/>
      <c r="N84" s="170"/>
      <c r="O84" s="169">
        <f t="shared" si="14"/>
        <v>4.5181881000000007E-2</v>
      </c>
      <c r="P84" s="160">
        <f t="shared" si="14"/>
        <v>4.5568105000000005E-2</v>
      </c>
      <c r="Q84" s="160">
        <f t="shared" si="14"/>
        <v>5.2833944000000001E-2</v>
      </c>
      <c r="R84" s="160">
        <f t="shared" si="14"/>
        <v>5.5875458000000003E-2</v>
      </c>
      <c r="S84" s="160">
        <f t="shared" si="14"/>
        <v>5.4475395999999995E-2</v>
      </c>
      <c r="T84" s="114"/>
      <c r="U84" s="170"/>
    </row>
    <row r="85" spans="1:21">
      <c r="A85" s="31" t="s">
        <v>27</v>
      </c>
      <c r="B85" s="164" t="s">
        <v>89</v>
      </c>
      <c r="C85" s="115">
        <v>0.61</v>
      </c>
      <c r="D85" s="115">
        <v>0.6</v>
      </c>
      <c r="E85" s="165">
        <v>2022</v>
      </c>
      <c r="F85" s="166" t="str">
        <f t="shared" si="10"/>
        <v>£m 18/19</v>
      </c>
      <c r="G85" s="167" t="s">
        <v>27</v>
      </c>
      <c r="H85" s="169">
        <f t="shared" si="13"/>
        <v>2.0500000000000001E-2</v>
      </c>
      <c r="I85" s="160">
        <f t="shared" si="13"/>
        <v>1.9E-2</v>
      </c>
      <c r="J85" s="160">
        <f t="shared" si="13"/>
        <v>1.9199999999999998E-2</v>
      </c>
      <c r="K85" s="160">
        <f t="shared" si="13"/>
        <v>2.1100000000000001E-2</v>
      </c>
      <c r="L85" s="160">
        <f t="shared" si="13"/>
        <v>2.2599999999999999E-2</v>
      </c>
      <c r="M85" s="114"/>
      <c r="N85" s="170"/>
      <c r="O85" s="169">
        <f t="shared" si="14"/>
        <v>4.5181881000000007E-2</v>
      </c>
      <c r="P85" s="160">
        <f t="shared" si="14"/>
        <v>4.5568105000000005E-2</v>
      </c>
      <c r="Q85" s="160">
        <f t="shared" si="14"/>
        <v>5.2833944000000001E-2</v>
      </c>
      <c r="R85" s="160">
        <f t="shared" si="14"/>
        <v>5.5875458000000003E-2</v>
      </c>
      <c r="S85" s="160">
        <f t="shared" si="14"/>
        <v>5.4475395999999995E-2</v>
      </c>
      <c r="T85" s="114"/>
      <c r="U85" s="170"/>
    </row>
    <row r="86" spans="1:21">
      <c r="A86" s="31" t="s">
        <v>27</v>
      </c>
      <c r="B86" s="164" t="s">
        <v>90</v>
      </c>
      <c r="C86" s="115">
        <v>0.61</v>
      </c>
      <c r="D86" s="115">
        <v>0.6</v>
      </c>
      <c r="E86" s="165">
        <v>2022</v>
      </c>
      <c r="F86" s="166" t="str">
        <f t="shared" si="10"/>
        <v>£m 18/19</v>
      </c>
      <c r="G86" s="167" t="s">
        <v>27</v>
      </c>
      <c r="H86" s="169">
        <f t="shared" si="13"/>
        <v>2.0500000000000001E-2</v>
      </c>
      <c r="I86" s="160">
        <f t="shared" si="13"/>
        <v>1.9E-2</v>
      </c>
      <c r="J86" s="160">
        <f t="shared" si="13"/>
        <v>1.9199999999999998E-2</v>
      </c>
      <c r="K86" s="160">
        <f t="shared" si="13"/>
        <v>2.1100000000000001E-2</v>
      </c>
      <c r="L86" s="160">
        <f t="shared" si="13"/>
        <v>2.2599999999999999E-2</v>
      </c>
      <c r="M86" s="114"/>
      <c r="N86" s="170"/>
      <c r="O86" s="169">
        <f t="shared" si="14"/>
        <v>4.5181881000000007E-2</v>
      </c>
      <c r="P86" s="160">
        <f t="shared" si="14"/>
        <v>4.5568105000000005E-2</v>
      </c>
      <c r="Q86" s="160">
        <f t="shared" si="14"/>
        <v>5.2833944000000001E-2</v>
      </c>
      <c r="R86" s="160">
        <f t="shared" si="14"/>
        <v>5.5875458000000003E-2</v>
      </c>
      <c r="S86" s="160">
        <f t="shared" si="14"/>
        <v>5.4475395999999995E-2</v>
      </c>
      <c r="T86" s="114"/>
      <c r="U86" s="170"/>
    </row>
    <row r="87" spans="1:21">
      <c r="A87" s="31" t="s">
        <v>27</v>
      </c>
      <c r="B87" s="164" t="s">
        <v>91</v>
      </c>
      <c r="C87" s="115">
        <v>0.61</v>
      </c>
      <c r="D87" s="115">
        <v>0.6</v>
      </c>
      <c r="E87" s="165">
        <v>2022</v>
      </c>
      <c r="F87" s="166" t="str">
        <f t="shared" si="10"/>
        <v>£m 18/19</v>
      </c>
      <c r="G87" s="167" t="s">
        <v>27</v>
      </c>
      <c r="H87" s="169">
        <f t="shared" si="13"/>
        <v>2.0500000000000001E-2</v>
      </c>
      <c r="I87" s="160">
        <f t="shared" si="13"/>
        <v>1.9E-2</v>
      </c>
      <c r="J87" s="160">
        <f t="shared" si="13"/>
        <v>1.9199999999999998E-2</v>
      </c>
      <c r="K87" s="160">
        <f t="shared" si="13"/>
        <v>2.1100000000000001E-2</v>
      </c>
      <c r="L87" s="160">
        <f t="shared" si="13"/>
        <v>2.2599999999999999E-2</v>
      </c>
      <c r="M87" s="114"/>
      <c r="N87" s="170"/>
      <c r="O87" s="169">
        <f t="shared" si="14"/>
        <v>4.5181881000000007E-2</v>
      </c>
      <c r="P87" s="160">
        <f t="shared" si="14"/>
        <v>4.5568105000000005E-2</v>
      </c>
      <c r="Q87" s="160">
        <f t="shared" si="14"/>
        <v>5.2833944000000001E-2</v>
      </c>
      <c r="R87" s="160">
        <f t="shared" si="14"/>
        <v>5.5875458000000003E-2</v>
      </c>
      <c r="S87" s="160">
        <f t="shared" si="14"/>
        <v>5.4475395999999995E-2</v>
      </c>
      <c r="T87" s="114"/>
      <c r="U87" s="170"/>
    </row>
    <row r="88" spans="1:21">
      <c r="A88" s="31" t="s">
        <v>22</v>
      </c>
      <c r="B88" s="164" t="s">
        <v>4</v>
      </c>
      <c r="C88" s="115">
        <v>0.67</v>
      </c>
      <c r="D88" s="115">
        <v>0.55000000000000004</v>
      </c>
      <c r="E88" s="165">
        <v>2022</v>
      </c>
      <c r="F88" s="166" t="str">
        <f t="shared" si="10"/>
        <v>£m 18/19</v>
      </c>
      <c r="G88" s="167" t="s">
        <v>55</v>
      </c>
      <c r="H88" s="169">
        <f t="shared" si="13"/>
        <v>2.0500000000000001E-2</v>
      </c>
      <c r="I88" s="160">
        <f t="shared" si="13"/>
        <v>1.9E-2</v>
      </c>
      <c r="J88" s="160">
        <f t="shared" si="13"/>
        <v>1.9199999999999998E-2</v>
      </c>
      <c r="K88" s="160">
        <f t="shared" si="13"/>
        <v>2.1100000000000001E-2</v>
      </c>
      <c r="L88" s="160">
        <f t="shared" si="13"/>
        <v>2.2599999999999999E-2</v>
      </c>
      <c r="M88" s="114"/>
      <c r="N88" s="170"/>
      <c r="O88" s="169">
        <f t="shared" si="14"/>
        <v>4.2439449777777784E-2</v>
      </c>
      <c r="P88" s="160">
        <f t="shared" si="14"/>
        <v>4.2616093333333334E-2</v>
      </c>
      <c r="Q88" s="160">
        <f t="shared" si="14"/>
        <v>4.909683911111111E-2</v>
      </c>
      <c r="R88" s="160">
        <f t="shared" si="14"/>
        <v>5.2011518222222233E-2</v>
      </c>
      <c r="S88" s="160">
        <f t="shared" si="14"/>
        <v>5.0933685333333333E-2</v>
      </c>
      <c r="T88" s="114"/>
      <c r="U88" s="170"/>
    </row>
    <row r="89" spans="1:21">
      <c r="A89" s="31" t="s">
        <v>29</v>
      </c>
      <c r="B89" s="164" t="s">
        <v>29</v>
      </c>
      <c r="C89" s="115">
        <v>1</v>
      </c>
      <c r="D89" s="115">
        <v>0.55000000000000004</v>
      </c>
      <c r="E89" s="165">
        <v>2022</v>
      </c>
      <c r="F89" s="166" t="str">
        <f t="shared" si="10"/>
        <v>£m 18/19</v>
      </c>
      <c r="G89" s="167" t="s">
        <v>29</v>
      </c>
      <c r="H89" s="169">
        <f>INDEX($C$42:$I$51,MATCH($G89,$B$42:$B$51,0),MATCH(H$62,$C$41:$I$41))</f>
        <v>-5.9999999999999995E-4</v>
      </c>
      <c r="I89" s="160">
        <f t="shared" si="13"/>
        <v>2.12E-2</v>
      </c>
      <c r="J89" s="160">
        <f t="shared" si="13"/>
        <v>5.0099999999999999E-2</v>
      </c>
      <c r="K89" s="160">
        <f t="shared" si="13"/>
        <v>4.7300000000000002E-2</v>
      </c>
      <c r="L89" s="160">
        <f t="shared" si="13"/>
        <v>4.19E-2</v>
      </c>
      <c r="M89" s="114"/>
      <c r="N89" s="170"/>
      <c r="O89" s="169">
        <f t="shared" si="14"/>
        <v>7.5718976000000007E-2</v>
      </c>
      <c r="P89" s="160">
        <f t="shared" si="14"/>
        <v>7.5510080000000007E-2</v>
      </c>
      <c r="Q89" s="160">
        <f t="shared" si="14"/>
        <v>7.1580223999999998E-2</v>
      </c>
      <c r="R89" s="160">
        <f t="shared" si="14"/>
        <v>6.9935168000000006E-2</v>
      </c>
      <c r="S89" s="160">
        <f t="shared" si="14"/>
        <v>7.0313792E-2</v>
      </c>
      <c r="T89" s="114"/>
      <c r="U89" s="170"/>
    </row>
    <row r="90" spans="1:21">
      <c r="A90" s="31" t="s">
        <v>22</v>
      </c>
      <c r="B90" s="164" t="s">
        <v>92</v>
      </c>
      <c r="C90" s="115">
        <v>0.51</v>
      </c>
      <c r="D90" s="115">
        <v>0.55000000000000004</v>
      </c>
      <c r="E90" s="165">
        <v>2022</v>
      </c>
      <c r="F90" s="166" t="str">
        <f t="shared" si="10"/>
        <v>£m 18/19</v>
      </c>
      <c r="G90" s="167" t="s">
        <v>55</v>
      </c>
      <c r="H90" s="169">
        <f t="shared" si="13"/>
        <v>2.0500000000000001E-2</v>
      </c>
      <c r="I90" s="160">
        <f t="shared" si="13"/>
        <v>1.9E-2</v>
      </c>
      <c r="J90" s="160">
        <f t="shared" si="13"/>
        <v>1.9199999999999998E-2</v>
      </c>
      <c r="K90" s="160">
        <f t="shared" si="13"/>
        <v>2.1100000000000001E-2</v>
      </c>
      <c r="L90" s="160">
        <f t="shared" si="13"/>
        <v>2.2599999999999999E-2</v>
      </c>
      <c r="M90" s="114"/>
      <c r="N90" s="170"/>
      <c r="O90" s="169">
        <f t="shared" si="14"/>
        <v>4.2439449777777784E-2</v>
      </c>
      <c r="P90" s="160">
        <f t="shared" si="14"/>
        <v>4.2616093333333334E-2</v>
      </c>
      <c r="Q90" s="160">
        <f t="shared" si="14"/>
        <v>4.909683911111111E-2</v>
      </c>
      <c r="R90" s="160">
        <f t="shared" si="14"/>
        <v>5.2011518222222233E-2</v>
      </c>
      <c r="S90" s="160">
        <f t="shared" si="14"/>
        <v>5.0933685333333333E-2</v>
      </c>
      <c r="T90" s="114"/>
      <c r="U90" s="170"/>
    </row>
    <row r="91" spans="1:21" ht="14" thickBot="1">
      <c r="A91" s="31" t="s">
        <v>22</v>
      </c>
      <c r="B91" s="171" t="s">
        <v>54</v>
      </c>
      <c r="C91" s="172">
        <v>0.64</v>
      </c>
      <c r="D91" s="172">
        <v>0.55000000000000004</v>
      </c>
      <c r="E91" s="173">
        <v>2022</v>
      </c>
      <c r="F91" s="174" t="str">
        <f t="shared" si="10"/>
        <v>£m 18/19</v>
      </c>
      <c r="G91" s="175" t="s">
        <v>54</v>
      </c>
      <c r="H91" s="176">
        <f t="shared" si="13"/>
        <v>1.8184707641684131E-2</v>
      </c>
      <c r="I91" s="177">
        <f t="shared" si="13"/>
        <v>1.5816904422859705E-2</v>
      </c>
      <c r="J91" s="177">
        <f t="shared" si="13"/>
        <v>1.8016000499583691E-2</v>
      </c>
      <c r="K91" s="177">
        <f t="shared" si="13"/>
        <v>2.3111514046595519E-2</v>
      </c>
      <c r="L91" s="177">
        <f t="shared" si="13"/>
        <v>2.6621070489787287E-2</v>
      </c>
      <c r="M91" s="178"/>
      <c r="N91" s="179"/>
      <c r="O91" s="176">
        <f t="shared" si="14"/>
        <v>4.2439449777777784E-2</v>
      </c>
      <c r="P91" s="177">
        <f t="shared" si="14"/>
        <v>4.2616093333333334E-2</v>
      </c>
      <c r="Q91" s="177">
        <f t="shared" si="14"/>
        <v>4.909683911111111E-2</v>
      </c>
      <c r="R91" s="177">
        <f t="shared" si="14"/>
        <v>5.2011518222222233E-2</v>
      </c>
      <c r="S91" s="177">
        <f t="shared" si="14"/>
        <v>5.0933685333333333E-2</v>
      </c>
      <c r="T91" s="178"/>
      <c r="U91" s="179"/>
    </row>
    <row r="92" spans="1:21">
      <c r="I92" s="100"/>
    </row>
    <row r="93" spans="1:21">
      <c r="I93" s="100"/>
    </row>
    <row r="94" spans="1:21">
      <c r="I94" s="100"/>
    </row>
    <row r="95" spans="1:21">
      <c r="B95" s="56"/>
      <c r="D95" s="180"/>
      <c r="E95" s="180"/>
      <c r="F95" s="180"/>
      <c r="G95" s="180"/>
      <c r="H95" s="180"/>
      <c r="I95" s="180"/>
      <c r="J95" s="180"/>
    </row>
    <row r="97" spans="2:14" ht="15.5">
      <c r="B97" s="181" t="s">
        <v>93</v>
      </c>
      <c r="C97" s="182">
        <v>2022</v>
      </c>
      <c r="D97" s="183">
        <f t="shared" ref="D97:I97" si="15">C97+1</f>
        <v>2023</v>
      </c>
      <c r="E97" s="183">
        <f t="shared" si="15"/>
        <v>2024</v>
      </c>
      <c r="F97" s="183">
        <f t="shared" si="15"/>
        <v>2025</v>
      </c>
      <c r="G97" s="183">
        <f t="shared" si="15"/>
        <v>2026</v>
      </c>
      <c r="H97" s="183">
        <f t="shared" si="15"/>
        <v>2027</v>
      </c>
      <c r="I97" s="183">
        <f t="shared" si="15"/>
        <v>2028</v>
      </c>
    </row>
    <row r="98" spans="2:14">
      <c r="B98" s="184" t="s">
        <v>70</v>
      </c>
      <c r="C98" s="114"/>
      <c r="D98" s="114"/>
      <c r="E98" s="185">
        <v>0</v>
      </c>
      <c r="F98" s="185">
        <v>0</v>
      </c>
      <c r="G98" s="185">
        <v>0</v>
      </c>
      <c r="H98" s="185">
        <v>0</v>
      </c>
      <c r="I98" s="185">
        <v>0</v>
      </c>
    </row>
    <row r="99" spans="2:14">
      <c r="B99" s="184" t="s">
        <v>71</v>
      </c>
      <c r="C99" s="114"/>
      <c r="D99" s="114"/>
      <c r="E99" s="185">
        <v>0</v>
      </c>
      <c r="F99" s="185">
        <v>0</v>
      </c>
      <c r="G99" s="185">
        <v>0</v>
      </c>
      <c r="H99" s="185">
        <v>0</v>
      </c>
      <c r="I99" s="185">
        <v>0</v>
      </c>
    </row>
    <row r="100" spans="2:14">
      <c r="B100" s="184" t="s">
        <v>72</v>
      </c>
      <c r="C100" s="114"/>
      <c r="D100" s="114"/>
      <c r="E100" s="185">
        <v>0</v>
      </c>
      <c r="F100" s="185">
        <v>0</v>
      </c>
      <c r="G100" s="185">
        <v>0</v>
      </c>
      <c r="H100" s="185">
        <v>0</v>
      </c>
      <c r="I100" s="185">
        <v>0</v>
      </c>
      <c r="J100" s="186"/>
      <c r="K100" s="186"/>
      <c r="L100" s="186"/>
      <c r="M100" s="186"/>
      <c r="N100" s="186"/>
    </row>
    <row r="101" spans="2:14">
      <c r="B101" s="184" t="s">
        <v>52</v>
      </c>
      <c r="C101" s="114"/>
      <c r="D101" s="114"/>
      <c r="E101" s="185">
        <v>0</v>
      </c>
      <c r="F101" s="185">
        <v>0</v>
      </c>
      <c r="G101" s="185">
        <v>0</v>
      </c>
      <c r="H101" s="185">
        <v>0</v>
      </c>
      <c r="I101" s="185">
        <v>0</v>
      </c>
    </row>
    <row r="102" spans="2:14">
      <c r="B102" s="184" t="s">
        <v>73</v>
      </c>
      <c r="C102" s="114"/>
      <c r="D102" s="114"/>
      <c r="E102" s="185">
        <v>0.95193542636815776</v>
      </c>
      <c r="F102" s="185">
        <v>0.95193542636815776</v>
      </c>
      <c r="G102" s="185">
        <v>0.95193542636815776</v>
      </c>
      <c r="H102" s="185">
        <v>0.95193542636815776</v>
      </c>
      <c r="I102" s="185">
        <v>0.95193542636815776</v>
      </c>
    </row>
    <row r="103" spans="2:14">
      <c r="B103" s="184" t="s">
        <v>74</v>
      </c>
      <c r="C103" s="114"/>
      <c r="D103" s="114"/>
      <c r="E103" s="185">
        <v>4.1422258913848848</v>
      </c>
      <c r="F103" s="185">
        <v>4.1422258913848848</v>
      </c>
      <c r="G103" s="185">
        <v>4.1422258913848848</v>
      </c>
      <c r="H103" s="185">
        <v>4.1422258913848848</v>
      </c>
      <c r="I103" s="185">
        <v>4.1422258913848848</v>
      </c>
    </row>
    <row r="104" spans="2:14">
      <c r="B104" s="184" t="s">
        <v>75</v>
      </c>
      <c r="C104" s="114"/>
      <c r="D104" s="114"/>
      <c r="E104" s="185">
        <v>0</v>
      </c>
      <c r="F104" s="185">
        <v>0</v>
      </c>
      <c r="G104" s="185">
        <v>0</v>
      </c>
      <c r="H104" s="185">
        <v>0</v>
      </c>
      <c r="I104" s="185">
        <v>0</v>
      </c>
    </row>
    <row r="105" spans="2:14">
      <c r="B105" s="184" t="s">
        <v>76</v>
      </c>
      <c r="C105" s="114"/>
      <c r="D105" s="114"/>
      <c r="E105" s="185">
        <v>0</v>
      </c>
      <c r="F105" s="185">
        <v>0</v>
      </c>
      <c r="G105" s="185">
        <v>0</v>
      </c>
      <c r="H105" s="185">
        <v>0</v>
      </c>
      <c r="I105" s="185">
        <v>0</v>
      </c>
    </row>
    <row r="106" spans="2:14">
      <c r="B106" s="184" t="s">
        <v>77</v>
      </c>
      <c r="C106" s="114"/>
      <c r="D106" s="114"/>
      <c r="E106" s="185">
        <v>1.2350000000000001</v>
      </c>
      <c r="F106" s="185">
        <v>0</v>
      </c>
      <c r="G106" s="185">
        <v>0</v>
      </c>
      <c r="H106" s="185">
        <v>0</v>
      </c>
      <c r="I106" s="185">
        <v>0</v>
      </c>
    </row>
    <row r="107" spans="2:14">
      <c r="B107" s="184" t="s">
        <v>50</v>
      </c>
      <c r="C107" s="114"/>
      <c r="D107" s="114"/>
      <c r="E107" s="185">
        <v>2.3050000000000002</v>
      </c>
      <c r="F107" s="185">
        <v>0</v>
      </c>
      <c r="G107" s="185">
        <v>0</v>
      </c>
      <c r="H107" s="185">
        <v>0</v>
      </c>
      <c r="I107" s="185">
        <v>0</v>
      </c>
    </row>
    <row r="108" spans="2:14">
      <c r="B108" s="184" t="s">
        <v>51</v>
      </c>
      <c r="C108" s="114"/>
      <c r="D108" s="114"/>
      <c r="E108" s="185">
        <v>1.38</v>
      </c>
      <c r="F108" s="185">
        <v>0</v>
      </c>
      <c r="G108" s="185">
        <v>0</v>
      </c>
      <c r="H108" s="185">
        <v>0</v>
      </c>
      <c r="I108" s="185">
        <v>0</v>
      </c>
    </row>
    <row r="109" spans="2:14">
      <c r="B109" s="184" t="s">
        <v>78</v>
      </c>
      <c r="C109" s="114"/>
      <c r="D109" s="114"/>
      <c r="E109" s="185">
        <v>1.38</v>
      </c>
      <c r="F109" s="185">
        <v>0</v>
      </c>
      <c r="G109" s="185">
        <v>0</v>
      </c>
      <c r="H109" s="185">
        <v>0</v>
      </c>
      <c r="I109" s="185">
        <v>0</v>
      </c>
    </row>
    <row r="110" spans="2:14">
      <c r="B110" s="184" t="s">
        <v>79</v>
      </c>
      <c r="C110" s="114"/>
      <c r="D110" s="114"/>
      <c r="E110" s="185">
        <v>0.69</v>
      </c>
      <c r="F110" s="185">
        <v>0</v>
      </c>
      <c r="G110" s="185">
        <v>0</v>
      </c>
      <c r="H110" s="185">
        <v>0</v>
      </c>
      <c r="I110" s="185">
        <v>0</v>
      </c>
    </row>
    <row r="111" spans="2:14">
      <c r="B111" s="184" t="s">
        <v>80</v>
      </c>
      <c r="C111" s="114"/>
      <c r="D111" s="114"/>
      <c r="E111" s="185">
        <v>1.1499999999999999</v>
      </c>
      <c r="F111" s="185">
        <v>0</v>
      </c>
      <c r="G111" s="185">
        <v>0</v>
      </c>
      <c r="H111" s="185">
        <v>0</v>
      </c>
      <c r="I111" s="185">
        <v>0</v>
      </c>
    </row>
    <row r="112" spans="2:14">
      <c r="B112" s="184" t="s">
        <v>81</v>
      </c>
      <c r="C112" s="187">
        <v>0.23941679646380071</v>
      </c>
      <c r="D112" s="187">
        <v>0.23941679646380071</v>
      </c>
      <c r="E112" s="187">
        <v>0.23941679646380071</v>
      </c>
      <c r="F112" s="187">
        <v>0.23941679646380071</v>
      </c>
      <c r="G112" s="187">
        <v>0.23941679646380071</v>
      </c>
      <c r="H112" s="114"/>
      <c r="I112" s="114"/>
    </row>
    <row r="113" spans="2:12">
      <c r="B113" s="184" t="s">
        <v>82</v>
      </c>
      <c r="C113" s="187">
        <v>-1.1368683772161603E-15</v>
      </c>
      <c r="D113" s="187">
        <v>-1.1368683772161603E-15</v>
      </c>
      <c r="E113" s="187">
        <v>-1.1368683772161603E-15</v>
      </c>
      <c r="F113" s="187">
        <v>-1.1368683772161603E-15</v>
      </c>
      <c r="G113" s="187">
        <v>-1.1368683772161603E-15</v>
      </c>
      <c r="H113" s="114"/>
      <c r="I113" s="114"/>
    </row>
    <row r="114" spans="2:12">
      <c r="B114" s="184" t="s">
        <v>83</v>
      </c>
      <c r="C114" s="187">
        <v>-7.0993072540795777E-3</v>
      </c>
      <c r="D114" s="187">
        <v>-7.0993072540795777E-3</v>
      </c>
      <c r="E114" s="187">
        <v>-7.0993072540795777E-3</v>
      </c>
      <c r="F114" s="187">
        <v>-7.0993072540795777E-3</v>
      </c>
      <c r="G114" s="187">
        <v>-7.0993072540795777E-3</v>
      </c>
      <c r="H114" s="114"/>
      <c r="I114" s="114"/>
    </row>
    <row r="115" spans="2:12">
      <c r="B115" s="184" t="s">
        <v>84</v>
      </c>
      <c r="C115" s="187">
        <v>-7.2862331602607357E-3</v>
      </c>
      <c r="D115" s="187">
        <v>-7.2862331602607357E-3</v>
      </c>
      <c r="E115" s="187">
        <v>-7.2862331602607357E-3</v>
      </c>
      <c r="F115" s="187">
        <v>-7.2862331602607357E-3</v>
      </c>
      <c r="G115" s="187">
        <v>-7.2862331602607357E-3</v>
      </c>
      <c r="H115" s="114"/>
      <c r="I115" s="114"/>
    </row>
    <row r="116" spans="2:12">
      <c r="B116" s="184" t="s">
        <v>85</v>
      </c>
      <c r="C116" s="188">
        <v>1.149006</v>
      </c>
      <c r="D116" s="188">
        <v>1.149006</v>
      </c>
      <c r="E116" s="187">
        <v>1.149006</v>
      </c>
      <c r="F116" s="187">
        <v>1.149006</v>
      </c>
      <c r="G116" s="188">
        <v>1.149006</v>
      </c>
      <c r="H116" s="114"/>
      <c r="I116" s="114"/>
    </row>
    <row r="117" spans="2:12">
      <c r="B117" s="184" t="s">
        <v>86</v>
      </c>
      <c r="C117" s="187">
        <v>0</v>
      </c>
      <c r="D117" s="187">
        <v>0</v>
      </c>
      <c r="E117" s="187">
        <v>0</v>
      </c>
      <c r="F117" s="187">
        <v>0</v>
      </c>
      <c r="G117" s="187">
        <v>0</v>
      </c>
      <c r="H117" s="114"/>
      <c r="I117" s="114"/>
    </row>
    <row r="118" spans="2:12">
      <c r="B118" s="184" t="s">
        <v>87</v>
      </c>
      <c r="C118" s="187">
        <v>0</v>
      </c>
      <c r="D118" s="187">
        <v>0</v>
      </c>
      <c r="E118" s="187">
        <v>0</v>
      </c>
      <c r="F118" s="187">
        <v>0</v>
      </c>
      <c r="G118" s="187">
        <v>0</v>
      </c>
      <c r="H118" s="114"/>
      <c r="I118" s="114"/>
    </row>
    <row r="119" spans="2:12">
      <c r="B119" s="184" t="s">
        <v>88</v>
      </c>
      <c r="C119" s="187">
        <v>0</v>
      </c>
      <c r="D119" s="187">
        <v>0</v>
      </c>
      <c r="E119" s="187">
        <v>0</v>
      </c>
      <c r="F119" s="187">
        <v>0</v>
      </c>
      <c r="G119" s="187">
        <v>0</v>
      </c>
      <c r="H119" s="114"/>
      <c r="I119" s="114"/>
    </row>
    <row r="120" spans="2:12">
      <c r="B120" s="184" t="s">
        <v>89</v>
      </c>
      <c r="C120" s="187">
        <v>-4.3390000000000004</v>
      </c>
      <c r="D120" s="187">
        <v>-4.3390000000000004</v>
      </c>
      <c r="E120" s="187">
        <v>-4.3390000000000004</v>
      </c>
      <c r="F120" s="187">
        <v>-4.3390000000000004</v>
      </c>
      <c r="G120" s="187">
        <v>-4.3390000000000004</v>
      </c>
      <c r="H120" s="114"/>
      <c r="I120" s="114"/>
    </row>
    <row r="121" spans="2:12">
      <c r="B121" s="184" t="s">
        <v>90</v>
      </c>
      <c r="C121" s="187">
        <v>0</v>
      </c>
      <c r="D121" s="187">
        <v>0</v>
      </c>
      <c r="E121" s="187">
        <v>0</v>
      </c>
      <c r="F121" s="187">
        <v>0</v>
      </c>
      <c r="G121" s="187">
        <v>0</v>
      </c>
      <c r="H121" s="114"/>
      <c r="I121" s="114"/>
    </row>
    <row r="122" spans="2:12">
      <c r="B122" s="184" t="s">
        <v>91</v>
      </c>
      <c r="C122" s="187">
        <v>-4.3390000000000004</v>
      </c>
      <c r="D122" s="187">
        <v>-4.3390000000000004</v>
      </c>
      <c r="E122" s="187">
        <v>-4.3390000000000004</v>
      </c>
      <c r="F122" s="187">
        <v>-4.3390000000000004</v>
      </c>
      <c r="G122" s="187">
        <v>-4.3390000000000004</v>
      </c>
      <c r="H122" s="114"/>
      <c r="I122" s="114"/>
    </row>
    <row r="123" spans="2:12">
      <c r="B123" s="184" t="s">
        <v>4</v>
      </c>
      <c r="C123" s="187">
        <v>-13</v>
      </c>
      <c r="D123" s="187">
        <v>-13</v>
      </c>
      <c r="E123" s="187">
        <v>-13</v>
      </c>
      <c r="F123" s="187">
        <v>-13</v>
      </c>
      <c r="G123" s="187">
        <v>-13</v>
      </c>
      <c r="H123" s="114"/>
      <c r="I123" s="114"/>
    </row>
    <row r="124" spans="2:12">
      <c r="B124" s="184" t="s">
        <v>29</v>
      </c>
      <c r="C124" s="187">
        <v>0</v>
      </c>
      <c r="D124" s="187">
        <v>0</v>
      </c>
      <c r="E124" s="187">
        <v>0</v>
      </c>
      <c r="F124" s="187">
        <v>0</v>
      </c>
      <c r="G124" s="187">
        <v>0</v>
      </c>
      <c r="H124" s="114"/>
      <c r="I124" s="114"/>
    </row>
    <row r="125" spans="2:12">
      <c r="B125" s="184" t="s">
        <v>92</v>
      </c>
      <c r="C125" s="187">
        <v>1</v>
      </c>
      <c r="D125" s="187">
        <v>1</v>
      </c>
      <c r="E125" s="187">
        <v>1</v>
      </c>
      <c r="F125" s="187">
        <v>1</v>
      </c>
      <c r="G125" s="187">
        <v>1</v>
      </c>
      <c r="H125" s="114"/>
      <c r="I125" s="114"/>
    </row>
    <row r="126" spans="2:12">
      <c r="B126" s="189" t="s">
        <v>54</v>
      </c>
      <c r="C126" s="187">
        <v>4.3620000000000001</v>
      </c>
      <c r="D126" s="187">
        <v>4.3620000000000001</v>
      </c>
      <c r="E126" s="190">
        <v>4.3620000000000001</v>
      </c>
      <c r="F126" s="190">
        <v>4.3620000000000001</v>
      </c>
      <c r="G126" s="190">
        <v>4.3620000000000001</v>
      </c>
      <c r="H126" s="114"/>
      <c r="I126" s="114"/>
    </row>
    <row r="127" spans="2:12">
      <c r="B127" s="14"/>
    </row>
    <row r="128" spans="2:12">
      <c r="B128" s="191" t="str">
        <f>LEFT('RFPR cover'!C8,2)</f>
        <v>ET</v>
      </c>
      <c r="C128" s="192"/>
      <c r="D128" s="192"/>
      <c r="E128" s="192"/>
      <c r="F128" s="192"/>
      <c r="G128" s="192"/>
      <c r="H128" s="192"/>
      <c r="I128" s="192"/>
      <c r="J128" s="192"/>
      <c r="K128" s="192"/>
      <c r="L128" s="193"/>
    </row>
    <row r="129" spans="1:14">
      <c r="A129" s="194"/>
      <c r="B129" s="195" t="s">
        <v>94</v>
      </c>
      <c r="C129" s="196"/>
      <c r="D129" s="196"/>
      <c r="E129" s="196"/>
      <c r="F129" s="186"/>
      <c r="G129" s="186"/>
      <c r="H129" s="186"/>
      <c r="I129" s="186"/>
      <c r="J129" s="186"/>
      <c r="K129" s="186"/>
      <c r="L129" s="186"/>
      <c r="M129" s="186"/>
      <c r="N129" s="186"/>
    </row>
    <row r="130" spans="1:14">
      <c r="A130" s="194"/>
      <c r="B130" s="197"/>
      <c r="C130" s="196"/>
      <c r="D130" s="196"/>
      <c r="E130" s="196"/>
      <c r="F130" s="186"/>
      <c r="G130" s="186"/>
      <c r="H130" s="186"/>
      <c r="I130" s="186"/>
    </row>
    <row r="131" spans="1:14">
      <c r="A131" s="198"/>
      <c r="B131" s="199" t="s">
        <v>95</v>
      </c>
      <c r="C131" s="92"/>
      <c r="D131" s="92"/>
      <c r="E131" s="200" t="b">
        <f>OR((LEFT('RFPR cover'!$C$8,2)=Data!G131),'RFPR cover'!$C$7=Data!G131)</f>
        <v>0</v>
      </c>
      <c r="F131" s="201">
        <f t="shared" ref="F131:F133" si="16">IF(E131,1,0)</f>
        <v>0</v>
      </c>
      <c r="G131" s="202" t="str">
        <f>B141</f>
        <v>ED</v>
      </c>
    </row>
    <row r="132" spans="1:14" ht="16.5" customHeight="1">
      <c r="A132" s="198"/>
      <c r="B132" s="203" t="str">
        <f>IF(SUM($F$131:$F$138)=0,"",CHOOSE(MATCH(TRUE,$E$131:$E$138,0),B142,B153,B164,E164,B175,E175,B185,E185)&amp;"")</f>
        <v>Energy not supplied ODI - (SpC 4.2)</v>
      </c>
      <c r="C132" s="92"/>
      <c r="D132" s="92"/>
      <c r="E132" s="204" t="b">
        <f>OR((LEFT('RFPR cover'!$C$8,2)=Data!G132),'RFPR cover'!$C$7=Data!G132)</f>
        <v>0</v>
      </c>
      <c r="F132" s="205">
        <f t="shared" si="16"/>
        <v>0</v>
      </c>
      <c r="G132" s="206" t="str">
        <f>B152</f>
        <v>GD</v>
      </c>
    </row>
    <row r="133" spans="1:14">
      <c r="A133" s="198"/>
      <c r="B133" s="203" t="str">
        <f t="shared" ref="B133:B139" si="17">IF(SUM($F$131:$F$138)=0,"",CHOOSE(MATCH(TRUE,$E$131:$E$138,0),B143,B154,B165,E165,B176,E176,B186,E186)&amp;"")</f>
        <v>Insulation And Interruption Gas emissions ODI - (SpC 4.3)</v>
      </c>
      <c r="C133" s="92"/>
      <c r="D133" s="92"/>
      <c r="E133" s="204" t="b">
        <f>OR((LEFT('RFPR cover'!$C$8,2)=Data!G133),'RFPR cover'!$C$7=Data!G133)</f>
        <v>0</v>
      </c>
      <c r="F133" s="205">
        <f t="shared" si="16"/>
        <v>0</v>
      </c>
      <c r="G133" s="207" t="str">
        <f>B163</f>
        <v>NGGT (TO)</v>
      </c>
    </row>
    <row r="134" spans="1:14">
      <c r="A134" s="198"/>
      <c r="B134" s="203" t="str">
        <f t="shared" si="17"/>
        <v>Timely Connections ODI - (SpC 4.4)</v>
      </c>
      <c r="C134" s="92"/>
      <c r="D134" s="92"/>
      <c r="E134" s="204" t="b">
        <f>OR((LEFT('RFPR cover'!$C$8,2)=Data!G134),'RFPR cover'!$C$7=Data!G134)</f>
        <v>0</v>
      </c>
      <c r="F134" s="205">
        <f>IF(E134,1,0)</f>
        <v>0</v>
      </c>
      <c r="G134" s="207" t="str">
        <f>E163</f>
        <v>NGGT (TO+SO)</v>
      </c>
    </row>
    <row r="135" spans="1:14">
      <c r="A135" s="198"/>
      <c r="B135" s="203" t="str">
        <f t="shared" si="17"/>
        <v>Quality of connections satisfaction survey ODI - (SpC 4.5)</v>
      </c>
      <c r="C135" s="92"/>
      <c r="D135" s="92"/>
      <c r="E135" s="204" t="b">
        <f>OR((LEFT('RFPR cover'!$C$8,2)=Data!G135),'RFPR cover'!$C$7=Data!G135)</f>
        <v>1</v>
      </c>
      <c r="F135" s="205">
        <f>IF(E135,1,0)</f>
        <v>1</v>
      </c>
      <c r="G135" s="207" t="str">
        <f>B174</f>
        <v>NGET (TO)</v>
      </c>
    </row>
    <row r="136" spans="1:14">
      <c r="A136" s="198"/>
      <c r="B136" s="203" t="str">
        <f t="shared" si="17"/>
        <v>SO-TO Optimisation ODI - (SpC 4.7)</v>
      </c>
      <c r="C136" s="92"/>
      <c r="D136" s="92"/>
      <c r="E136" s="204" t="b">
        <f>OR((LEFT('RFPR cover'!$C$8,2)=Data!G136),'RFPR cover'!$C$7=Data!G136)</f>
        <v>0</v>
      </c>
      <c r="F136" s="205">
        <f t="shared" ref="F136" si="18">IF(E136,1,0)</f>
        <v>0</v>
      </c>
      <c r="G136" s="207" t="str">
        <f>E174</f>
        <v>ESO</v>
      </c>
    </row>
    <row r="137" spans="1:14">
      <c r="A137" s="198"/>
      <c r="B137" s="203" t="str">
        <f t="shared" si="17"/>
        <v>Environmental scorecard ODI - (SpC 4.6)</v>
      </c>
      <c r="C137" s="92"/>
      <c r="D137" s="92"/>
      <c r="E137" s="204" t="b">
        <f>OR((LEFT('RFPR cover'!$C$8,2)=Data!G137),'RFPR cover'!$C$7=Data!G137)</f>
        <v>0</v>
      </c>
      <c r="F137" s="205">
        <f>IF(E137,1,0)</f>
        <v>0</v>
      </c>
      <c r="G137" s="207" t="str">
        <f>B184</f>
        <v>SPT</v>
      </c>
    </row>
    <row r="138" spans="1:14">
      <c r="A138" s="198"/>
      <c r="B138" s="203" t="str">
        <f t="shared" si="17"/>
        <v/>
      </c>
      <c r="C138" s="92"/>
      <c r="D138" s="92"/>
      <c r="E138" s="208" t="b">
        <f>OR((LEFT('RFPR cover'!$C$8,2)=Data!G138),'RFPR cover'!$C$7=Data!G138)</f>
        <v>0</v>
      </c>
      <c r="F138" s="209">
        <f>IF(E138,1,0)</f>
        <v>0</v>
      </c>
      <c r="G138" s="210" t="s">
        <v>54</v>
      </c>
    </row>
    <row r="139" spans="1:14">
      <c r="A139" s="198"/>
      <c r="B139" s="203" t="str">
        <f t="shared" si="17"/>
        <v/>
      </c>
      <c r="C139" s="92"/>
      <c r="D139" s="92"/>
    </row>
    <row r="140" spans="1:14">
      <c r="A140" s="198"/>
      <c r="B140" s="92"/>
      <c r="C140" s="92"/>
      <c r="D140" s="92"/>
      <c r="E140" s="91"/>
      <c r="F140" s="211"/>
    </row>
    <row r="141" spans="1:14">
      <c r="A141" s="198"/>
      <c r="B141" s="212" t="s">
        <v>19</v>
      </c>
      <c r="C141" s="213"/>
      <c r="D141" s="92"/>
      <c r="E141" s="92"/>
    </row>
    <row r="142" spans="1:14">
      <c r="A142" s="198"/>
      <c r="B142" s="214" t="s">
        <v>96</v>
      </c>
      <c r="C142" s="215"/>
      <c r="D142" s="92"/>
      <c r="E142" s="92"/>
    </row>
    <row r="143" spans="1:14">
      <c r="A143" s="198"/>
      <c r="B143" s="216" t="s">
        <v>97</v>
      </c>
      <c r="C143" s="217"/>
      <c r="D143" s="92"/>
      <c r="E143" s="92"/>
    </row>
    <row r="144" spans="1:14">
      <c r="A144" s="198"/>
      <c r="B144" s="216" t="s">
        <v>98</v>
      </c>
      <c r="C144" s="217"/>
      <c r="D144" s="92"/>
      <c r="E144" s="92"/>
    </row>
    <row r="145" spans="1:7">
      <c r="A145" s="198"/>
      <c r="B145" s="216" t="s">
        <v>99</v>
      </c>
      <c r="C145" s="217"/>
      <c r="D145" s="92"/>
      <c r="E145" s="92"/>
    </row>
    <row r="146" spans="1:7">
      <c r="A146" s="198"/>
      <c r="B146" s="216" t="s">
        <v>100</v>
      </c>
      <c r="C146" s="217"/>
      <c r="D146" s="92"/>
      <c r="E146" s="92"/>
    </row>
    <row r="147" spans="1:7">
      <c r="A147" s="198"/>
      <c r="B147" s="216" t="s">
        <v>101</v>
      </c>
      <c r="C147" s="217"/>
      <c r="D147" s="92"/>
      <c r="E147" s="92"/>
    </row>
    <row r="148" spans="1:7">
      <c r="A148" s="198"/>
      <c r="B148" s="216" t="s">
        <v>102</v>
      </c>
      <c r="C148" s="217"/>
      <c r="D148" s="92"/>
      <c r="E148" s="92"/>
    </row>
    <row r="149" spans="1:7">
      <c r="A149" s="198"/>
      <c r="B149" s="218" t="s">
        <v>103</v>
      </c>
      <c r="C149" s="219"/>
      <c r="D149" s="92"/>
      <c r="E149" s="92"/>
    </row>
    <row r="150" spans="1:7">
      <c r="A150" s="198"/>
      <c r="B150" s="92"/>
      <c r="C150" s="92"/>
      <c r="D150" s="92"/>
      <c r="E150" s="92"/>
    </row>
    <row r="151" spans="1:7">
      <c r="A151" s="198"/>
      <c r="B151" s="92"/>
      <c r="C151" s="92"/>
      <c r="D151" s="92"/>
      <c r="E151" s="92"/>
    </row>
    <row r="152" spans="1:7">
      <c r="A152" s="198"/>
      <c r="B152" s="212" t="s">
        <v>25</v>
      </c>
      <c r="C152" s="213"/>
      <c r="D152" s="92"/>
      <c r="E152" s="92"/>
    </row>
    <row r="153" spans="1:7">
      <c r="A153" s="198"/>
      <c r="B153" s="214" t="s">
        <v>104</v>
      </c>
      <c r="C153" s="215"/>
      <c r="E153" s="92"/>
    </row>
    <row r="154" spans="1:7">
      <c r="A154" s="198"/>
      <c r="B154" s="216" t="s">
        <v>105</v>
      </c>
      <c r="C154" s="217"/>
      <c r="D154" s="92"/>
      <c r="E154" s="92"/>
    </row>
    <row r="155" spans="1:7" ht="25.5" customHeight="1">
      <c r="A155" s="198"/>
      <c r="B155" s="216" t="s">
        <v>106</v>
      </c>
      <c r="C155" s="217"/>
      <c r="D155" s="92"/>
      <c r="E155" s="92"/>
      <c r="G155" t="s">
        <v>107</v>
      </c>
    </row>
    <row r="156" spans="1:7" ht="25.5" customHeight="1">
      <c r="A156" s="198"/>
      <c r="B156" s="216" t="s">
        <v>108</v>
      </c>
      <c r="C156" s="217"/>
      <c r="D156" s="92"/>
      <c r="E156" s="92"/>
    </row>
    <row r="157" spans="1:7" ht="14.25" customHeight="1">
      <c r="A157" s="198"/>
      <c r="B157" s="216" t="s">
        <v>109</v>
      </c>
      <c r="C157" s="217"/>
      <c r="D157" s="92"/>
      <c r="E157" s="92"/>
    </row>
    <row r="158" spans="1:7" ht="25.5" customHeight="1">
      <c r="A158" s="198"/>
      <c r="B158" s="216" t="s">
        <v>110</v>
      </c>
      <c r="C158" s="217"/>
      <c r="D158" s="92"/>
      <c r="E158" s="92"/>
    </row>
    <row r="159" spans="1:7" ht="12" customHeight="1">
      <c r="A159" s="198"/>
      <c r="B159" s="216"/>
      <c r="C159" s="217"/>
      <c r="D159" s="92"/>
      <c r="E159" s="92"/>
    </row>
    <row r="160" spans="1:7">
      <c r="A160" s="198"/>
      <c r="B160" s="218"/>
      <c r="C160" s="219"/>
      <c r="D160" s="92"/>
      <c r="E160" s="92"/>
    </row>
    <row r="161" spans="1:9">
      <c r="A161" s="198"/>
      <c r="B161" s="92"/>
      <c r="C161" s="92"/>
      <c r="D161" s="92"/>
      <c r="E161" s="92"/>
    </row>
    <row r="162" spans="1:9">
      <c r="A162" s="198"/>
      <c r="B162" s="92"/>
      <c r="C162" s="92"/>
      <c r="D162" s="92"/>
      <c r="E162" s="92"/>
    </row>
    <row r="163" spans="1:9" ht="12.75" customHeight="1">
      <c r="A163" s="198"/>
      <c r="B163" s="220" t="s">
        <v>89</v>
      </c>
      <c r="C163" s="221"/>
      <c r="D163" s="92"/>
      <c r="E163" s="222" t="s">
        <v>91</v>
      </c>
      <c r="F163" s="222"/>
      <c r="G163" s="222"/>
      <c r="H163" s="223"/>
      <c r="I163" s="224"/>
    </row>
    <row r="164" spans="1:9" ht="12.75" customHeight="1">
      <c r="A164" s="198"/>
      <c r="B164" s="214" t="s">
        <v>111</v>
      </c>
      <c r="C164" s="215"/>
      <c r="E164" s="225"/>
      <c r="F164" s="226"/>
      <c r="G164" s="226"/>
      <c r="H164" s="226"/>
      <c r="I164" s="227"/>
    </row>
    <row r="165" spans="1:9" ht="12.75" customHeight="1">
      <c r="A165" s="198"/>
      <c r="B165" s="216" t="s">
        <v>112</v>
      </c>
      <c r="C165" s="217"/>
      <c r="E165" s="225"/>
      <c r="F165" s="226"/>
      <c r="G165" s="226"/>
      <c r="H165" s="226"/>
      <c r="I165" s="227"/>
    </row>
    <row r="166" spans="1:9" ht="12.75" customHeight="1">
      <c r="A166" s="198"/>
      <c r="B166" s="216"/>
      <c r="C166" s="217"/>
      <c r="D166" s="92"/>
      <c r="E166" s="228" t="s">
        <v>111</v>
      </c>
      <c r="F166" s="228"/>
      <c r="G166" s="228"/>
      <c r="H166" s="228"/>
      <c r="I166" s="227"/>
    </row>
    <row r="167" spans="1:9" ht="12.75" customHeight="1">
      <c r="A167" s="198"/>
      <c r="B167" s="216"/>
      <c r="C167" s="217"/>
      <c r="D167" s="92"/>
      <c r="E167" s="229" t="s">
        <v>112</v>
      </c>
      <c r="F167" s="229"/>
      <c r="G167" s="229"/>
      <c r="H167" s="229"/>
      <c r="I167" s="227"/>
    </row>
    <row r="168" spans="1:9" ht="12.75" customHeight="1">
      <c r="A168" s="198"/>
      <c r="B168" s="216"/>
      <c r="C168" s="217"/>
      <c r="D168" s="92"/>
      <c r="E168" s="230"/>
      <c r="F168" s="230"/>
      <c r="G168" s="230"/>
      <c r="H168" s="230"/>
      <c r="I168" s="227"/>
    </row>
    <row r="169" spans="1:9" ht="12.75" customHeight="1">
      <c r="A169" s="198"/>
      <c r="B169" s="216"/>
      <c r="C169" s="217"/>
      <c r="D169" s="92"/>
      <c r="E169" s="230"/>
      <c r="F169" s="230"/>
      <c r="G169" s="230"/>
      <c r="H169" s="230"/>
      <c r="I169" s="227"/>
    </row>
    <row r="170" spans="1:9" ht="12.75" customHeight="1">
      <c r="A170" s="198"/>
      <c r="B170" s="216"/>
      <c r="C170" s="217"/>
      <c r="D170" s="92"/>
      <c r="E170" s="221"/>
      <c r="F170" s="221"/>
      <c r="G170" s="221"/>
      <c r="H170" s="221"/>
      <c r="I170" s="227"/>
    </row>
    <row r="171" spans="1:9" ht="12" customHeight="1">
      <c r="A171" s="198"/>
      <c r="B171" s="218"/>
      <c r="C171" s="219"/>
      <c r="D171" s="92"/>
      <c r="E171" s="213"/>
      <c r="F171" s="213"/>
      <c r="G171" s="213"/>
      <c r="H171" s="213"/>
      <c r="I171" s="227"/>
    </row>
    <row r="172" spans="1:9">
      <c r="A172" s="198"/>
      <c r="B172" s="92"/>
      <c r="C172" s="92"/>
      <c r="D172" s="92"/>
      <c r="E172" s="92"/>
    </row>
    <row r="173" spans="1:9">
      <c r="A173" s="198"/>
      <c r="B173" s="92"/>
      <c r="C173" s="92"/>
      <c r="D173" s="92"/>
      <c r="E173" s="92"/>
    </row>
    <row r="174" spans="1:9">
      <c r="A174" s="198"/>
      <c r="B174" s="220" t="s">
        <v>4</v>
      </c>
      <c r="C174" s="221"/>
      <c r="D174" s="92"/>
      <c r="E174" s="220" t="s">
        <v>29</v>
      </c>
      <c r="F174" s="231"/>
      <c r="G174" s="231"/>
      <c r="H174" s="232"/>
      <c r="I174" s="224"/>
    </row>
    <row r="175" spans="1:9" ht="13.5" customHeight="1">
      <c r="A175" s="198"/>
      <c r="B175" s="214" t="s">
        <v>113</v>
      </c>
      <c r="C175" s="215"/>
      <c r="E175" s="212" t="s">
        <v>114</v>
      </c>
      <c r="F175" s="233"/>
      <c r="G175" s="233"/>
      <c r="H175" s="234"/>
      <c r="I175" s="227"/>
    </row>
    <row r="176" spans="1:9" ht="12.75" customHeight="1">
      <c r="A176" s="198"/>
      <c r="B176" s="216" t="s">
        <v>115</v>
      </c>
      <c r="C176" s="217"/>
      <c r="E176" s="235"/>
      <c r="F176" s="236"/>
      <c r="G176" s="236"/>
      <c r="H176" s="237"/>
      <c r="I176" s="227"/>
    </row>
    <row r="177" spans="1:9" ht="13.5" customHeight="1">
      <c r="A177" s="198"/>
      <c r="B177" s="216" t="s">
        <v>116</v>
      </c>
      <c r="C177" s="217"/>
      <c r="E177" s="238"/>
      <c r="F177" s="239"/>
      <c r="G177" s="239"/>
      <c r="H177" s="240"/>
      <c r="I177" s="227"/>
    </row>
    <row r="178" spans="1:9" ht="12.75" customHeight="1">
      <c r="A178" s="198"/>
      <c r="B178" s="216" t="s">
        <v>117</v>
      </c>
      <c r="C178" s="217"/>
      <c r="E178" s="238"/>
      <c r="F178" s="239"/>
      <c r="G178" s="239"/>
      <c r="H178" s="240"/>
      <c r="I178" s="227"/>
    </row>
    <row r="179" spans="1:9" ht="13.5" customHeight="1">
      <c r="A179" s="198"/>
      <c r="B179" s="216" t="s">
        <v>118</v>
      </c>
      <c r="C179" s="217"/>
      <c r="E179" s="238"/>
      <c r="F179" s="239"/>
      <c r="G179" s="239"/>
      <c r="H179" s="240"/>
      <c r="I179" s="227"/>
    </row>
    <row r="180" spans="1:9" ht="13.5" customHeight="1">
      <c r="A180" s="198"/>
      <c r="B180" s="216" t="s">
        <v>119</v>
      </c>
      <c r="C180" s="217"/>
      <c r="E180" s="238"/>
      <c r="F180" s="239"/>
      <c r="G180" s="239"/>
      <c r="H180" s="240"/>
      <c r="I180" s="227"/>
    </row>
    <row r="181" spans="1:9">
      <c r="A181" s="198"/>
      <c r="B181" s="218"/>
      <c r="C181" s="219"/>
      <c r="D181" s="92"/>
      <c r="E181" s="241"/>
      <c r="F181" s="241"/>
      <c r="G181" s="227"/>
      <c r="H181" s="227"/>
      <c r="I181" s="227"/>
    </row>
    <row r="182" spans="1:9" ht="12.75" customHeight="1">
      <c r="A182" s="198"/>
      <c r="B182" s="198"/>
      <c r="C182" s="198"/>
      <c r="D182" s="92"/>
      <c r="E182" s="227"/>
      <c r="F182" s="227"/>
      <c r="G182" s="227"/>
      <c r="H182" s="227"/>
      <c r="I182" s="227"/>
    </row>
    <row r="183" spans="1:9" ht="12.75" customHeight="1">
      <c r="A183" s="198"/>
      <c r="B183" s="198"/>
      <c r="C183" s="198"/>
      <c r="D183" s="92"/>
      <c r="E183" s="227"/>
      <c r="F183" s="227"/>
      <c r="G183" s="227"/>
      <c r="H183" s="227"/>
      <c r="I183" s="227"/>
    </row>
    <row r="184" spans="1:9" ht="12.75" customHeight="1">
      <c r="A184" s="198"/>
      <c r="B184" s="220" t="s">
        <v>92</v>
      </c>
      <c r="C184" s="221"/>
      <c r="D184" s="92"/>
      <c r="E184" s="220" t="s">
        <v>54</v>
      </c>
      <c r="F184" s="220"/>
      <c r="G184" s="220"/>
      <c r="H184" s="221"/>
      <c r="I184" s="242"/>
    </row>
    <row r="185" spans="1:9" ht="12.75" customHeight="1">
      <c r="A185" s="198"/>
      <c r="B185" s="214" t="s">
        <v>113</v>
      </c>
      <c r="C185" s="243"/>
      <c r="E185" s="244" t="s">
        <v>113</v>
      </c>
      <c r="F185" s="245"/>
      <c r="G185" s="245"/>
      <c r="H185" s="246"/>
      <c r="I185" s="227"/>
    </row>
    <row r="186" spans="1:9" ht="12.75" customHeight="1">
      <c r="A186" s="198"/>
      <c r="B186" s="216" t="s">
        <v>115</v>
      </c>
      <c r="C186" s="247"/>
      <c r="E186" s="244" t="s">
        <v>115</v>
      </c>
      <c r="F186" s="245"/>
      <c r="G186" s="245"/>
      <c r="H186" s="246"/>
      <c r="I186" s="227"/>
    </row>
    <row r="187" spans="1:9" ht="12.75" customHeight="1">
      <c r="A187" s="198"/>
      <c r="B187" s="216" t="s">
        <v>116</v>
      </c>
      <c r="C187" s="247"/>
      <c r="E187" s="244" t="s">
        <v>116</v>
      </c>
      <c r="F187" s="245"/>
      <c r="G187" s="245"/>
      <c r="H187" s="246"/>
      <c r="I187" s="227"/>
    </row>
    <row r="188" spans="1:9" ht="12.75" customHeight="1">
      <c r="A188" s="198"/>
      <c r="B188" s="216" t="s">
        <v>117</v>
      </c>
      <c r="C188" s="247"/>
      <c r="E188" s="244" t="s">
        <v>117</v>
      </c>
      <c r="F188" s="245"/>
      <c r="G188" s="245"/>
      <c r="H188" s="246"/>
      <c r="I188" s="227"/>
    </row>
    <row r="189" spans="1:9" ht="12.75" customHeight="1">
      <c r="A189" s="198"/>
      <c r="B189" s="216" t="s">
        <v>118</v>
      </c>
      <c r="C189" s="247"/>
      <c r="E189" s="244" t="s">
        <v>118</v>
      </c>
      <c r="F189" s="245"/>
      <c r="G189" s="245"/>
      <c r="H189" s="246"/>
      <c r="I189" s="227"/>
    </row>
    <row r="190" spans="1:9" ht="12.75" customHeight="1">
      <c r="A190" s="198"/>
      <c r="B190" s="216" t="s">
        <v>119</v>
      </c>
      <c r="C190" s="247"/>
      <c r="E190" s="244" t="s">
        <v>119</v>
      </c>
      <c r="F190" s="245"/>
      <c r="G190" s="245"/>
      <c r="H190" s="246"/>
      <c r="I190" s="227"/>
    </row>
    <row r="191" spans="1:9">
      <c r="A191" s="198"/>
      <c r="B191" s="248"/>
      <c r="C191" s="249"/>
      <c r="D191" s="92"/>
      <c r="E191" s="248"/>
      <c r="F191" s="248"/>
      <c r="G191" s="248"/>
      <c r="H191" s="249"/>
      <c r="I191" s="227"/>
    </row>
    <row r="192" spans="1:9" ht="12.75" customHeight="1">
      <c r="A192" s="198"/>
      <c r="D192" s="92"/>
      <c r="E192" s="92"/>
    </row>
    <row r="193" spans="1:13" ht="12.75" customHeight="1">
      <c r="A193" s="198"/>
      <c r="B193" s="195" t="s">
        <v>120</v>
      </c>
      <c r="C193" s="196"/>
      <c r="D193" s="196"/>
      <c r="E193" s="196"/>
      <c r="F193" s="186"/>
      <c r="G193" s="186"/>
      <c r="H193" s="186"/>
      <c r="I193" s="186"/>
      <c r="J193" s="186"/>
      <c r="K193" s="186"/>
      <c r="L193" s="186"/>
      <c r="M193" s="186"/>
    </row>
    <row r="194" spans="1:13" ht="12.75" customHeight="1">
      <c r="A194" s="198"/>
      <c r="B194" s="197"/>
      <c r="C194" s="196"/>
      <c r="D194" s="196"/>
      <c r="E194" s="196"/>
      <c r="F194" s="186"/>
      <c r="G194" s="186"/>
      <c r="H194" s="186"/>
      <c r="I194" s="186"/>
    </row>
    <row r="195" spans="1:13" ht="12.75" customHeight="1">
      <c r="A195" s="198"/>
      <c r="B195" s="199" t="s">
        <v>121</v>
      </c>
      <c r="C195" s="92"/>
      <c r="D195" s="92"/>
      <c r="E195" s="200" t="b">
        <f>OR((LEFT('RFPR cover'!$C$8,2)=Data!F195),'RFPR cover'!$C$7=Data!F195)</f>
        <v>0</v>
      </c>
      <c r="F195" s="202" t="str">
        <f>B206</f>
        <v>ED</v>
      </c>
    </row>
    <row r="196" spans="1:13" ht="19.5" customHeight="1">
      <c r="A196" s="198"/>
      <c r="B196" s="203" t="str">
        <f t="shared" ref="B196:B203" si="19">CHOOSE(MATCH(TRUE,$E$195:$E$203,0),B207,B218,B229,E229,B240,E240,B251,E251,B262)&amp;""</f>
        <v>Network Innovation Allowance- (SpC 5.2)</v>
      </c>
      <c r="C196" s="92"/>
      <c r="D196" s="92"/>
      <c r="E196" s="204" t="b">
        <f>OR((LEFT('RFPR cover'!$C$8,2)=Data!F196),'RFPR cover'!$C$7=Data!F196)</f>
        <v>0</v>
      </c>
      <c r="F196" s="206" t="str">
        <f>B217</f>
        <v>GD</v>
      </c>
    </row>
    <row r="197" spans="1:13" ht="22.5" customHeight="1">
      <c r="A197" s="198"/>
      <c r="B197" s="203" t="str">
        <f t="shared" si="19"/>
        <v>Carry Over RIIO-1 Network Innovation Allowance - (SpC 5.3)</v>
      </c>
      <c r="C197" s="92"/>
      <c r="D197" s="92"/>
      <c r="E197" s="204" t="b">
        <f>OR((LEFT('RFPR cover'!$C$8,2)=Data!F197),'RFPR cover'!$C$7=Data!F197)</f>
        <v>0</v>
      </c>
      <c r="F197" s="207" t="str">
        <f>B228</f>
        <v>NGGT (TO)</v>
      </c>
    </row>
    <row r="198" spans="1:13" ht="19.5" customHeight="1">
      <c r="A198" s="198"/>
      <c r="B198" s="203" t="str">
        <f t="shared" si="19"/>
        <v/>
      </c>
      <c r="C198" s="92"/>
      <c r="D198" s="92"/>
      <c r="E198" s="204" t="b">
        <f>OR((LEFT('RFPR cover'!$C$8,2)=Data!F198),'RFPR cover'!$C$7=Data!F198)</f>
        <v>0</v>
      </c>
      <c r="F198" s="207" t="str">
        <f>E228</f>
        <v>NGGT (SO)</v>
      </c>
    </row>
    <row r="199" spans="1:13" ht="19.5" customHeight="1">
      <c r="A199" s="198"/>
      <c r="B199" s="203" t="str">
        <f t="shared" si="19"/>
        <v/>
      </c>
      <c r="C199" s="92"/>
      <c r="D199" s="92"/>
      <c r="E199" s="204" t="b">
        <f>OR((LEFT('RFPR cover'!$C$8,2)=Data!F199),'RFPR cover'!$C$7=Data!F199)</f>
        <v>0</v>
      </c>
      <c r="F199" s="207" t="str">
        <f>B239</f>
        <v>NGGT (TO+SO)</v>
      </c>
    </row>
    <row r="200" spans="1:13" ht="19.5" customHeight="1">
      <c r="A200" s="198"/>
      <c r="B200" s="203" t="str">
        <f t="shared" si="19"/>
        <v/>
      </c>
      <c r="C200" s="92"/>
      <c r="D200" s="92"/>
      <c r="E200" s="204" t="b">
        <f>OR((LEFT('RFPR cover'!$C$8,2)=Data!F200),'RFPR cover'!$C$7=Data!F200)</f>
        <v>1</v>
      </c>
      <c r="F200" s="207" t="str">
        <f>E239</f>
        <v>NGET (TO)</v>
      </c>
    </row>
    <row r="201" spans="1:13" ht="19.5" customHeight="1">
      <c r="A201" s="198"/>
      <c r="B201" s="203" t="str">
        <f t="shared" si="19"/>
        <v/>
      </c>
      <c r="C201" s="92"/>
      <c r="D201" s="92"/>
      <c r="E201" s="204" t="b">
        <f>OR((LEFT('RFPR cover'!$C$8,2)=Data!F201),'RFPR cover'!$C$7=Data!F201)</f>
        <v>0</v>
      </c>
      <c r="F201" s="207" t="str">
        <f>B250</f>
        <v>ESO</v>
      </c>
    </row>
    <row r="202" spans="1:13" ht="19.5" customHeight="1">
      <c r="A202" s="198"/>
      <c r="B202" s="203" t="str">
        <f t="shared" si="19"/>
        <v/>
      </c>
      <c r="C202" s="92"/>
      <c r="D202" s="92"/>
      <c r="E202" s="204" t="b">
        <f>OR((LEFT('RFPR cover'!$C$8,2)=Data!F202),'RFPR cover'!$C$7=Data!F202)</f>
        <v>0</v>
      </c>
      <c r="F202" s="207" t="str">
        <f>E250</f>
        <v>SPT</v>
      </c>
    </row>
    <row r="203" spans="1:13" ht="19.5" customHeight="1">
      <c r="A203" s="198"/>
      <c r="B203" s="203" t="str">
        <f t="shared" si="19"/>
        <v/>
      </c>
      <c r="C203" s="92"/>
      <c r="D203" s="92"/>
      <c r="E203" s="208" t="b">
        <f>OR((LEFT('RFPR cover'!$C$8,2)=Data!F203),'RFPR cover'!$C$7=Data!F203)</f>
        <v>0</v>
      </c>
      <c r="F203" s="210" t="str">
        <f>B261</f>
        <v>SHET</v>
      </c>
      <c r="G203" s="92"/>
      <c r="H203" s="92"/>
      <c r="I203" s="92"/>
    </row>
    <row r="204" spans="1:13" ht="12.75" customHeight="1">
      <c r="A204" s="198"/>
      <c r="B204" s="92"/>
      <c r="C204" s="92"/>
      <c r="D204" s="92"/>
      <c r="E204" s="91"/>
      <c r="F204" s="211"/>
    </row>
    <row r="205" spans="1:13" ht="12.75" customHeight="1">
      <c r="A205" s="198"/>
      <c r="B205" s="250"/>
      <c r="C205" s="250"/>
      <c r="D205" s="92"/>
      <c r="E205" s="91"/>
      <c r="F205" s="211"/>
    </row>
    <row r="206" spans="1:13" ht="12.75" customHeight="1">
      <c r="A206" s="198"/>
      <c r="B206" s="251" t="s">
        <v>19</v>
      </c>
      <c r="C206" s="252"/>
      <c r="D206" s="92"/>
      <c r="E206" s="92"/>
    </row>
    <row r="207" spans="1:13" ht="12.75" customHeight="1">
      <c r="A207" s="198"/>
      <c r="B207" s="235" t="s">
        <v>122</v>
      </c>
      <c r="C207" s="253"/>
      <c r="D207" s="92"/>
      <c r="E207" s="92"/>
    </row>
    <row r="208" spans="1:13" ht="12.75" customHeight="1">
      <c r="A208" s="198"/>
      <c r="B208" s="238" t="s">
        <v>123</v>
      </c>
      <c r="C208" s="254"/>
      <c r="D208" s="92"/>
      <c r="E208" s="92"/>
    </row>
    <row r="209" spans="1:5" ht="12.75" customHeight="1">
      <c r="A209" s="198"/>
      <c r="B209" s="238"/>
      <c r="C209" s="254"/>
      <c r="D209" s="92"/>
      <c r="E209" s="92"/>
    </row>
    <row r="210" spans="1:5" ht="12.75" customHeight="1">
      <c r="A210" s="198"/>
      <c r="B210" s="238"/>
      <c r="C210" s="254"/>
      <c r="D210" s="92"/>
      <c r="E210" s="92"/>
    </row>
    <row r="211" spans="1:5" ht="12.75" customHeight="1">
      <c r="A211" s="198"/>
      <c r="B211" s="238"/>
      <c r="C211" s="254"/>
      <c r="D211" s="92"/>
      <c r="E211" s="92"/>
    </row>
    <row r="212" spans="1:5" ht="12.75" customHeight="1">
      <c r="A212" s="198"/>
      <c r="B212" s="238"/>
      <c r="C212" s="254"/>
      <c r="D212" s="92"/>
      <c r="E212" s="92"/>
    </row>
    <row r="213" spans="1:5">
      <c r="A213" s="198"/>
      <c r="B213" s="238"/>
      <c r="C213" s="254"/>
      <c r="D213" s="92"/>
      <c r="E213" s="92"/>
    </row>
    <row r="214" spans="1:5" ht="12.75" customHeight="1">
      <c r="A214" s="198"/>
      <c r="B214" s="248"/>
      <c r="C214" s="249"/>
      <c r="D214" s="92"/>
      <c r="E214" s="92"/>
    </row>
    <row r="215" spans="1:5" ht="12.75" customHeight="1">
      <c r="A215" s="198"/>
      <c r="B215" s="92"/>
      <c r="C215" s="92"/>
      <c r="D215" s="92"/>
      <c r="E215" s="92"/>
    </row>
    <row r="216" spans="1:5" ht="12.75" customHeight="1">
      <c r="A216" s="198"/>
      <c r="B216" s="92"/>
      <c r="C216" s="92"/>
      <c r="D216" s="92"/>
      <c r="E216" s="92"/>
    </row>
    <row r="217" spans="1:5" ht="12.75" customHeight="1">
      <c r="A217" s="198"/>
      <c r="B217" s="212" t="s">
        <v>25</v>
      </c>
      <c r="C217" s="213"/>
      <c r="D217" s="92"/>
      <c r="E217" s="92"/>
    </row>
    <row r="218" spans="1:5" ht="12.75" customHeight="1">
      <c r="A218" s="198"/>
      <c r="B218" s="235" t="s">
        <v>124</v>
      </c>
      <c r="C218" s="253"/>
      <c r="E218" s="92"/>
    </row>
    <row r="219" spans="1:5" ht="12.75" customHeight="1">
      <c r="A219" s="198"/>
      <c r="B219" s="238" t="s">
        <v>125</v>
      </c>
      <c r="C219" s="254"/>
      <c r="D219" s="92"/>
      <c r="E219" s="92"/>
    </row>
    <row r="220" spans="1:5" ht="12.75" customHeight="1">
      <c r="A220" s="198"/>
      <c r="B220" s="238"/>
      <c r="C220" s="254"/>
      <c r="D220" s="92"/>
      <c r="E220" s="92"/>
    </row>
    <row r="221" spans="1:5" ht="12.75" customHeight="1">
      <c r="A221" s="198"/>
      <c r="B221" s="238"/>
      <c r="C221" s="254"/>
      <c r="D221" s="92"/>
      <c r="E221" s="92"/>
    </row>
    <row r="222" spans="1:5">
      <c r="A222" s="198"/>
      <c r="B222" s="238"/>
      <c r="C222" s="254"/>
      <c r="D222" s="92"/>
      <c r="E222" s="92"/>
    </row>
    <row r="223" spans="1:5">
      <c r="A223" s="198"/>
      <c r="B223" s="238"/>
      <c r="C223" s="254"/>
      <c r="D223" s="92"/>
      <c r="E223" s="92"/>
    </row>
    <row r="224" spans="1:5" ht="12.75" customHeight="1">
      <c r="A224" s="198"/>
      <c r="B224" s="238"/>
      <c r="C224" s="254"/>
      <c r="D224" s="92"/>
      <c r="E224" s="92"/>
    </row>
    <row r="225" spans="1:9">
      <c r="A225" s="198"/>
      <c r="B225" s="248"/>
      <c r="C225" s="249"/>
      <c r="D225" s="92"/>
      <c r="E225" s="92"/>
    </row>
    <row r="226" spans="1:9">
      <c r="A226" s="198"/>
      <c r="B226" s="92"/>
      <c r="C226" s="92"/>
      <c r="D226" s="92"/>
      <c r="E226" s="92"/>
    </row>
    <row r="227" spans="1:9">
      <c r="A227" s="198"/>
      <c r="B227" s="92"/>
      <c r="C227" s="92"/>
      <c r="D227" s="92"/>
      <c r="E227" s="92"/>
    </row>
    <row r="228" spans="1:9">
      <c r="A228" s="198"/>
      <c r="B228" s="255" t="str">
        <f>B85</f>
        <v>NGGT (TO)</v>
      </c>
      <c r="C228" s="256"/>
      <c r="D228" s="92"/>
      <c r="E228" s="220" t="str">
        <f>B86</f>
        <v>NGGT (SO)</v>
      </c>
      <c r="F228" s="220"/>
      <c r="G228" s="220"/>
      <c r="H228" s="220"/>
      <c r="I228" s="221"/>
    </row>
    <row r="229" spans="1:9">
      <c r="A229" s="198"/>
      <c r="B229" s="257" t="s">
        <v>126</v>
      </c>
      <c r="C229" s="258"/>
      <c r="E229" s="225"/>
      <c r="F229" s="226"/>
      <c r="G229" s="226"/>
      <c r="H229" s="226"/>
      <c r="I229" s="259"/>
    </row>
    <row r="230" spans="1:9" ht="25.5" customHeight="1">
      <c r="A230" s="198"/>
      <c r="B230" s="260" t="s">
        <v>127</v>
      </c>
      <c r="C230" s="261"/>
      <c r="E230" s="225"/>
      <c r="F230" s="226"/>
      <c r="G230" s="226"/>
      <c r="H230" s="226"/>
      <c r="I230" s="259"/>
    </row>
    <row r="231" spans="1:9" ht="13.5" customHeight="1">
      <c r="A231" s="198"/>
      <c r="B231" s="260" t="s">
        <v>128</v>
      </c>
      <c r="C231" s="261"/>
      <c r="D231" s="92"/>
      <c r="E231" s="225"/>
      <c r="F231" s="226"/>
      <c r="G231" s="226"/>
      <c r="H231" s="226"/>
      <c r="I231" s="259"/>
    </row>
    <row r="232" spans="1:9" ht="13.5" customHeight="1">
      <c r="A232" s="198"/>
      <c r="B232" s="260"/>
      <c r="C232" s="262"/>
      <c r="D232" s="92"/>
      <c r="E232" s="263" t="s">
        <v>129</v>
      </c>
      <c r="F232" s="264"/>
      <c r="G232" s="264"/>
      <c r="H232" s="264"/>
      <c r="I232" s="265"/>
    </row>
    <row r="233" spans="1:9" ht="13.5" customHeight="1">
      <c r="A233" s="198"/>
      <c r="B233" s="260"/>
      <c r="C233" s="261"/>
      <c r="D233" s="92"/>
      <c r="E233" s="263" t="s">
        <v>130</v>
      </c>
      <c r="F233" s="264"/>
      <c r="G233" s="264"/>
      <c r="H233" s="264"/>
      <c r="I233" s="265"/>
    </row>
    <row r="234" spans="1:9" ht="13.5" customHeight="1">
      <c r="A234" s="198"/>
      <c r="B234" s="238"/>
      <c r="C234" s="254"/>
      <c r="D234" s="92"/>
      <c r="E234" s="263" t="s">
        <v>131</v>
      </c>
      <c r="F234" s="264"/>
      <c r="G234" s="264"/>
      <c r="H234" s="264"/>
      <c r="I234" s="265"/>
    </row>
    <row r="235" spans="1:9" ht="13.5" customHeight="1">
      <c r="A235" s="198"/>
      <c r="B235" s="238"/>
      <c r="C235" s="254"/>
      <c r="D235" s="92"/>
      <c r="E235" s="266" t="s">
        <v>132</v>
      </c>
      <c r="F235" s="267"/>
      <c r="G235" s="267"/>
      <c r="H235" s="267"/>
      <c r="I235" s="268"/>
    </row>
    <row r="236" spans="1:9" ht="12.75" customHeight="1">
      <c r="A236" s="198"/>
      <c r="B236" s="248"/>
      <c r="C236" s="249"/>
      <c r="D236" s="92"/>
      <c r="E236" s="269" t="s">
        <v>133</v>
      </c>
      <c r="F236" s="270"/>
      <c r="G236" s="270"/>
      <c r="H236" s="270"/>
      <c r="I236" s="271"/>
    </row>
    <row r="237" spans="1:9">
      <c r="A237" s="198"/>
      <c r="B237" s="92"/>
      <c r="C237" s="92"/>
      <c r="D237" s="92"/>
      <c r="E237" s="92"/>
    </row>
    <row r="238" spans="1:9" ht="12.75" customHeight="1">
      <c r="A238" s="198"/>
      <c r="B238" s="92"/>
      <c r="C238" s="92"/>
      <c r="D238" s="92"/>
      <c r="E238" s="92"/>
    </row>
    <row r="239" spans="1:9">
      <c r="A239" s="198"/>
      <c r="B239" s="220" t="s">
        <v>91</v>
      </c>
      <c r="C239" s="221"/>
      <c r="E239" s="220" t="s">
        <v>4</v>
      </c>
      <c r="F239" s="220"/>
      <c r="G239" s="220"/>
      <c r="H239" s="220"/>
      <c r="I239" s="221"/>
    </row>
    <row r="240" spans="1:9" ht="12.75" customHeight="1">
      <c r="A240" s="198"/>
      <c r="B240" s="235" t="s">
        <v>126</v>
      </c>
      <c r="C240" s="253"/>
      <c r="E240" s="235" t="s">
        <v>126</v>
      </c>
      <c r="F240" s="235"/>
      <c r="G240" s="235"/>
      <c r="H240" s="235"/>
      <c r="I240" s="253"/>
    </row>
    <row r="241" spans="1:9" ht="12.75" customHeight="1">
      <c r="A241" s="198"/>
      <c r="B241" s="238" t="s">
        <v>127</v>
      </c>
      <c r="C241" s="254"/>
      <c r="D241" s="92"/>
      <c r="E241" s="238" t="s">
        <v>134</v>
      </c>
      <c r="F241" s="238"/>
      <c r="G241" s="238"/>
      <c r="H241" s="238"/>
      <c r="I241" s="254"/>
    </row>
    <row r="242" spans="1:9" ht="12.75" customHeight="1">
      <c r="A242" s="198"/>
      <c r="B242" s="238" t="s">
        <v>128</v>
      </c>
      <c r="C242" s="254"/>
      <c r="D242" s="92"/>
      <c r="E242" s="238"/>
      <c r="F242" s="238"/>
      <c r="G242" s="238"/>
      <c r="H242" s="238"/>
      <c r="I242" s="254"/>
    </row>
    <row r="243" spans="1:9" ht="24" customHeight="1">
      <c r="A243" s="198"/>
      <c r="B243" s="238" t="s">
        <v>135</v>
      </c>
      <c r="C243" s="254"/>
      <c r="D243" s="92"/>
      <c r="E243" s="238"/>
      <c r="F243" s="238"/>
      <c r="G243" s="238"/>
      <c r="H243" s="238"/>
      <c r="I243" s="254"/>
    </row>
    <row r="244" spans="1:9">
      <c r="A244" s="198"/>
      <c r="B244" s="238" t="s">
        <v>130</v>
      </c>
      <c r="C244" s="254"/>
      <c r="E244" s="238"/>
      <c r="F244" s="238"/>
      <c r="G244" s="238"/>
      <c r="H244" s="238"/>
      <c r="I244" s="254"/>
    </row>
    <row r="245" spans="1:9">
      <c r="A245" s="198"/>
      <c r="B245" s="238" t="s">
        <v>131</v>
      </c>
      <c r="C245" s="254"/>
      <c r="E245" s="238"/>
      <c r="F245" s="238"/>
      <c r="G245" s="238"/>
      <c r="H245" s="238"/>
      <c r="I245" s="254"/>
    </row>
    <row r="246" spans="1:9" ht="12.75" customHeight="1">
      <c r="A246" s="198"/>
      <c r="B246" s="238" t="s">
        <v>136</v>
      </c>
      <c r="C246" s="254"/>
      <c r="D246" s="92"/>
      <c r="E246" s="238"/>
      <c r="F246" s="238"/>
      <c r="G246" s="238"/>
      <c r="H246" s="238"/>
      <c r="I246" s="254"/>
    </row>
    <row r="247" spans="1:9" ht="12.75" customHeight="1">
      <c r="A247" s="198"/>
      <c r="B247" s="248" t="s">
        <v>133</v>
      </c>
      <c r="C247" s="249"/>
      <c r="D247" s="92"/>
      <c r="E247" s="248"/>
      <c r="F247" s="248"/>
      <c r="G247" s="248"/>
      <c r="H247" s="248"/>
      <c r="I247" s="249"/>
    </row>
    <row r="248" spans="1:9" ht="12.75" customHeight="1">
      <c r="A248" s="198"/>
      <c r="B248" s="198"/>
      <c r="C248" s="198"/>
      <c r="D248" s="92"/>
      <c r="E248" s="227"/>
      <c r="F248" s="227"/>
      <c r="G248" s="227"/>
      <c r="H248" s="227"/>
      <c r="I248" s="227"/>
    </row>
    <row r="249" spans="1:9" ht="12.75" customHeight="1">
      <c r="A249" s="198"/>
      <c r="B249" s="198"/>
      <c r="C249" s="198"/>
      <c r="D249" s="92"/>
      <c r="E249" s="227"/>
      <c r="F249" s="227"/>
      <c r="G249" s="227"/>
      <c r="H249" s="227"/>
      <c r="I249" s="227"/>
    </row>
    <row r="250" spans="1:9" ht="12.75" customHeight="1">
      <c r="A250" s="198"/>
      <c r="B250" s="220" t="s">
        <v>29</v>
      </c>
      <c r="C250" s="221"/>
      <c r="D250" s="92"/>
      <c r="E250" s="220" t="s">
        <v>92</v>
      </c>
      <c r="F250" s="220"/>
      <c r="G250" s="220"/>
      <c r="H250" s="220"/>
      <c r="I250" s="221"/>
    </row>
    <row r="251" spans="1:9" ht="12.75" customHeight="1">
      <c r="A251" s="198"/>
      <c r="B251" s="235" t="s">
        <v>137</v>
      </c>
      <c r="C251" s="253"/>
      <c r="D251" s="92"/>
      <c r="E251" s="235" t="s">
        <v>138</v>
      </c>
      <c r="F251" s="235"/>
      <c r="G251" s="235"/>
      <c r="H251" s="235"/>
      <c r="I251" s="253"/>
    </row>
    <row r="252" spans="1:9" ht="25.5" customHeight="1">
      <c r="A252" s="198"/>
      <c r="B252" s="238" t="s">
        <v>139</v>
      </c>
      <c r="C252" s="254"/>
      <c r="E252" s="238" t="s">
        <v>125</v>
      </c>
      <c r="F252" s="238"/>
      <c r="G252" s="238"/>
      <c r="H252" s="238"/>
      <c r="I252" s="254"/>
    </row>
    <row r="253" spans="1:9" ht="25.5" customHeight="1">
      <c r="A253" s="198"/>
      <c r="B253" s="238"/>
      <c r="C253" s="254"/>
      <c r="E253" s="238"/>
      <c r="F253" s="238"/>
      <c r="G253" s="238"/>
      <c r="H253" s="238"/>
      <c r="I253" s="254"/>
    </row>
    <row r="254" spans="1:9" ht="25.5" customHeight="1">
      <c r="A254" s="198"/>
      <c r="B254" s="238"/>
      <c r="C254" s="254"/>
      <c r="E254" s="238"/>
      <c r="F254" s="238"/>
      <c r="G254" s="238"/>
      <c r="H254" s="238"/>
      <c r="I254" s="254"/>
    </row>
    <row r="255" spans="1:9" ht="25.5" customHeight="1">
      <c r="A255" s="198"/>
      <c r="B255" s="238"/>
      <c r="C255" s="254"/>
      <c r="E255" s="238"/>
      <c r="F255" s="238"/>
      <c r="G255" s="238"/>
      <c r="H255" s="238"/>
      <c r="I255" s="254"/>
    </row>
    <row r="256" spans="1:9" ht="25.5" customHeight="1">
      <c r="A256" s="198"/>
      <c r="B256" s="238"/>
      <c r="C256" s="254"/>
      <c r="E256" s="238"/>
      <c r="F256" s="238"/>
      <c r="G256" s="238"/>
      <c r="H256" s="238"/>
      <c r="I256" s="254"/>
    </row>
    <row r="257" spans="1:14">
      <c r="A257" s="198"/>
      <c r="B257" s="238"/>
      <c r="C257" s="254"/>
      <c r="E257" s="238"/>
      <c r="F257" s="238"/>
      <c r="G257" s="238"/>
      <c r="H257" s="238"/>
      <c r="I257" s="254"/>
    </row>
    <row r="258" spans="1:14">
      <c r="A258" s="198"/>
      <c r="B258" s="248"/>
      <c r="C258" s="249"/>
      <c r="D258" s="92"/>
      <c r="E258" s="248"/>
      <c r="F258" s="248"/>
      <c r="G258" s="248"/>
      <c r="H258" s="248"/>
      <c r="I258" s="249"/>
    </row>
    <row r="259" spans="1:14">
      <c r="A259" s="198"/>
      <c r="D259" s="92"/>
      <c r="E259" s="92"/>
    </row>
    <row r="260" spans="1:14">
      <c r="A260" s="198"/>
      <c r="D260" s="92"/>
      <c r="E260" s="92"/>
    </row>
    <row r="261" spans="1:14">
      <c r="A261" s="198"/>
      <c r="B261" s="220" t="s">
        <v>54</v>
      </c>
      <c r="C261" s="221"/>
      <c r="D261" s="92"/>
      <c r="E261" s="92"/>
    </row>
    <row r="262" spans="1:14">
      <c r="A262" s="198"/>
      <c r="B262" s="238" t="s">
        <v>138</v>
      </c>
      <c r="C262" s="254"/>
      <c r="D262" s="272"/>
      <c r="E262" s="272"/>
    </row>
    <row r="263" spans="1:14">
      <c r="A263" s="198"/>
      <c r="B263" s="238" t="s">
        <v>125</v>
      </c>
      <c r="C263" s="254"/>
      <c r="D263" s="272"/>
      <c r="E263" s="272"/>
    </row>
    <row r="264" spans="1:14">
      <c r="A264" s="198"/>
      <c r="B264" s="238"/>
      <c r="C264" s="254"/>
      <c r="D264" s="92"/>
      <c r="E264" s="92"/>
    </row>
    <row r="265" spans="1:14">
      <c r="A265" s="198"/>
      <c r="B265" s="238"/>
      <c r="C265" s="254"/>
      <c r="D265" s="92"/>
      <c r="E265" s="92"/>
    </row>
    <row r="266" spans="1:14">
      <c r="A266" s="198"/>
      <c r="B266" s="238"/>
      <c r="C266" s="254"/>
      <c r="D266" s="92"/>
      <c r="E266" s="92"/>
    </row>
    <row r="267" spans="1:14">
      <c r="A267" s="198"/>
      <c r="B267" s="238"/>
      <c r="C267" s="254"/>
      <c r="D267" s="92"/>
      <c r="E267" s="92"/>
    </row>
    <row r="268" spans="1:14">
      <c r="A268" s="198"/>
      <c r="B268" s="238"/>
      <c r="C268" s="254"/>
      <c r="D268" s="92"/>
      <c r="E268" s="92"/>
    </row>
    <row r="269" spans="1:14">
      <c r="A269" s="198"/>
      <c r="B269" s="248"/>
      <c r="C269" s="249"/>
      <c r="D269" s="92"/>
      <c r="E269" s="92"/>
    </row>
    <row r="270" spans="1:14">
      <c r="A270" s="198"/>
      <c r="D270" s="92"/>
      <c r="E270" s="92"/>
    </row>
    <row r="271" spans="1:14">
      <c r="A271" s="198"/>
      <c r="D271" s="92"/>
      <c r="E271" s="92"/>
    </row>
    <row r="272" spans="1:14">
      <c r="A272" s="198"/>
      <c r="B272" s="56"/>
      <c r="C272" s="56"/>
      <c r="D272" s="273"/>
      <c r="E272" s="273"/>
      <c r="F272" s="56"/>
      <c r="G272" s="56"/>
      <c r="H272" s="56"/>
      <c r="I272" s="56"/>
      <c r="J272" s="56"/>
      <c r="K272" s="56"/>
      <c r="L272" s="56"/>
      <c r="M272" s="56"/>
      <c r="N272" s="56"/>
    </row>
    <row r="273" spans="2:36">
      <c r="B273" s="195" t="s">
        <v>140</v>
      </c>
      <c r="C273" s="274"/>
      <c r="D273" s="274"/>
      <c r="E273" s="274"/>
      <c r="F273" s="275"/>
      <c r="G273" s="275"/>
      <c r="H273" s="275"/>
      <c r="I273" s="275"/>
      <c r="J273" s="275"/>
      <c r="K273" s="275"/>
      <c r="L273" s="275"/>
      <c r="M273" s="275"/>
      <c r="N273" s="275"/>
    </row>
    <row r="275" spans="2:36" ht="108">
      <c r="B275" s="276" t="s">
        <v>141</v>
      </c>
      <c r="C275" s="276" t="s">
        <v>142</v>
      </c>
      <c r="D275" s="276" t="s">
        <v>143</v>
      </c>
      <c r="E275" s="277" t="s">
        <v>144</v>
      </c>
      <c r="F275" s="277" t="s">
        <v>145</v>
      </c>
      <c r="G275" s="277" t="s">
        <v>146</v>
      </c>
      <c r="H275" s="277" t="s">
        <v>147</v>
      </c>
      <c r="I275" s="276" t="s">
        <v>148</v>
      </c>
      <c r="J275" s="276" t="s">
        <v>149</v>
      </c>
      <c r="K275" s="278" t="s">
        <v>150</v>
      </c>
      <c r="L275" s="278" t="s">
        <v>151</v>
      </c>
      <c r="M275" s="278" t="s">
        <v>152</v>
      </c>
      <c r="N275" s="278" t="s">
        <v>153</v>
      </c>
      <c r="O275" s="278" t="s">
        <v>154</v>
      </c>
      <c r="P275" s="278" t="s">
        <v>155</v>
      </c>
      <c r="Q275" s="278" t="s">
        <v>156</v>
      </c>
      <c r="R275" s="278" t="s">
        <v>157</v>
      </c>
      <c r="S275" s="278" t="s">
        <v>158</v>
      </c>
      <c r="T275" s="276" t="s">
        <v>159</v>
      </c>
      <c r="U275" s="276" t="s">
        <v>160</v>
      </c>
      <c r="V275" s="276" t="s">
        <v>161</v>
      </c>
      <c r="W275" s="276" t="s">
        <v>162</v>
      </c>
      <c r="X275" s="279" t="s">
        <v>163</v>
      </c>
      <c r="Y275" s="276" t="s">
        <v>164</v>
      </c>
      <c r="Z275" s="276" t="s">
        <v>165</v>
      </c>
      <c r="AA275" s="276" t="s">
        <v>166</v>
      </c>
      <c r="AB275" s="276" t="s">
        <v>167</v>
      </c>
      <c r="AC275" s="276" t="s">
        <v>168</v>
      </c>
      <c r="AD275" s="276" t="s">
        <v>169</v>
      </c>
      <c r="AE275" s="276" t="s">
        <v>170</v>
      </c>
      <c r="AF275" s="276" t="s">
        <v>171</v>
      </c>
      <c r="AG275" s="276" t="s">
        <v>172</v>
      </c>
      <c r="AH275" s="276" t="s">
        <v>173</v>
      </c>
      <c r="AI275" s="276" t="s">
        <v>174</v>
      </c>
      <c r="AJ275" s="280" t="s">
        <v>175</v>
      </c>
    </row>
    <row r="276" spans="2:36">
      <c r="B276" s="281" t="s">
        <v>19</v>
      </c>
      <c r="C276" t="s">
        <v>85</v>
      </c>
      <c r="D276" t="s">
        <v>176</v>
      </c>
      <c r="E276" t="s">
        <v>177</v>
      </c>
      <c r="F276" t="s">
        <v>178</v>
      </c>
      <c r="G276" t="s">
        <v>179</v>
      </c>
      <c r="H276" t="s">
        <v>180</v>
      </c>
      <c r="O276" t="s">
        <v>181</v>
      </c>
      <c r="Y276" t="s">
        <v>182</v>
      </c>
      <c r="Z276" t="s">
        <v>183</v>
      </c>
      <c r="AA276">
        <v>1</v>
      </c>
      <c r="AI276" t="s">
        <v>184</v>
      </c>
      <c r="AJ276" s="282" t="s">
        <v>184</v>
      </c>
    </row>
    <row r="277" spans="2:36">
      <c r="B277" s="281" t="s">
        <v>22</v>
      </c>
      <c r="C277" t="s">
        <v>185</v>
      </c>
      <c r="D277" t="s">
        <v>186</v>
      </c>
      <c r="E277" t="s">
        <v>187</v>
      </c>
      <c r="F277" t="s">
        <v>188</v>
      </c>
      <c r="G277" t="s">
        <v>189</v>
      </c>
      <c r="H277" t="s">
        <v>190</v>
      </c>
      <c r="O277" t="s">
        <v>191</v>
      </c>
      <c r="Y277" t="s">
        <v>192</v>
      </c>
      <c r="Z277" t="s">
        <v>193</v>
      </c>
      <c r="AA277">
        <v>2</v>
      </c>
      <c r="AI277" t="s">
        <v>194</v>
      </c>
      <c r="AJ277" s="282" t="s">
        <v>194</v>
      </c>
    </row>
    <row r="278" spans="2:36">
      <c r="B278" s="281" t="s">
        <v>25</v>
      </c>
      <c r="C278" t="s">
        <v>195</v>
      </c>
      <c r="D278" t="s">
        <v>196</v>
      </c>
      <c r="E278" t="s">
        <v>197</v>
      </c>
      <c r="F278" t="s">
        <v>198</v>
      </c>
      <c r="G278" t="s">
        <v>199</v>
      </c>
      <c r="O278" t="s">
        <v>200</v>
      </c>
      <c r="Y278" t="s">
        <v>201</v>
      </c>
      <c r="Z278" t="s">
        <v>202</v>
      </c>
      <c r="AA278">
        <v>3</v>
      </c>
      <c r="AI278" t="s">
        <v>203</v>
      </c>
      <c r="AJ278" s="282" t="s">
        <v>203</v>
      </c>
    </row>
    <row r="279" spans="2:36">
      <c r="B279" s="281" t="s">
        <v>27</v>
      </c>
      <c r="C279" t="s">
        <v>204</v>
      </c>
      <c r="D279" t="s">
        <v>205</v>
      </c>
      <c r="E279" t="s">
        <v>206</v>
      </c>
      <c r="G279" t="s">
        <v>207</v>
      </c>
      <c r="O279" t="s">
        <v>208</v>
      </c>
      <c r="Y279" t="s">
        <v>209</v>
      </c>
      <c r="Z279" t="s">
        <v>203</v>
      </c>
      <c r="AA279">
        <v>4</v>
      </c>
      <c r="AJ279" s="282"/>
    </row>
    <row r="280" spans="2:36">
      <c r="B280" s="281" t="s">
        <v>29</v>
      </c>
      <c r="C280" t="s">
        <v>88</v>
      </c>
      <c r="D280" t="s">
        <v>210</v>
      </c>
      <c r="E280" t="s">
        <v>211</v>
      </c>
      <c r="G280" t="s">
        <v>212</v>
      </c>
      <c r="O280" t="s">
        <v>213</v>
      </c>
      <c r="Y280" t="s">
        <v>214</v>
      </c>
      <c r="AA280">
        <v>5</v>
      </c>
      <c r="AJ280" s="282"/>
    </row>
    <row r="281" spans="2:36">
      <c r="B281" s="281"/>
      <c r="C281" t="s">
        <v>54</v>
      </c>
      <c r="D281" t="s">
        <v>215</v>
      </c>
      <c r="E281" t="s">
        <v>216</v>
      </c>
      <c r="O281" t="s">
        <v>217</v>
      </c>
      <c r="Y281" s="283" t="s">
        <v>218</v>
      </c>
      <c r="AA281">
        <v>6</v>
      </c>
      <c r="AJ281" s="282"/>
    </row>
    <row r="282" spans="2:36">
      <c r="B282" s="281"/>
      <c r="C282" t="s">
        <v>92</v>
      </c>
      <c r="D282" t="s">
        <v>219</v>
      </c>
      <c r="O282" t="s">
        <v>220</v>
      </c>
      <c r="Y282" t="s">
        <v>203</v>
      </c>
      <c r="AA282">
        <v>7</v>
      </c>
      <c r="AJ282" s="282"/>
    </row>
    <row r="283" spans="2:36">
      <c r="B283" s="281"/>
      <c r="C283" t="s">
        <v>221</v>
      </c>
      <c r="D283" t="s">
        <v>222</v>
      </c>
      <c r="O283" t="s">
        <v>223</v>
      </c>
      <c r="AA283">
        <v>8</v>
      </c>
      <c r="AJ283" s="282"/>
    </row>
    <row r="284" spans="2:36">
      <c r="B284" s="281"/>
      <c r="C284" t="s">
        <v>224</v>
      </c>
      <c r="D284" t="s">
        <v>225</v>
      </c>
      <c r="O284" t="s">
        <v>226</v>
      </c>
      <c r="AA284">
        <v>9</v>
      </c>
      <c r="AJ284" s="282"/>
    </row>
    <row r="285" spans="2:36">
      <c r="B285" s="281"/>
      <c r="C285" t="s">
        <v>29</v>
      </c>
      <c r="D285" t="s">
        <v>227</v>
      </c>
      <c r="AA285">
        <v>10</v>
      </c>
      <c r="AJ285" s="282"/>
    </row>
    <row r="286" spans="2:36">
      <c r="B286" s="281"/>
      <c r="C286" t="s">
        <v>70</v>
      </c>
      <c r="D286" t="s">
        <v>216</v>
      </c>
      <c r="AA286">
        <v>11</v>
      </c>
      <c r="AJ286" s="282"/>
    </row>
    <row r="287" spans="2:36">
      <c r="B287" s="281"/>
      <c r="C287" t="s">
        <v>71</v>
      </c>
      <c r="AA287">
        <v>12</v>
      </c>
      <c r="AJ287" s="282"/>
    </row>
    <row r="288" spans="2:36">
      <c r="B288" s="281"/>
      <c r="C288" t="s">
        <v>72</v>
      </c>
      <c r="AA288" t="s">
        <v>203</v>
      </c>
      <c r="AJ288" s="282"/>
    </row>
    <row r="289" spans="2:36">
      <c r="B289" s="281"/>
      <c r="C289" t="s">
        <v>75</v>
      </c>
      <c r="AJ289" s="282"/>
    </row>
    <row r="290" spans="2:36">
      <c r="B290" s="281"/>
      <c r="C290" t="s">
        <v>76</v>
      </c>
      <c r="AJ290" s="282"/>
    </row>
    <row r="291" spans="2:36">
      <c r="B291" s="281"/>
      <c r="C291" t="s">
        <v>77</v>
      </c>
      <c r="AJ291" s="282"/>
    </row>
    <row r="292" spans="2:36">
      <c r="B292" s="281"/>
      <c r="C292" t="s">
        <v>50</v>
      </c>
      <c r="AJ292" s="282"/>
    </row>
    <row r="293" spans="2:36">
      <c r="B293" s="281"/>
      <c r="C293" t="s">
        <v>228</v>
      </c>
      <c r="AJ293" s="282"/>
    </row>
    <row r="294" spans="2:36">
      <c r="B294" s="281"/>
      <c r="C294" t="s">
        <v>229</v>
      </c>
      <c r="AJ294" s="282"/>
    </row>
    <row r="295" spans="2:36">
      <c r="B295" s="281"/>
      <c r="C295" t="s">
        <v>230</v>
      </c>
      <c r="AJ295" s="282"/>
    </row>
    <row r="296" spans="2:36">
      <c r="B296" s="281"/>
      <c r="C296" t="s">
        <v>231</v>
      </c>
      <c r="AJ296" s="282"/>
    </row>
    <row r="297" spans="2:36">
      <c r="B297" s="281"/>
      <c r="C297" t="s">
        <v>232</v>
      </c>
      <c r="AJ297" s="282"/>
    </row>
    <row r="298" spans="2:36">
      <c r="B298" s="281"/>
      <c r="C298" t="s">
        <v>233</v>
      </c>
      <c r="AJ298" s="282"/>
    </row>
    <row r="299" spans="2:36">
      <c r="B299" s="281"/>
      <c r="C299" t="s">
        <v>234</v>
      </c>
      <c r="AJ299" s="282"/>
    </row>
    <row r="300" spans="2:36">
      <c r="B300" s="281"/>
      <c r="C300" t="s">
        <v>235</v>
      </c>
      <c r="AJ300" s="282"/>
    </row>
    <row r="301" spans="2:36">
      <c r="B301" s="281"/>
      <c r="AJ301" s="282"/>
    </row>
    <row r="302" spans="2:36">
      <c r="B302" s="281"/>
      <c r="AJ302" s="282"/>
    </row>
    <row r="303" spans="2:36">
      <c r="B303" s="281"/>
      <c r="AJ303" s="282"/>
    </row>
    <row r="304" spans="2:36">
      <c r="B304" s="281"/>
      <c r="AJ304" s="282"/>
    </row>
    <row r="305" spans="1:36">
      <c r="B305" s="281"/>
      <c r="AJ305" s="282"/>
    </row>
    <row r="306" spans="1:36">
      <c r="B306" s="284"/>
      <c r="C306" s="285"/>
      <c r="D306" s="285"/>
      <c r="E306" s="285"/>
      <c r="F306" s="285"/>
      <c r="G306" s="285"/>
      <c r="H306" s="285"/>
      <c r="I306" s="285"/>
      <c r="J306" s="285"/>
      <c r="K306" s="285"/>
      <c r="L306" s="285"/>
      <c r="M306" s="285"/>
      <c r="N306" s="285"/>
      <c r="O306" s="285"/>
      <c r="P306" s="285"/>
      <c r="Q306" s="285"/>
      <c r="R306" s="285"/>
      <c r="S306" s="285"/>
      <c r="T306" s="285"/>
      <c r="U306" s="285"/>
      <c r="V306" s="285"/>
      <c r="W306" s="285"/>
      <c r="X306" s="285"/>
      <c r="Y306" s="285"/>
      <c r="Z306" s="285"/>
      <c r="AA306" s="285"/>
      <c r="AB306" s="285"/>
      <c r="AC306" s="285"/>
      <c r="AD306" s="285"/>
      <c r="AE306" s="285"/>
      <c r="AF306" s="285"/>
      <c r="AG306" s="285"/>
      <c r="AH306" s="285"/>
      <c r="AI306" s="285"/>
      <c r="AJ306" s="286"/>
    </row>
    <row r="307" spans="1:36">
      <c r="B307" s="287" t="s">
        <v>236</v>
      </c>
      <c r="C307" s="287"/>
      <c r="D307" s="287"/>
      <c r="E307" s="287"/>
      <c r="F307" s="287"/>
      <c r="G307" s="287"/>
      <c r="H307" s="287"/>
      <c r="I307" s="287"/>
      <c r="J307" s="287"/>
      <c r="K307" s="287"/>
      <c r="L307" s="287"/>
      <c r="M307" s="287"/>
      <c r="N307" s="287"/>
      <c r="O307" s="287"/>
      <c r="P307" s="287"/>
      <c r="Q307" s="287"/>
      <c r="R307" s="287"/>
      <c r="S307" s="287"/>
      <c r="T307" s="287"/>
      <c r="U307" s="287"/>
      <c r="V307" s="287"/>
      <c r="W307" s="287"/>
      <c r="X307" s="287"/>
      <c r="Y307" s="287"/>
      <c r="Z307" s="287"/>
      <c r="AA307" s="287"/>
      <c r="AB307" s="287"/>
      <c r="AC307" s="287"/>
      <c r="AD307" s="287"/>
      <c r="AE307" s="287"/>
      <c r="AF307" s="287"/>
      <c r="AG307" s="287"/>
      <c r="AH307" s="287"/>
      <c r="AI307" s="287"/>
      <c r="AJ307" s="287"/>
    </row>
    <row r="310" spans="1:36">
      <c r="A310" s="198"/>
      <c r="B310" s="288" t="s">
        <v>237</v>
      </c>
      <c r="C310" s="196"/>
      <c r="D310" s="196"/>
      <c r="E310" s="196"/>
      <c r="F310" s="186"/>
      <c r="G310" s="186"/>
      <c r="H310" s="186"/>
      <c r="I310" s="186"/>
      <c r="J310" s="186"/>
      <c r="K310" s="186"/>
      <c r="L310" s="186"/>
      <c r="M310" s="186"/>
      <c r="N310" s="186"/>
      <c r="O310" s="186"/>
      <c r="P310" s="186"/>
      <c r="Q310" s="186"/>
      <c r="R310" s="186"/>
      <c r="S310" s="186"/>
    </row>
    <row r="311" spans="1:36">
      <c r="B311" s="197"/>
      <c r="C311" s="196"/>
      <c r="D311" s="196"/>
      <c r="E311" s="196"/>
      <c r="F311" s="186"/>
      <c r="G311" s="186"/>
      <c r="H311" s="186"/>
      <c r="I311" s="186"/>
      <c r="J311" s="186"/>
      <c r="K311" s="186"/>
      <c r="L311" s="275"/>
      <c r="M311" s="186"/>
      <c r="N311" s="186"/>
    </row>
    <row r="312" spans="1:36">
      <c r="A312" s="289" t="s">
        <v>238</v>
      </c>
      <c r="B312" s="289" t="s">
        <v>239</v>
      </c>
      <c r="C312" s="92"/>
      <c r="D312" s="92"/>
      <c r="E312" s="92"/>
      <c r="K312" s="289" t="s">
        <v>240</v>
      </c>
      <c r="L312" s="289" t="s">
        <v>241</v>
      </c>
      <c r="M312" s="186"/>
      <c r="N312" s="186"/>
    </row>
    <row r="313" spans="1:36">
      <c r="B313" s="195"/>
      <c r="C313" s="196"/>
      <c r="D313" s="196"/>
      <c r="E313" s="196"/>
      <c r="F313" s="186"/>
      <c r="G313" s="186"/>
      <c r="H313" s="186"/>
      <c r="I313" s="186"/>
      <c r="J313" s="186"/>
      <c r="K313" s="186"/>
      <c r="L313" s="195"/>
      <c r="M313" s="186"/>
      <c r="N313" s="186"/>
    </row>
    <row r="314" spans="1:36">
      <c r="A314" s="138" t="s">
        <v>6</v>
      </c>
      <c r="B314" s="290" t="s">
        <v>3</v>
      </c>
      <c r="C314" s="84">
        <v>2022</v>
      </c>
      <c r="D314" s="85">
        <f>C314+1</f>
        <v>2023</v>
      </c>
      <c r="E314" s="85">
        <f>D314+1</f>
        <v>2024</v>
      </c>
      <c r="F314" s="85">
        <f t="shared" ref="F314:I314" si="20">E314+1</f>
        <v>2025</v>
      </c>
      <c r="G314" s="85">
        <f t="shared" si="20"/>
        <v>2026</v>
      </c>
      <c r="H314" s="85">
        <f t="shared" si="20"/>
        <v>2027</v>
      </c>
      <c r="I314" s="85">
        <f t="shared" si="20"/>
        <v>2028</v>
      </c>
      <c r="K314" s="138" t="s">
        <v>6</v>
      </c>
      <c r="L314" s="290" t="s">
        <v>3</v>
      </c>
      <c r="M314" s="84">
        <v>2022</v>
      </c>
      <c r="N314" s="85">
        <f t="shared" ref="N314:S314" si="21">M314+1</f>
        <v>2023</v>
      </c>
      <c r="O314" s="85">
        <f t="shared" si="21"/>
        <v>2024</v>
      </c>
      <c r="P314" s="85">
        <f t="shared" si="21"/>
        <v>2025</v>
      </c>
      <c r="Q314" s="85">
        <f t="shared" si="21"/>
        <v>2026</v>
      </c>
      <c r="R314" s="85">
        <f t="shared" si="21"/>
        <v>2027</v>
      </c>
      <c r="S314" s="85">
        <f t="shared" si="21"/>
        <v>2028</v>
      </c>
    </row>
    <row r="315" spans="1:36">
      <c r="A315" s="31" t="s">
        <v>19</v>
      </c>
      <c r="B315" s="291" t="s">
        <v>70</v>
      </c>
      <c r="C315" s="292"/>
      <c r="D315" s="292"/>
      <c r="E315" s="293">
        <v>1.4366690915062783</v>
      </c>
      <c r="F315" s="293">
        <v>1.3797759532786635</v>
      </c>
      <c r="G315" s="293">
        <v>1.2994160329983981</v>
      </c>
      <c r="H315" s="293">
        <v>1.2615281568238033</v>
      </c>
      <c r="I315" s="293">
        <v>1.2611798067947679</v>
      </c>
      <c r="J315" t="b">
        <f>B315=L315</f>
        <v>1</v>
      </c>
      <c r="K315" s="31" t="s">
        <v>19</v>
      </c>
      <c r="L315" s="291" t="s">
        <v>70</v>
      </c>
      <c r="M315" s="292"/>
      <c r="N315" s="292"/>
      <c r="O315" s="294">
        <f t="shared" ref="O315:S330" si="22">((E315*H$34)/H$13)*(1-H$13)</f>
        <v>5.3677487655720171</v>
      </c>
      <c r="P315" s="294">
        <f t="shared" si="22"/>
        <v>5.3209126540136369</v>
      </c>
      <c r="Q315" s="294">
        <f t="shared" si="22"/>
        <v>5.200739763865899</v>
      </c>
      <c r="R315" s="294">
        <f t="shared" si="22"/>
        <v>5.1500805526899782</v>
      </c>
      <c r="S315" s="294">
        <f t="shared" si="22"/>
        <v>5.2516316124307796</v>
      </c>
    </row>
    <row r="316" spans="1:36">
      <c r="A316" s="31" t="s">
        <v>19</v>
      </c>
      <c r="B316" s="291" t="s">
        <v>71</v>
      </c>
      <c r="C316" s="292"/>
      <c r="D316" s="292"/>
      <c r="E316" s="293">
        <v>1.368578491828039</v>
      </c>
      <c r="F316" s="293">
        <v>1.4008338175049104</v>
      </c>
      <c r="G316" s="293">
        <v>1.2944169556388054</v>
      </c>
      <c r="H316" s="293">
        <v>1.1615288221705597</v>
      </c>
      <c r="I316" s="293">
        <v>1.0171476978779488</v>
      </c>
      <c r="J316" t="b">
        <f t="shared" ref="J316:J343" si="23">B316=L316</f>
        <v>1</v>
      </c>
      <c r="K316" s="31" t="s">
        <v>19</v>
      </c>
      <c r="L316" s="291" t="s">
        <v>71</v>
      </c>
      <c r="M316" s="292"/>
      <c r="N316" s="292"/>
      <c r="O316" s="294">
        <f t="shared" si="22"/>
        <v>5.1133455529388812</v>
      </c>
      <c r="P316" s="294">
        <f t="shared" si="22"/>
        <v>5.4021193571466268</v>
      </c>
      <c r="Q316" s="294">
        <f t="shared" si="22"/>
        <v>5.1807316219418045</v>
      </c>
      <c r="R316" s="294">
        <f t="shared" si="22"/>
        <v>4.7418418416522066</v>
      </c>
      <c r="S316" s="294">
        <f t="shared" si="22"/>
        <v>4.2354666447306046</v>
      </c>
    </row>
    <row r="317" spans="1:36">
      <c r="A317" s="31" t="s">
        <v>19</v>
      </c>
      <c r="B317" s="291" t="s">
        <v>72</v>
      </c>
      <c r="C317" s="292"/>
      <c r="D317" s="292"/>
      <c r="E317" s="293">
        <v>1.8517886877112844</v>
      </c>
      <c r="F317" s="293">
        <v>1.8549995484009258</v>
      </c>
      <c r="G317" s="293">
        <v>1.5955311955633462</v>
      </c>
      <c r="H317" s="293">
        <v>1.4243694121247401</v>
      </c>
      <c r="I317" s="293">
        <v>1.2090605175362352</v>
      </c>
      <c r="J317" t="b">
        <f t="shared" si="23"/>
        <v>1</v>
      </c>
      <c r="K317" s="31" t="s">
        <v>19</v>
      </c>
      <c r="L317" s="291" t="s">
        <v>72</v>
      </c>
      <c r="M317" s="292"/>
      <c r="N317" s="292"/>
      <c r="O317" s="294">
        <f t="shared" si="22"/>
        <v>6.9187375863574321</v>
      </c>
      <c r="P317" s="294">
        <f t="shared" si="22"/>
        <v>7.1535458686767228</v>
      </c>
      <c r="Q317" s="294">
        <f t="shared" si="22"/>
        <v>6.3859012991453694</v>
      </c>
      <c r="R317" s="294">
        <f t="shared" si="22"/>
        <v>5.8148660174967794</v>
      </c>
      <c r="S317" s="294">
        <f t="shared" si="22"/>
        <v>5.0346036314776441</v>
      </c>
    </row>
    <row r="318" spans="1:36">
      <c r="A318" s="31" t="s">
        <v>19</v>
      </c>
      <c r="B318" s="291" t="s">
        <v>52</v>
      </c>
      <c r="C318" s="292"/>
      <c r="D318" s="292"/>
      <c r="E318" s="293">
        <v>1.9633660656588319</v>
      </c>
      <c r="F318" s="293">
        <v>2.1083575561921606</v>
      </c>
      <c r="G318" s="293">
        <v>2.5083164621053555</v>
      </c>
      <c r="H318" s="293">
        <v>2.4606563837546958</v>
      </c>
      <c r="I318" s="293">
        <v>2.3736687667861531</v>
      </c>
      <c r="J318" t="b">
        <f t="shared" si="23"/>
        <v>1</v>
      </c>
      <c r="K318" s="31" t="s">
        <v>19</v>
      </c>
      <c r="L318" s="291" t="s">
        <v>52</v>
      </c>
      <c r="M318" s="292"/>
      <c r="N318" s="292"/>
      <c r="O318" s="294">
        <f t="shared" si="22"/>
        <v>7.3356180888228764</v>
      </c>
      <c r="P318" s="294">
        <f t="shared" si="22"/>
        <v>8.1305855296801504</v>
      </c>
      <c r="Q318" s="294">
        <f t="shared" si="22"/>
        <v>10.039202867713758</v>
      </c>
      <c r="R318" s="294">
        <f t="shared" si="22"/>
        <v>10.045418740976606</v>
      </c>
      <c r="S318" s="294">
        <f t="shared" si="22"/>
        <v>9.884105236964265</v>
      </c>
    </row>
    <row r="319" spans="1:36">
      <c r="A319" s="31" t="s">
        <v>19</v>
      </c>
      <c r="B319" s="291" t="s">
        <v>73</v>
      </c>
      <c r="C319" s="292"/>
      <c r="D319" s="292"/>
      <c r="E319" s="293">
        <v>1.3074390315981681</v>
      </c>
      <c r="F319" s="293">
        <v>1.3001216768501926</v>
      </c>
      <c r="G319" s="293">
        <v>1.5417405565806881</v>
      </c>
      <c r="H319" s="293">
        <v>1.5753974334268079</v>
      </c>
      <c r="I319" s="293">
        <v>1.5749617313468214</v>
      </c>
      <c r="J319" t="b">
        <f t="shared" si="23"/>
        <v>1</v>
      </c>
      <c r="K319" s="31" t="s">
        <v>19</v>
      </c>
      <c r="L319" s="291" t="s">
        <v>73</v>
      </c>
      <c r="M319" s="292"/>
      <c r="N319" s="292"/>
      <c r="O319" s="294">
        <f t="shared" si="22"/>
        <v>4.8849135054222552</v>
      </c>
      <c r="P319" s="294">
        <f t="shared" si="22"/>
        <v>5.0137370967157828</v>
      </c>
      <c r="Q319" s="294">
        <f t="shared" si="22"/>
        <v>6.1706114243272641</v>
      </c>
      <c r="R319" s="294">
        <f t="shared" si="22"/>
        <v>6.431424967221167</v>
      </c>
      <c r="S319" s="294">
        <f t="shared" si="22"/>
        <v>6.5582391758478593</v>
      </c>
    </row>
    <row r="320" spans="1:36">
      <c r="A320" s="31" t="s">
        <v>19</v>
      </c>
      <c r="B320" s="291" t="s">
        <v>74</v>
      </c>
      <c r="C320" s="292"/>
      <c r="D320" s="292"/>
      <c r="E320" s="293">
        <v>2.0191738224902593</v>
      </c>
      <c r="F320" s="293">
        <v>1.5784133044437496</v>
      </c>
      <c r="G320" s="293">
        <v>1.7691618048462701</v>
      </c>
      <c r="H320" s="293">
        <v>1.741401016001106</v>
      </c>
      <c r="I320" s="293">
        <v>1.6345343485877493</v>
      </c>
      <c r="J320" t="b">
        <f t="shared" si="23"/>
        <v>1</v>
      </c>
      <c r="K320" s="31" t="s">
        <v>19</v>
      </c>
      <c r="L320" s="291" t="s">
        <v>74</v>
      </c>
      <c r="M320" s="292"/>
      <c r="N320" s="292"/>
      <c r="O320" s="294">
        <f t="shared" si="22"/>
        <v>7.5441295822574297</v>
      </c>
      <c r="P320" s="294">
        <f t="shared" si="22"/>
        <v>6.0869297692290063</v>
      </c>
      <c r="Q320" s="294">
        <f t="shared" si="22"/>
        <v>7.0808347084540717</v>
      </c>
      <c r="R320" s="294">
        <f t="shared" si="22"/>
        <v>7.1091203620233347</v>
      </c>
      <c r="S320" s="294">
        <f t="shared" si="22"/>
        <v>6.806303280785281</v>
      </c>
    </row>
    <row r="321" spans="1:19">
      <c r="A321" s="31" t="s">
        <v>19</v>
      </c>
      <c r="B321" s="291" t="s">
        <v>75</v>
      </c>
      <c r="C321" s="292"/>
      <c r="D321" s="292"/>
      <c r="E321" s="293">
        <v>1.5418188657920666</v>
      </c>
      <c r="F321" s="293">
        <v>1.5421689490890813</v>
      </c>
      <c r="G321" s="293">
        <v>1.1986919632990878</v>
      </c>
      <c r="H321" s="293">
        <v>1.2051150219812068</v>
      </c>
      <c r="I321" s="293">
        <v>1.2030871425295599</v>
      </c>
      <c r="J321" t="b">
        <f t="shared" si="23"/>
        <v>1</v>
      </c>
      <c r="K321" s="31" t="s">
        <v>19</v>
      </c>
      <c r="L321" s="291" t="s">
        <v>75</v>
      </c>
      <c r="M321" s="292"/>
      <c r="N321" s="292"/>
      <c r="O321" s="294">
        <f t="shared" si="22"/>
        <v>5.7606141612707242</v>
      </c>
      <c r="P321" s="294">
        <f t="shared" si="22"/>
        <v>5.9471584907218267</v>
      </c>
      <c r="Q321" s="294">
        <f t="shared" si="22"/>
        <v>4.7976050778524861</v>
      </c>
      <c r="R321" s="294">
        <f t="shared" si="22"/>
        <v>4.9197787658470933</v>
      </c>
      <c r="S321" s="294">
        <f t="shared" si="22"/>
        <v>5.0097301242672128</v>
      </c>
    </row>
    <row r="322" spans="1:19">
      <c r="A322" s="31" t="s">
        <v>19</v>
      </c>
      <c r="B322" s="291" t="s">
        <v>76</v>
      </c>
      <c r="C322" s="292"/>
      <c r="D322" s="292"/>
      <c r="E322" s="293">
        <v>1.3630193716187557</v>
      </c>
      <c r="F322" s="293">
        <v>1.3768904698776971</v>
      </c>
      <c r="G322" s="293">
        <v>1.3602523162213354</v>
      </c>
      <c r="H322" s="293">
        <v>1.3398436564847218</v>
      </c>
      <c r="I322" s="293">
        <v>1.3157905788825448</v>
      </c>
      <c r="J322" t="b">
        <f t="shared" si="23"/>
        <v>1</v>
      </c>
      <c r="K322" s="31" t="s">
        <v>19</v>
      </c>
      <c r="L322" s="291" t="s">
        <v>76</v>
      </c>
      <c r="M322" s="292"/>
      <c r="N322" s="292"/>
      <c r="O322" s="294">
        <f t="shared" si="22"/>
        <v>5.0925753137672691</v>
      </c>
      <c r="P322" s="294">
        <f t="shared" si="22"/>
        <v>5.3097851915407155</v>
      </c>
      <c r="Q322" s="294">
        <f t="shared" si="22"/>
        <v>5.444228892219396</v>
      </c>
      <c r="R322" s="294">
        <f t="shared" si="22"/>
        <v>5.4697968662706256</v>
      </c>
      <c r="S322" s="294">
        <f t="shared" si="22"/>
        <v>5.4790342837471719</v>
      </c>
    </row>
    <row r="323" spans="1:19">
      <c r="A323" s="31" t="s">
        <v>19</v>
      </c>
      <c r="B323" s="291" t="s">
        <v>77</v>
      </c>
      <c r="C323" s="292"/>
      <c r="D323" s="292"/>
      <c r="E323" s="293">
        <v>0.88691188538891907</v>
      </c>
      <c r="F323" s="293">
        <v>0.97956684032180519</v>
      </c>
      <c r="G323" s="293">
        <v>0.7570821246417444</v>
      </c>
      <c r="H323" s="293">
        <v>0.71183271144208338</v>
      </c>
      <c r="I323" s="293">
        <v>0.66972194319581801</v>
      </c>
      <c r="J323" t="b">
        <f t="shared" si="23"/>
        <v>1</v>
      </c>
      <c r="K323" s="31" t="s">
        <v>19</v>
      </c>
      <c r="L323" s="291" t="s">
        <v>77</v>
      </c>
      <c r="M323" s="292"/>
      <c r="N323" s="292"/>
      <c r="O323" s="294">
        <f t="shared" si="22"/>
        <v>3.3137207489973459</v>
      </c>
      <c r="P323" s="294">
        <f t="shared" si="22"/>
        <v>3.7775622801188069</v>
      </c>
      <c r="Q323" s="294">
        <f t="shared" si="22"/>
        <v>3.0301204619207995</v>
      </c>
      <c r="R323" s="294">
        <f t="shared" si="22"/>
        <v>2.9059960208866569</v>
      </c>
      <c r="S323" s="294">
        <f t="shared" si="22"/>
        <v>2.7887640679597978</v>
      </c>
    </row>
    <row r="324" spans="1:19">
      <c r="A324" s="31" t="s">
        <v>19</v>
      </c>
      <c r="B324" s="291" t="s">
        <v>50</v>
      </c>
      <c r="C324" s="292"/>
      <c r="D324" s="292"/>
      <c r="E324" s="293">
        <v>2.5538076548384012</v>
      </c>
      <c r="F324" s="293">
        <v>2.7027627943750261</v>
      </c>
      <c r="G324" s="293">
        <v>2.4755882180772915</v>
      </c>
      <c r="H324" s="293">
        <v>2.1518380701030111</v>
      </c>
      <c r="I324" s="293">
        <v>1.7678169461084547</v>
      </c>
      <c r="J324" t="b">
        <f t="shared" si="23"/>
        <v>1</v>
      </c>
      <c r="K324" s="31" t="s">
        <v>19</v>
      </c>
      <c r="L324" s="291" t="s">
        <v>50</v>
      </c>
      <c r="M324" s="292"/>
      <c r="N324" s="292"/>
      <c r="O324" s="294">
        <f t="shared" si="22"/>
        <v>9.541652958089891</v>
      </c>
      <c r="P324" s="294">
        <f t="shared" si="22"/>
        <v>10.422826053182327</v>
      </c>
      <c r="Q324" s="294">
        <f t="shared" si="22"/>
        <v>9.9082124260108824</v>
      </c>
      <c r="R324" s="294">
        <f t="shared" si="22"/>
        <v>8.7846944496882031</v>
      </c>
      <c r="S324" s="294">
        <f t="shared" si="22"/>
        <v>7.3613003547596261</v>
      </c>
    </row>
    <row r="325" spans="1:19">
      <c r="A325" s="31" t="s">
        <v>19</v>
      </c>
      <c r="B325" s="291" t="s">
        <v>51</v>
      </c>
      <c r="C325" s="292"/>
      <c r="D325" s="292"/>
      <c r="E325" s="293">
        <v>2.1594507853983487</v>
      </c>
      <c r="F325" s="293">
        <v>2.108783385973247</v>
      </c>
      <c r="G325" s="293">
        <v>1.9571099436141921</v>
      </c>
      <c r="H325" s="293">
        <v>1.6739883971269975</v>
      </c>
      <c r="I325" s="293">
        <v>1.4057277322201749</v>
      </c>
      <c r="J325" t="b">
        <f t="shared" si="23"/>
        <v>1</v>
      </c>
      <c r="K325" s="31" t="s">
        <v>19</v>
      </c>
      <c r="L325" s="291" t="s">
        <v>51</v>
      </c>
      <c r="M325" s="292"/>
      <c r="N325" s="292"/>
      <c r="O325" s="294">
        <f t="shared" si="22"/>
        <v>8.0682387866244802</v>
      </c>
      <c r="P325" s="294">
        <f t="shared" si="22"/>
        <v>8.1322276825711715</v>
      </c>
      <c r="Q325" s="294">
        <f t="shared" si="22"/>
        <v>7.8330721243488179</v>
      </c>
      <c r="R325" s="294">
        <f t="shared" si="22"/>
        <v>6.8339141245790938</v>
      </c>
      <c r="S325" s="294">
        <f t="shared" si="22"/>
        <v>5.8535382165371397</v>
      </c>
    </row>
    <row r="326" spans="1:19">
      <c r="A326" s="31" t="s">
        <v>19</v>
      </c>
      <c r="B326" s="291" t="s">
        <v>78</v>
      </c>
      <c r="C326" s="292"/>
      <c r="D326" s="292"/>
      <c r="E326" s="293">
        <v>2.3320557909214585</v>
      </c>
      <c r="F326" s="293">
        <v>2.3253369118631113</v>
      </c>
      <c r="G326" s="293">
        <v>2.1691122806593768</v>
      </c>
      <c r="H326" s="293">
        <v>1.831433598356611</v>
      </c>
      <c r="I326" s="293">
        <v>1.6964022421334342</v>
      </c>
      <c r="J326" t="b">
        <f t="shared" si="23"/>
        <v>1</v>
      </c>
      <c r="K326" s="31" t="s">
        <v>19</v>
      </c>
      <c r="L326" s="291" t="s">
        <v>78</v>
      </c>
      <c r="M326" s="292"/>
      <c r="N326" s="292"/>
      <c r="O326" s="294">
        <f t="shared" si="22"/>
        <v>8.7131335023288692</v>
      </c>
      <c r="P326" s="294">
        <f t="shared" si="22"/>
        <v>8.9673360155150874</v>
      </c>
      <c r="Q326" s="294">
        <f t="shared" si="22"/>
        <v>8.6815832680502076</v>
      </c>
      <c r="R326" s="294">
        <f t="shared" si="22"/>
        <v>7.4766706612294636</v>
      </c>
      <c r="S326" s="294">
        <f t="shared" si="22"/>
        <v>7.0639250598436991</v>
      </c>
    </row>
    <row r="327" spans="1:19">
      <c r="A327" s="31" t="s">
        <v>19</v>
      </c>
      <c r="B327" s="291" t="s">
        <v>79</v>
      </c>
      <c r="C327" s="292"/>
      <c r="D327" s="292"/>
      <c r="E327" s="293">
        <v>0.94083766340920505</v>
      </c>
      <c r="F327" s="293">
        <v>0.89327362005723643</v>
      </c>
      <c r="G327" s="293">
        <v>0.85016201774887534</v>
      </c>
      <c r="H327" s="293">
        <v>0.70172058348408528</v>
      </c>
      <c r="I327" s="293">
        <v>0.70273163357435342</v>
      </c>
      <c r="J327" t="b">
        <f t="shared" si="23"/>
        <v>1</v>
      </c>
      <c r="K327" s="31" t="s">
        <v>19</v>
      </c>
      <c r="L327" s="291" t="s">
        <v>79</v>
      </c>
      <c r="M327" s="292"/>
      <c r="N327" s="292"/>
      <c r="O327" s="294">
        <f t="shared" si="22"/>
        <v>3.5152007071256408</v>
      </c>
      <c r="P327" s="294">
        <f t="shared" si="22"/>
        <v>3.444784566048444</v>
      </c>
      <c r="Q327" s="294">
        <f t="shared" si="22"/>
        <v>3.4026603483047011</v>
      </c>
      <c r="R327" s="294">
        <f t="shared" si="22"/>
        <v>2.8647141253846824</v>
      </c>
      <c r="S327" s="294">
        <f t="shared" si="22"/>
        <v>2.9262184837175651</v>
      </c>
    </row>
    <row r="328" spans="1:19">
      <c r="A328" s="31" t="s">
        <v>19</v>
      </c>
      <c r="B328" s="291" t="s">
        <v>80</v>
      </c>
      <c r="C328" s="292"/>
      <c r="D328" s="292"/>
      <c r="E328" s="293">
        <v>1.3538563803454693</v>
      </c>
      <c r="F328" s="293">
        <v>1.399085447927888</v>
      </c>
      <c r="G328" s="293">
        <v>1.3245039630700681</v>
      </c>
      <c r="H328" s="293">
        <v>1.0767587664923539</v>
      </c>
      <c r="I328" s="293">
        <v>1.0135822369351568</v>
      </c>
      <c r="J328" t="b">
        <f t="shared" si="23"/>
        <v>1</v>
      </c>
      <c r="K328" s="31" t="s">
        <v>19</v>
      </c>
      <c r="L328" s="291" t="s">
        <v>80</v>
      </c>
      <c r="M328" s="292"/>
      <c r="N328" s="292"/>
      <c r="O328" s="294">
        <f t="shared" si="22"/>
        <v>5.0583401267037242</v>
      </c>
      <c r="P328" s="294">
        <f t="shared" si="22"/>
        <v>5.3953770148234659</v>
      </c>
      <c r="Q328" s="294">
        <f t="shared" si="22"/>
        <v>5.3011508656250088</v>
      </c>
      <c r="R328" s="294">
        <f t="shared" si="22"/>
        <v>4.3957753564633624</v>
      </c>
      <c r="S328" s="294">
        <f t="shared" si="22"/>
        <v>4.2206198423165686</v>
      </c>
    </row>
    <row r="329" spans="1:19">
      <c r="A329" s="31" t="s">
        <v>25</v>
      </c>
      <c r="B329" s="291" t="s">
        <v>81</v>
      </c>
      <c r="C329" s="293">
        <v>1.8560134718227432</v>
      </c>
      <c r="D329" s="293">
        <v>1.8152215314521964</v>
      </c>
      <c r="E329" s="293">
        <v>1.7979279925217375</v>
      </c>
      <c r="F329" s="293">
        <v>1.7736992270475671</v>
      </c>
      <c r="G329" s="293">
        <v>1.7484964755788579</v>
      </c>
      <c r="H329" s="292"/>
      <c r="I329" s="292"/>
      <c r="J329" t="b">
        <f t="shared" si="23"/>
        <v>1</v>
      </c>
      <c r="K329" s="31" t="s">
        <v>25</v>
      </c>
      <c r="L329" s="291" t="s">
        <v>81</v>
      </c>
      <c r="M329" s="294">
        <f t="shared" ref="M329:Q343" si="24">((C329*F$34)/F$13)*(1-F$13)</f>
        <v>8.5833263439657195</v>
      </c>
      <c r="N329" s="294">
        <f t="shared" si="24"/>
        <v>9.1312396620225407</v>
      </c>
      <c r="O329" s="294">
        <f t="shared" si="22"/>
        <v>6.7175007936778997</v>
      </c>
      <c r="P329" s="294">
        <f t="shared" si="22"/>
        <v>6.8400225697407429</v>
      </c>
      <c r="Q329" s="294">
        <f t="shared" si="22"/>
        <v>6.9981244779158089</v>
      </c>
      <c r="R329" s="292"/>
      <c r="S329" s="292"/>
    </row>
    <row r="330" spans="1:19">
      <c r="A330" s="31" t="s">
        <v>25</v>
      </c>
      <c r="B330" s="291" t="s">
        <v>82</v>
      </c>
      <c r="C330" s="293">
        <v>1.338141135548405</v>
      </c>
      <c r="D330" s="293">
        <v>1.3118504623849501</v>
      </c>
      <c r="E330" s="293">
        <v>1.305225167423345</v>
      </c>
      <c r="F330" s="293">
        <v>1.2886796623765773</v>
      </c>
      <c r="G330" s="293">
        <v>1.2709115989265294</v>
      </c>
      <c r="H330" s="292"/>
      <c r="I330" s="292"/>
      <c r="J330" t="b">
        <f t="shared" si="23"/>
        <v>1</v>
      </c>
      <c r="K330" s="31" t="s">
        <v>25</v>
      </c>
      <c r="L330" s="291" t="s">
        <v>82</v>
      </c>
      <c r="M330" s="294">
        <f t="shared" si="24"/>
        <v>6.1883721401100686</v>
      </c>
      <c r="N330" s="294">
        <f t="shared" si="24"/>
        <v>6.5990959038420405</v>
      </c>
      <c r="O330" s="294">
        <f t="shared" si="22"/>
        <v>4.8766419648414718</v>
      </c>
      <c r="P330" s="294">
        <f t="shared" si="22"/>
        <v>4.9696125709510044</v>
      </c>
      <c r="Q330" s="294">
        <f t="shared" si="22"/>
        <v>5.0866545594668207</v>
      </c>
      <c r="R330" s="292"/>
      <c r="S330" s="292"/>
    </row>
    <row r="331" spans="1:19">
      <c r="A331" s="31" t="s">
        <v>25</v>
      </c>
      <c r="B331" s="291" t="s">
        <v>83</v>
      </c>
      <c r="C331" s="293">
        <v>0.99104421987024149</v>
      </c>
      <c r="D331" s="293">
        <v>0.97030415837322381</v>
      </c>
      <c r="E331" s="293">
        <v>0.96243789501775268</v>
      </c>
      <c r="F331" s="293">
        <v>0.94766848511264923</v>
      </c>
      <c r="G331" s="293">
        <v>0.93824870565692475</v>
      </c>
      <c r="H331" s="292"/>
      <c r="I331" s="292"/>
      <c r="J331" t="b">
        <f t="shared" si="23"/>
        <v>1</v>
      </c>
      <c r="K331" s="31" t="s">
        <v>25</v>
      </c>
      <c r="L331" s="291" t="s">
        <v>83</v>
      </c>
      <c r="M331" s="294">
        <f t="shared" si="24"/>
        <v>4.5831865391005095</v>
      </c>
      <c r="N331" s="294">
        <f t="shared" si="24"/>
        <v>4.8809909212980873</v>
      </c>
      <c r="O331" s="294">
        <f t="shared" si="24"/>
        <v>3.5959044803454638</v>
      </c>
      <c r="P331" s="294">
        <f t="shared" si="24"/>
        <v>3.6545507422881141</v>
      </c>
      <c r="Q331" s="294">
        <f t="shared" si="24"/>
        <v>3.755215595305569</v>
      </c>
      <c r="R331" s="292"/>
      <c r="S331" s="292"/>
    </row>
    <row r="332" spans="1:19">
      <c r="A332" s="31" t="s">
        <v>25</v>
      </c>
      <c r="B332" s="291" t="s">
        <v>84</v>
      </c>
      <c r="C332" s="293">
        <v>1.2910496821028619</v>
      </c>
      <c r="D332" s="293">
        <v>1.2750295337136959</v>
      </c>
      <c r="E332" s="293">
        <v>1.2614754781555608</v>
      </c>
      <c r="F332" s="293">
        <v>1.2360763844788194</v>
      </c>
      <c r="G332" s="293">
        <v>1.2156373101435318</v>
      </c>
      <c r="H332" s="292"/>
      <c r="I332" s="292"/>
      <c r="J332" t="b">
        <f t="shared" si="23"/>
        <v>1</v>
      </c>
      <c r="K332" s="31" t="s">
        <v>25</v>
      </c>
      <c r="L332" s="291" t="s">
        <v>84</v>
      </c>
      <c r="M332" s="294">
        <f t="shared" si="24"/>
        <v>5.9705928410526052</v>
      </c>
      <c r="N332" s="294">
        <f t="shared" si="24"/>
        <v>6.4138729332845683</v>
      </c>
      <c r="O332" s="294">
        <f t="shared" si="24"/>
        <v>4.7131823749124564</v>
      </c>
      <c r="P332" s="294">
        <f t="shared" si="24"/>
        <v>4.7667553995793224</v>
      </c>
      <c r="Q332" s="294">
        <f t="shared" si="24"/>
        <v>4.8654265737463334</v>
      </c>
      <c r="R332" s="292"/>
      <c r="S332" s="292"/>
    </row>
    <row r="333" spans="1:19">
      <c r="A333" s="31" t="s">
        <v>25</v>
      </c>
      <c r="B333" s="291" t="s">
        <v>85</v>
      </c>
      <c r="C333" s="293">
        <v>1.2693796122665177</v>
      </c>
      <c r="D333" s="293">
        <v>1.2456515312513812</v>
      </c>
      <c r="E333" s="293">
        <v>1.2761225755818488</v>
      </c>
      <c r="F333" s="293">
        <v>1.2778726893812531</v>
      </c>
      <c r="G333" s="293">
        <v>1.2727838897081032</v>
      </c>
      <c r="H333" s="292"/>
      <c r="I333" s="292"/>
      <c r="J333" t="b">
        <f t="shared" si="23"/>
        <v>1</v>
      </c>
      <c r="K333" s="31" t="s">
        <v>25</v>
      </c>
      <c r="L333" s="291" t="s">
        <v>85</v>
      </c>
      <c r="M333" s="294">
        <f t="shared" si="24"/>
        <v>5.8703773608712018</v>
      </c>
      <c r="N333" s="294">
        <f t="shared" si="24"/>
        <v>6.2660906507219138</v>
      </c>
      <c r="O333" s="294">
        <f t="shared" si="24"/>
        <v>4.767907530199774</v>
      </c>
      <c r="P333" s="294">
        <f t="shared" si="24"/>
        <v>4.9279369936764734</v>
      </c>
      <c r="Q333" s="294">
        <f t="shared" si="24"/>
        <v>5.0941481541816573</v>
      </c>
      <c r="R333" s="292"/>
      <c r="S333" s="292"/>
    </row>
    <row r="334" spans="1:19">
      <c r="A334" s="31" t="s">
        <v>25</v>
      </c>
      <c r="B334" s="291" t="s">
        <v>86</v>
      </c>
      <c r="C334" s="293">
        <v>0.9684370522563619</v>
      </c>
      <c r="D334" s="293">
        <v>0.97408615926807074</v>
      </c>
      <c r="E334" s="293">
        <v>0.97438656582868766</v>
      </c>
      <c r="F334" s="293">
        <v>0.96522259273076072</v>
      </c>
      <c r="G334" s="293">
        <v>0.95735847603512469</v>
      </c>
      <c r="H334" s="292"/>
      <c r="I334" s="292"/>
      <c r="J334" t="b">
        <f t="shared" si="23"/>
        <v>1</v>
      </c>
      <c r="K334" s="31" t="s">
        <v>25</v>
      </c>
      <c r="L334" s="291" t="s">
        <v>86</v>
      </c>
      <c r="M334" s="294">
        <f t="shared" si="24"/>
        <v>4.4786373532844728</v>
      </c>
      <c r="N334" s="294">
        <f t="shared" si="24"/>
        <v>4.9000157929043668</v>
      </c>
      <c r="O334" s="294">
        <f t="shared" si="24"/>
        <v>3.6405476507002854</v>
      </c>
      <c r="P334" s="294">
        <f t="shared" si="24"/>
        <v>3.7222456989462422</v>
      </c>
      <c r="Q334" s="294">
        <f t="shared" si="24"/>
        <v>3.8316999083818981</v>
      </c>
      <c r="R334" s="292"/>
      <c r="S334" s="292"/>
    </row>
    <row r="335" spans="1:19">
      <c r="A335" s="31" t="s">
        <v>25</v>
      </c>
      <c r="B335" s="291" t="s">
        <v>87</v>
      </c>
      <c r="C335" s="293">
        <v>2.0413918945479947</v>
      </c>
      <c r="D335" s="293">
        <v>2.002834526545016</v>
      </c>
      <c r="E335" s="293">
        <v>2.0176858680119603</v>
      </c>
      <c r="F335" s="293">
        <v>2.010800066369304</v>
      </c>
      <c r="G335" s="293">
        <v>2.012461933717149</v>
      </c>
      <c r="H335" s="292"/>
      <c r="I335" s="292"/>
      <c r="J335" t="b">
        <f t="shared" si="23"/>
        <v>1</v>
      </c>
      <c r="K335" s="31" t="s">
        <v>25</v>
      </c>
      <c r="L335" s="291" t="s">
        <v>87</v>
      </c>
      <c r="M335" s="294">
        <f t="shared" si="24"/>
        <v>9.4406280411445778</v>
      </c>
      <c r="N335" s="294">
        <f t="shared" si="24"/>
        <v>10.075002829337917</v>
      </c>
      <c r="O335" s="294">
        <f t="shared" si="24"/>
        <v>7.5385702186841916</v>
      </c>
      <c r="P335" s="294">
        <f t="shared" si="24"/>
        <v>7.7543687382084938</v>
      </c>
      <c r="Q335" s="294">
        <f t="shared" si="24"/>
        <v>8.0546110992630329</v>
      </c>
      <c r="R335" s="292"/>
      <c r="S335" s="292"/>
    </row>
    <row r="336" spans="1:19">
      <c r="A336" s="31" t="s">
        <v>25</v>
      </c>
      <c r="B336" s="291" t="s">
        <v>88</v>
      </c>
      <c r="C336" s="293">
        <v>1.30814382516961</v>
      </c>
      <c r="D336" s="293">
        <v>1.2655629156032961</v>
      </c>
      <c r="E336" s="293">
        <v>1.253112719644278</v>
      </c>
      <c r="F336" s="293">
        <v>1.2591017686030721</v>
      </c>
      <c r="G336" s="293">
        <v>1.2643657265074015</v>
      </c>
      <c r="H336" s="295"/>
      <c r="I336" s="295"/>
      <c r="J336" t="b">
        <f t="shared" si="23"/>
        <v>1</v>
      </c>
      <c r="K336" s="31" t="s">
        <v>25</v>
      </c>
      <c r="L336" s="291" t="s">
        <v>88</v>
      </c>
      <c r="M336" s="294">
        <f t="shared" si="24"/>
        <v>6.0496464744124134</v>
      </c>
      <c r="N336" s="294">
        <f t="shared" si="24"/>
        <v>6.3662523221045397</v>
      </c>
      <c r="O336" s="294">
        <f t="shared" si="24"/>
        <v>4.6819370540928578</v>
      </c>
      <c r="P336" s="294">
        <f t="shared" si="24"/>
        <v>4.8555495675448785</v>
      </c>
      <c r="Q336" s="294">
        <f t="shared" si="24"/>
        <v>5.0604555761429069</v>
      </c>
      <c r="R336" s="295"/>
      <c r="S336" s="295"/>
    </row>
    <row r="337" spans="1:19">
      <c r="A337" s="31" t="s">
        <v>27</v>
      </c>
      <c r="B337" s="291" t="s">
        <v>89</v>
      </c>
      <c r="C337" s="293">
        <v>2.4079045095034153</v>
      </c>
      <c r="D337" s="293">
        <v>2.4996671737090232</v>
      </c>
      <c r="E337" s="293">
        <v>2.5160510965805876</v>
      </c>
      <c r="F337" s="293">
        <v>2.3238778201799244</v>
      </c>
      <c r="G337" s="293">
        <v>2.2881683619967679</v>
      </c>
      <c r="H337" s="292"/>
      <c r="I337" s="292"/>
      <c r="J337" t="b">
        <f t="shared" si="23"/>
        <v>1</v>
      </c>
      <c r="K337" s="31" t="s">
        <v>27</v>
      </c>
      <c r="L337" s="291" t="s">
        <v>89</v>
      </c>
      <c r="M337" s="294">
        <f t="shared" si="24"/>
        <v>11.135603552423126</v>
      </c>
      <c r="N337" s="294">
        <f t="shared" si="24"/>
        <v>12.574255892704915</v>
      </c>
      <c r="O337" s="294">
        <f t="shared" si="24"/>
        <v>9.4005851783354455</v>
      </c>
      <c r="P337" s="294">
        <f t="shared" si="24"/>
        <v>8.9617092328610006</v>
      </c>
      <c r="Q337" s="294">
        <f t="shared" si="24"/>
        <v>9.1580893912759365</v>
      </c>
      <c r="R337" s="292"/>
      <c r="S337" s="292"/>
    </row>
    <row r="338" spans="1:19">
      <c r="A338" s="31" t="s">
        <v>27</v>
      </c>
      <c r="B338" s="291" t="s">
        <v>90</v>
      </c>
      <c r="C338" s="293">
        <v>0.35535269898445798</v>
      </c>
      <c r="D338" s="293">
        <v>0.33811521212748413</v>
      </c>
      <c r="E338" s="293">
        <v>0.35287450221706412</v>
      </c>
      <c r="F338" s="293">
        <v>0.33060618568728362</v>
      </c>
      <c r="G338" s="293">
        <v>0.30228187223292602</v>
      </c>
      <c r="H338" s="292"/>
      <c r="I338" s="292"/>
      <c r="J338" t="b">
        <f t="shared" si="23"/>
        <v>1</v>
      </c>
      <c r="K338" s="31" t="s">
        <v>27</v>
      </c>
      <c r="L338" s="291" t="s">
        <v>90</v>
      </c>
      <c r="M338" s="294">
        <f t="shared" si="24"/>
        <v>1.6433653251434568</v>
      </c>
      <c r="N338" s="294">
        <f t="shared" si="24"/>
        <v>1.700845313817805</v>
      </c>
      <c r="O338" s="294">
        <f t="shared" si="24"/>
        <v>1.3184258538558589</v>
      </c>
      <c r="P338" s="294">
        <f t="shared" si="24"/>
        <v>1.274936436410971</v>
      </c>
      <c r="Q338" s="294">
        <f t="shared" si="24"/>
        <v>1.2098429701456113</v>
      </c>
      <c r="R338" s="292"/>
      <c r="S338" s="292"/>
    </row>
    <row r="339" spans="1:19">
      <c r="A339" s="31" t="s">
        <v>27</v>
      </c>
      <c r="B339" s="291" t="s">
        <v>91</v>
      </c>
      <c r="C339" s="293">
        <f>C337+C338</f>
        <v>2.7632572084878735</v>
      </c>
      <c r="D339" s="293">
        <f t="shared" ref="D339:G339" si="25">D337+D338</f>
        <v>2.8377823858365074</v>
      </c>
      <c r="E339" s="293">
        <f t="shared" si="25"/>
        <v>2.8689255987976519</v>
      </c>
      <c r="F339" s="293">
        <f t="shared" si="25"/>
        <v>2.6544840058672081</v>
      </c>
      <c r="G339" s="293">
        <f t="shared" si="25"/>
        <v>2.590450234229694</v>
      </c>
      <c r="H339" s="292"/>
      <c r="I339" s="292"/>
      <c r="J339" t="b">
        <f t="shared" si="23"/>
        <v>1</v>
      </c>
      <c r="K339" s="31" t="s">
        <v>27</v>
      </c>
      <c r="L339" s="291" t="s">
        <v>91</v>
      </c>
      <c r="M339" s="294">
        <f t="shared" si="24"/>
        <v>12.778968877566582</v>
      </c>
      <c r="N339" s="294">
        <f t="shared" si="24"/>
        <v>14.275101206522718</v>
      </c>
      <c r="O339" s="294">
        <f t="shared" si="24"/>
        <v>10.719011032191304</v>
      </c>
      <c r="P339" s="294">
        <f t="shared" si="24"/>
        <v>10.236645669271972</v>
      </c>
      <c r="Q339" s="294">
        <f t="shared" si="24"/>
        <v>10.367932361421548</v>
      </c>
      <c r="R339" s="292"/>
      <c r="S339" s="292"/>
    </row>
    <row r="340" spans="1:19">
      <c r="A340" s="31" t="s">
        <v>22</v>
      </c>
      <c r="B340" s="291" t="s">
        <v>4</v>
      </c>
      <c r="C340" s="293">
        <v>5.794647515116063</v>
      </c>
      <c r="D340" s="293">
        <v>5.6654995528096048</v>
      </c>
      <c r="E340" s="293">
        <v>5.4459801653220365</v>
      </c>
      <c r="F340" s="293">
        <v>5.2315625946540782</v>
      </c>
      <c r="G340" s="293">
        <v>5.0709512798558656</v>
      </c>
      <c r="H340" s="292"/>
      <c r="I340" s="292"/>
      <c r="J340" t="b">
        <f t="shared" si="23"/>
        <v>1</v>
      </c>
      <c r="K340" s="31" t="s">
        <v>22</v>
      </c>
      <c r="L340" s="291" t="s">
        <v>4</v>
      </c>
      <c r="M340" s="294">
        <f t="shared" si="24"/>
        <v>26.797947011475848</v>
      </c>
      <c r="N340" s="294">
        <f t="shared" si="24"/>
        <v>28.499570617366494</v>
      </c>
      <c r="O340" s="294">
        <f t="shared" si="24"/>
        <v>20.347520164917047</v>
      </c>
      <c r="P340" s="294">
        <f t="shared" si="24"/>
        <v>20.174788192251761</v>
      </c>
      <c r="Q340" s="294">
        <f t="shared" si="24"/>
        <v>20.295807725966075</v>
      </c>
      <c r="R340" s="292"/>
      <c r="S340" s="292"/>
    </row>
    <row r="341" spans="1:19">
      <c r="A341" s="31" t="s">
        <v>29</v>
      </c>
      <c r="B341" s="291" t="s">
        <v>29</v>
      </c>
      <c r="C341" s="293">
        <v>0.79565936041617891</v>
      </c>
      <c r="D341" s="293">
        <v>0.81379329751844121</v>
      </c>
      <c r="E341" s="293">
        <v>0.83527031824680331</v>
      </c>
      <c r="F341" s="293">
        <v>0.86914049425217754</v>
      </c>
      <c r="G341" s="293">
        <v>0.88933875020036712</v>
      </c>
      <c r="H341" s="292"/>
      <c r="I341" s="292"/>
      <c r="J341" t="b">
        <f t="shared" si="23"/>
        <v>1</v>
      </c>
      <c r="K341" s="31" t="s">
        <v>29</v>
      </c>
      <c r="L341" s="291" t="s">
        <v>29</v>
      </c>
      <c r="M341" s="294">
        <f t="shared" si="24"/>
        <v>3.6796090398935095</v>
      </c>
      <c r="N341" s="294">
        <f t="shared" si="24"/>
        <v>4.0936830608458399</v>
      </c>
      <c r="O341" s="294">
        <f t="shared" si="24"/>
        <v>3.1207751640201771</v>
      </c>
      <c r="P341" s="294">
        <f t="shared" si="24"/>
        <v>3.3517185474880336</v>
      </c>
      <c r="Q341" s="294">
        <f t="shared" si="24"/>
        <v>3.5594600068472086</v>
      </c>
      <c r="R341" s="292"/>
      <c r="S341" s="292"/>
    </row>
    <row r="342" spans="1:19">
      <c r="A342" s="31" t="s">
        <v>22</v>
      </c>
      <c r="B342" s="291" t="s">
        <v>92</v>
      </c>
      <c r="C342" s="293">
        <v>1.067077173491312</v>
      </c>
      <c r="D342" s="293">
        <v>1.1377699704587949</v>
      </c>
      <c r="E342" s="293">
        <v>1.1288688837653649</v>
      </c>
      <c r="F342" s="293">
        <v>1.0874595680858687</v>
      </c>
      <c r="G342" s="293">
        <v>1.0132559350168759</v>
      </c>
      <c r="H342" s="292"/>
      <c r="I342" s="292"/>
      <c r="J342" t="b">
        <f t="shared" si="23"/>
        <v>1</v>
      </c>
      <c r="K342" s="31" t="s">
        <v>22</v>
      </c>
      <c r="L342" s="291" t="s">
        <v>92</v>
      </c>
      <c r="M342" s="294">
        <f t="shared" si="24"/>
        <v>4.9348088003249071</v>
      </c>
      <c r="N342" s="294">
        <f t="shared" si="24"/>
        <v>5.7234062622648887</v>
      </c>
      <c r="O342" s="294">
        <f t="shared" si="24"/>
        <v>4.2177315522053318</v>
      </c>
      <c r="P342" s="294">
        <f t="shared" si="24"/>
        <v>4.1936354687199646</v>
      </c>
      <c r="Q342" s="294">
        <f t="shared" si="24"/>
        <v>4.0554220499000762</v>
      </c>
      <c r="R342" s="292"/>
      <c r="S342" s="292"/>
    </row>
    <row r="343" spans="1:19">
      <c r="A343" s="31" t="s">
        <v>22</v>
      </c>
      <c r="B343" s="291" t="s">
        <v>54</v>
      </c>
      <c r="C343" s="293">
        <v>1.4458842789006556</v>
      </c>
      <c r="D343" s="293">
        <v>1.7460048691359407</v>
      </c>
      <c r="E343" s="293">
        <v>1.7400275177290305</v>
      </c>
      <c r="F343" s="293">
        <v>1.7353254561791309</v>
      </c>
      <c r="G343" s="293">
        <v>1.6416771715292762</v>
      </c>
      <c r="H343" s="292"/>
      <c r="I343" s="292"/>
      <c r="J343" t="b">
        <f t="shared" si="23"/>
        <v>1</v>
      </c>
      <c r="K343" s="31" t="s">
        <v>22</v>
      </c>
      <c r="L343" s="291" t="s">
        <v>54</v>
      </c>
      <c r="M343" s="294">
        <f t="shared" si="24"/>
        <v>6.6866414548305206</v>
      </c>
      <c r="N343" s="294">
        <f t="shared" si="24"/>
        <v>8.7830540982972245</v>
      </c>
      <c r="O343" s="294">
        <f t="shared" si="24"/>
        <v>6.5011703916862125</v>
      </c>
      <c r="P343" s="294">
        <f t="shared" si="24"/>
        <v>6.6920394986407601</v>
      </c>
      <c r="Q343" s="294">
        <f t="shared" si="24"/>
        <v>6.5705944274844352</v>
      </c>
      <c r="R343" s="292"/>
      <c r="S343" s="292"/>
    </row>
    <row r="344" spans="1:19">
      <c r="K344" s="186"/>
      <c r="L344" s="186"/>
      <c r="M344" s="186"/>
    </row>
    <row r="345" spans="1:19">
      <c r="K345" s="186"/>
      <c r="L345" s="186"/>
      <c r="M345" s="296"/>
    </row>
    <row r="346" spans="1:19">
      <c r="K346" s="186"/>
      <c r="M346" s="186"/>
    </row>
    <row r="347" spans="1:19">
      <c r="K347" s="289" t="s">
        <v>242</v>
      </c>
      <c r="L347" s="289" t="s">
        <v>243</v>
      </c>
      <c r="M347" s="186"/>
      <c r="N347" s="186"/>
    </row>
    <row r="348" spans="1:19">
      <c r="C348" s="297"/>
      <c r="D348" s="297"/>
      <c r="E348" s="297"/>
      <c r="F348" s="297"/>
      <c r="G348" s="297"/>
      <c r="J348" s="298"/>
      <c r="K348" s="186"/>
      <c r="L348" s="195"/>
      <c r="M348" s="186"/>
      <c r="N348" s="186"/>
    </row>
    <row r="349" spans="1:19">
      <c r="C349" s="298"/>
      <c r="D349" s="298"/>
      <c r="E349" s="298"/>
      <c r="F349" s="298"/>
      <c r="G349" s="298"/>
      <c r="J349" s="298"/>
      <c r="K349" s="138" t="s">
        <v>6</v>
      </c>
      <c r="L349" s="290" t="s">
        <v>3</v>
      </c>
      <c r="M349" s="84">
        <v>2022</v>
      </c>
      <c r="N349" s="85">
        <f t="shared" ref="N349:S349" si="26">M349+1</f>
        <v>2023</v>
      </c>
      <c r="O349" s="85">
        <f t="shared" si="26"/>
        <v>2024</v>
      </c>
      <c r="P349" s="85">
        <f t="shared" si="26"/>
        <v>2025</v>
      </c>
      <c r="Q349" s="85">
        <f t="shared" si="26"/>
        <v>2026</v>
      </c>
      <c r="R349" s="85">
        <f t="shared" si="26"/>
        <v>2027</v>
      </c>
      <c r="S349" s="85">
        <f t="shared" si="26"/>
        <v>2028</v>
      </c>
    </row>
    <row r="350" spans="1:19">
      <c r="J350" s="298"/>
      <c r="K350" s="31" t="s">
        <v>19</v>
      </c>
      <c r="L350" s="291" t="s">
        <v>70</v>
      </c>
      <c r="M350" s="292"/>
      <c r="N350" s="292"/>
      <c r="O350" s="294">
        <f t="shared" ref="O350:S365" si="27">E315*H$34</f>
        <v>1.7892495885240058</v>
      </c>
      <c r="P350" s="294">
        <f t="shared" si="27"/>
        <v>1.773637551337879</v>
      </c>
      <c r="Q350" s="294">
        <f t="shared" si="27"/>
        <v>1.7335799212886331</v>
      </c>
      <c r="R350" s="294">
        <f t="shared" si="27"/>
        <v>1.7166935175633262</v>
      </c>
      <c r="S350" s="294">
        <f t="shared" si="27"/>
        <v>1.7505438708102599</v>
      </c>
    </row>
    <row r="351" spans="1:19">
      <c r="J351" s="298"/>
      <c r="K351" s="31" t="s">
        <v>19</v>
      </c>
      <c r="L351" s="291" t="s">
        <v>71</v>
      </c>
      <c r="M351" s="292"/>
      <c r="N351" s="292"/>
      <c r="O351" s="294">
        <f t="shared" si="27"/>
        <v>1.7044485176462936</v>
      </c>
      <c r="P351" s="294">
        <f t="shared" si="27"/>
        <v>1.8007064523822089</v>
      </c>
      <c r="Q351" s="294">
        <f t="shared" si="27"/>
        <v>1.7269105406472682</v>
      </c>
      <c r="R351" s="294">
        <f t="shared" si="27"/>
        <v>1.5806139472174021</v>
      </c>
      <c r="S351" s="294">
        <f t="shared" si="27"/>
        <v>1.4118222149102015</v>
      </c>
    </row>
    <row r="352" spans="1:19">
      <c r="J352" s="298"/>
      <c r="K352" s="31" t="s">
        <v>19</v>
      </c>
      <c r="L352" s="291" t="s">
        <v>72</v>
      </c>
      <c r="M352" s="292"/>
      <c r="N352" s="292"/>
      <c r="O352" s="294">
        <f t="shared" si="27"/>
        <v>2.3062458621191442</v>
      </c>
      <c r="P352" s="294">
        <f t="shared" si="27"/>
        <v>2.3845152895589075</v>
      </c>
      <c r="Q352" s="294">
        <f t="shared" si="27"/>
        <v>2.1286337663817898</v>
      </c>
      <c r="R352" s="294">
        <f t="shared" si="27"/>
        <v>1.9382886724989266</v>
      </c>
      <c r="S352" s="294">
        <f t="shared" si="27"/>
        <v>1.6782012104925479</v>
      </c>
    </row>
    <row r="353" spans="10:19">
      <c r="J353" s="298"/>
      <c r="K353" s="31" t="s">
        <v>19</v>
      </c>
      <c r="L353" s="291" t="s">
        <v>52</v>
      </c>
      <c r="M353" s="292"/>
      <c r="N353" s="292"/>
      <c r="O353" s="294">
        <f t="shared" si="27"/>
        <v>2.4452060296076255</v>
      </c>
      <c r="P353" s="294">
        <f t="shared" si="27"/>
        <v>2.7101951765600498</v>
      </c>
      <c r="Q353" s="294">
        <f t="shared" si="27"/>
        <v>3.3464009559045862</v>
      </c>
      <c r="R353" s="294">
        <f t="shared" si="27"/>
        <v>3.3484729136588687</v>
      </c>
      <c r="S353" s="294">
        <f t="shared" si="27"/>
        <v>3.2947017456547552</v>
      </c>
    </row>
    <row r="354" spans="10:19">
      <c r="J354" s="298"/>
      <c r="K354" s="31" t="s">
        <v>19</v>
      </c>
      <c r="L354" s="291" t="s">
        <v>73</v>
      </c>
      <c r="M354" s="292"/>
      <c r="N354" s="292"/>
      <c r="O354" s="294">
        <f t="shared" si="27"/>
        <v>1.6283045018074185</v>
      </c>
      <c r="P354" s="294">
        <f t="shared" si="27"/>
        <v>1.6712456989052611</v>
      </c>
      <c r="Q354" s="294">
        <f t="shared" si="27"/>
        <v>2.0568704747757547</v>
      </c>
      <c r="R354" s="294">
        <f t="shared" si="27"/>
        <v>2.1438083224070557</v>
      </c>
      <c r="S354" s="294">
        <f t="shared" si="27"/>
        <v>2.1860797252826196</v>
      </c>
    </row>
    <row r="355" spans="10:19">
      <c r="J355" s="298"/>
      <c r="K355" s="31" t="s">
        <v>19</v>
      </c>
      <c r="L355" s="291" t="s">
        <v>74</v>
      </c>
      <c r="M355" s="292"/>
      <c r="N355" s="292"/>
      <c r="O355" s="294">
        <f t="shared" si="27"/>
        <v>2.5147098607524767</v>
      </c>
      <c r="P355" s="294">
        <f t="shared" si="27"/>
        <v>2.0289765897430021</v>
      </c>
      <c r="Q355" s="294">
        <f t="shared" si="27"/>
        <v>2.3602782361513572</v>
      </c>
      <c r="R355" s="294">
        <f t="shared" si="27"/>
        <v>2.3697067873411117</v>
      </c>
      <c r="S355" s="294">
        <f t="shared" si="27"/>
        <v>2.2687677602617602</v>
      </c>
    </row>
    <row r="356" spans="10:19">
      <c r="J356" s="298"/>
      <c r="K356" s="31" t="s">
        <v>19</v>
      </c>
      <c r="L356" s="291" t="s">
        <v>75</v>
      </c>
      <c r="M356" s="292"/>
      <c r="N356" s="292"/>
      <c r="O356" s="294">
        <f t="shared" si="27"/>
        <v>1.9202047204235748</v>
      </c>
      <c r="P356" s="294">
        <f t="shared" si="27"/>
        <v>1.9823861635739422</v>
      </c>
      <c r="Q356" s="294">
        <f t="shared" si="27"/>
        <v>1.5992016926174955</v>
      </c>
      <c r="R356" s="294">
        <f t="shared" si="27"/>
        <v>1.6399262552823644</v>
      </c>
      <c r="S356" s="294">
        <f t="shared" si="27"/>
        <v>1.6699100414224042</v>
      </c>
    </row>
    <row r="357" spans="10:19">
      <c r="J357" s="298"/>
      <c r="K357" s="31" t="s">
        <v>19</v>
      </c>
      <c r="L357" s="291" t="s">
        <v>76</v>
      </c>
      <c r="M357" s="292"/>
      <c r="N357" s="292"/>
      <c r="O357" s="294">
        <f t="shared" si="27"/>
        <v>1.6975251045890898</v>
      </c>
      <c r="P357" s="294">
        <f t="shared" si="27"/>
        <v>1.7699283971802384</v>
      </c>
      <c r="Q357" s="294">
        <f t="shared" si="27"/>
        <v>1.8147429640731318</v>
      </c>
      <c r="R357" s="294">
        <f t="shared" si="27"/>
        <v>1.8232656220902086</v>
      </c>
      <c r="S357" s="294">
        <f t="shared" si="27"/>
        <v>1.8263447612490573</v>
      </c>
    </row>
    <row r="358" spans="10:19">
      <c r="J358" s="298"/>
      <c r="K358" s="31" t="s">
        <v>19</v>
      </c>
      <c r="L358" s="291" t="s">
        <v>77</v>
      </c>
      <c r="M358" s="292"/>
      <c r="N358" s="292"/>
      <c r="O358" s="294">
        <f t="shared" si="27"/>
        <v>1.1045735829991152</v>
      </c>
      <c r="P358" s="294">
        <f t="shared" si="27"/>
        <v>1.259187426706269</v>
      </c>
      <c r="Q358" s="294">
        <f t="shared" si="27"/>
        <v>1.0100401539735999</v>
      </c>
      <c r="R358" s="294">
        <f t="shared" si="27"/>
        <v>0.96866534029555229</v>
      </c>
      <c r="S358" s="294">
        <f t="shared" si="27"/>
        <v>0.9295880226532659</v>
      </c>
    </row>
    <row r="359" spans="10:19">
      <c r="J359" s="298"/>
      <c r="K359" s="31" t="s">
        <v>19</v>
      </c>
      <c r="L359" s="291" t="s">
        <v>50</v>
      </c>
      <c r="M359" s="292"/>
      <c r="N359" s="292"/>
      <c r="O359" s="294">
        <f t="shared" si="27"/>
        <v>3.1805509860299637</v>
      </c>
      <c r="P359" s="294">
        <f t="shared" si="27"/>
        <v>3.4742753510607756</v>
      </c>
      <c r="Q359" s="294">
        <f t="shared" si="27"/>
        <v>3.3027374753369609</v>
      </c>
      <c r="R359" s="294">
        <f t="shared" si="27"/>
        <v>2.9282314832294007</v>
      </c>
      <c r="S359" s="294">
        <f t="shared" si="27"/>
        <v>2.4537667849198752</v>
      </c>
    </row>
    <row r="360" spans="10:19">
      <c r="J360" s="298"/>
      <c r="K360" s="31" t="s">
        <v>19</v>
      </c>
      <c r="L360" s="291" t="s">
        <v>51</v>
      </c>
      <c r="M360" s="292"/>
      <c r="N360" s="292"/>
      <c r="O360" s="294">
        <f t="shared" si="27"/>
        <v>2.6894129288748267</v>
      </c>
      <c r="P360" s="294">
        <f t="shared" si="27"/>
        <v>2.710742560857057</v>
      </c>
      <c r="Q360" s="294">
        <f t="shared" si="27"/>
        <v>2.611024041449606</v>
      </c>
      <c r="R360" s="294">
        <f t="shared" si="27"/>
        <v>2.2779713748596979</v>
      </c>
      <c r="S360" s="294">
        <f t="shared" si="27"/>
        <v>1.9511794055123799</v>
      </c>
    </row>
    <row r="361" spans="10:19">
      <c r="J361" s="298"/>
      <c r="K361" s="31" t="s">
        <v>19</v>
      </c>
      <c r="L361" s="291" t="s">
        <v>78</v>
      </c>
      <c r="M361" s="292"/>
      <c r="N361" s="292"/>
      <c r="O361" s="294">
        <f t="shared" si="27"/>
        <v>2.9043778341096229</v>
      </c>
      <c r="P361" s="294">
        <f t="shared" si="27"/>
        <v>2.989112005171696</v>
      </c>
      <c r="Q361" s="294">
        <f t="shared" si="27"/>
        <v>2.8938610893500694</v>
      </c>
      <c r="R361" s="294">
        <f t="shared" si="27"/>
        <v>2.4922235537431545</v>
      </c>
      <c r="S361" s="294">
        <f t="shared" si="27"/>
        <v>2.3546416866145665</v>
      </c>
    </row>
    <row r="362" spans="10:19">
      <c r="J362" s="298"/>
      <c r="K362" s="31" t="s">
        <v>19</v>
      </c>
      <c r="L362" s="291" t="s">
        <v>79</v>
      </c>
      <c r="M362" s="292"/>
      <c r="N362" s="292"/>
      <c r="O362" s="294">
        <f t="shared" si="27"/>
        <v>1.1717335690418802</v>
      </c>
      <c r="P362" s="294">
        <f t="shared" si="27"/>
        <v>1.1482615220161481</v>
      </c>
      <c r="Q362" s="294">
        <f t="shared" si="27"/>
        <v>1.134220116101567</v>
      </c>
      <c r="R362" s="294">
        <f t="shared" si="27"/>
        <v>0.95490470846156084</v>
      </c>
      <c r="S362" s="294">
        <f t="shared" si="27"/>
        <v>0.97540616123918833</v>
      </c>
    </row>
    <row r="363" spans="10:19">
      <c r="J363" s="298"/>
      <c r="K363" s="31" t="s">
        <v>19</v>
      </c>
      <c r="L363" s="291" t="s">
        <v>80</v>
      </c>
      <c r="M363" s="292"/>
      <c r="N363" s="292"/>
      <c r="O363" s="294">
        <f t="shared" si="27"/>
        <v>1.6861133755679081</v>
      </c>
      <c r="P363" s="294">
        <f t="shared" si="27"/>
        <v>1.7984590049411553</v>
      </c>
      <c r="Q363" s="294">
        <f t="shared" si="27"/>
        <v>1.7670502885416697</v>
      </c>
      <c r="R363" s="294">
        <f t="shared" si="27"/>
        <v>1.465258452154454</v>
      </c>
      <c r="S363" s="294">
        <f t="shared" si="27"/>
        <v>1.4068732807721895</v>
      </c>
    </row>
    <row r="364" spans="10:19">
      <c r="J364" s="298"/>
      <c r="K364" s="31" t="s">
        <v>25</v>
      </c>
      <c r="L364" s="291" t="s">
        <v>81</v>
      </c>
      <c r="M364" s="294">
        <f t="shared" ref="M364:Q378" si="28">C329*F$34</f>
        <v>2.0133728461154154</v>
      </c>
      <c r="N364" s="294">
        <f t="shared" si="28"/>
        <v>2.1418957231904723</v>
      </c>
      <c r="O364" s="294">
        <f t="shared" si="27"/>
        <v>2.2391669312259666</v>
      </c>
      <c r="P364" s="294">
        <f t="shared" si="27"/>
        <v>2.2800075232469141</v>
      </c>
      <c r="Q364" s="294">
        <f t="shared" si="27"/>
        <v>2.3327081593052696</v>
      </c>
      <c r="R364" s="292"/>
      <c r="S364" s="292"/>
    </row>
    <row r="365" spans="10:19">
      <c r="J365" s="298"/>
      <c r="K365" s="31" t="s">
        <v>25</v>
      </c>
      <c r="L365" s="291" t="s">
        <v>82</v>
      </c>
      <c r="M365" s="294">
        <f t="shared" si="28"/>
        <v>1.45159346496409</v>
      </c>
      <c r="N365" s="294">
        <f t="shared" si="28"/>
        <v>1.5479360762098613</v>
      </c>
      <c r="O365" s="294">
        <f t="shared" si="27"/>
        <v>1.6255473216138241</v>
      </c>
      <c r="P365" s="294">
        <f t="shared" si="27"/>
        <v>1.6565375236503348</v>
      </c>
      <c r="Q365" s="294">
        <f t="shared" si="27"/>
        <v>1.6955515198222737</v>
      </c>
      <c r="R365" s="292"/>
      <c r="S365" s="292"/>
    </row>
    <row r="366" spans="10:19">
      <c r="J366" s="298"/>
      <c r="K366" s="31" t="s">
        <v>25</v>
      </c>
      <c r="L366" s="291" t="s">
        <v>83</v>
      </c>
      <c r="M366" s="294">
        <f t="shared" si="28"/>
        <v>1.0750684474433292</v>
      </c>
      <c r="N366" s="294">
        <f t="shared" si="28"/>
        <v>1.1449237963538723</v>
      </c>
      <c r="O366" s="294">
        <f t="shared" si="28"/>
        <v>1.1986348267818212</v>
      </c>
      <c r="P366" s="294">
        <f t="shared" si="28"/>
        <v>1.2181835807627046</v>
      </c>
      <c r="Q366" s="294">
        <f t="shared" si="28"/>
        <v>1.251738531768523</v>
      </c>
      <c r="R366" s="292"/>
      <c r="S366" s="292"/>
    </row>
    <row r="367" spans="10:19">
      <c r="J367" s="298"/>
      <c r="K367" s="31" t="s">
        <v>25</v>
      </c>
      <c r="L367" s="291" t="s">
        <v>84</v>
      </c>
      <c r="M367" s="294">
        <f t="shared" si="28"/>
        <v>1.4005094318518456</v>
      </c>
      <c r="N367" s="294">
        <f t="shared" si="28"/>
        <v>1.5044887127457629</v>
      </c>
      <c r="O367" s="294">
        <f t="shared" si="28"/>
        <v>1.5710607916374855</v>
      </c>
      <c r="P367" s="294">
        <f t="shared" si="28"/>
        <v>1.5889184665264409</v>
      </c>
      <c r="Q367" s="294">
        <f t="shared" si="28"/>
        <v>1.6218088579154444</v>
      </c>
      <c r="R367" s="292"/>
      <c r="S367" s="292"/>
    </row>
    <row r="368" spans="10:19">
      <c r="J368" s="298"/>
      <c r="K368" s="31" t="s">
        <v>25</v>
      </c>
      <c r="L368" s="291" t="s">
        <v>85</v>
      </c>
      <c r="M368" s="294">
        <f t="shared" si="28"/>
        <v>1.3770020969944794</v>
      </c>
      <c r="N368" s="294">
        <f t="shared" si="28"/>
        <v>1.4698237328853871</v>
      </c>
      <c r="O368" s="294">
        <f t="shared" si="28"/>
        <v>1.5893025100665914</v>
      </c>
      <c r="P368" s="294">
        <f t="shared" si="28"/>
        <v>1.6426456645588245</v>
      </c>
      <c r="Q368" s="294">
        <f t="shared" si="28"/>
        <v>1.6980493847272191</v>
      </c>
      <c r="R368" s="292"/>
      <c r="S368" s="292"/>
    </row>
    <row r="369" spans="2:19">
      <c r="J369" s="298"/>
      <c r="K369" s="31" t="s">
        <v>25</v>
      </c>
      <c r="L369" s="291" t="s">
        <v>86</v>
      </c>
      <c r="M369" s="294">
        <f t="shared" si="28"/>
        <v>1.0505445643506788</v>
      </c>
      <c r="N369" s="294">
        <f t="shared" si="28"/>
        <v>1.1493864205578144</v>
      </c>
      <c r="O369" s="294">
        <f t="shared" si="28"/>
        <v>1.2135158835667619</v>
      </c>
      <c r="P369" s="294">
        <f t="shared" si="28"/>
        <v>1.2407485663154141</v>
      </c>
      <c r="Q369" s="294">
        <f t="shared" si="28"/>
        <v>1.277233302793966</v>
      </c>
      <c r="R369" s="292"/>
      <c r="S369" s="292"/>
    </row>
    <row r="370" spans="2:19">
      <c r="J370" s="298"/>
      <c r="K370" s="31" t="s">
        <v>25</v>
      </c>
      <c r="L370" s="291" t="s">
        <v>87</v>
      </c>
      <c r="M370" s="294">
        <f t="shared" si="28"/>
        <v>2.2144683059474937</v>
      </c>
      <c r="N370" s="294">
        <f t="shared" si="28"/>
        <v>2.3632722686101286</v>
      </c>
      <c r="O370" s="294">
        <f t="shared" si="28"/>
        <v>2.5128567395613972</v>
      </c>
      <c r="P370" s="294">
        <f t="shared" si="28"/>
        <v>2.5847895794028313</v>
      </c>
      <c r="Q370" s="294">
        <f t="shared" si="28"/>
        <v>2.684870366421011</v>
      </c>
      <c r="R370" s="292"/>
      <c r="S370" s="292"/>
    </row>
    <row r="371" spans="2:19">
      <c r="J371" s="298"/>
      <c r="K371" s="31" t="s">
        <v>25</v>
      </c>
      <c r="L371" s="291" t="s">
        <v>88</v>
      </c>
      <c r="M371" s="294">
        <f t="shared" si="28"/>
        <v>1.4190528767140227</v>
      </c>
      <c r="N371" s="294">
        <f t="shared" si="28"/>
        <v>1.493318445925756</v>
      </c>
      <c r="O371" s="294">
        <f t="shared" si="28"/>
        <v>1.5606456846976191</v>
      </c>
      <c r="P371" s="294">
        <f t="shared" si="28"/>
        <v>1.6185165225149594</v>
      </c>
      <c r="Q371" s="294">
        <f t="shared" si="28"/>
        <v>1.6868185253809691</v>
      </c>
      <c r="R371" s="295"/>
      <c r="S371" s="295"/>
    </row>
    <row r="372" spans="2:19">
      <c r="J372" s="298"/>
      <c r="K372" s="31" t="s">
        <v>27</v>
      </c>
      <c r="L372" s="291" t="s">
        <v>89</v>
      </c>
      <c r="M372" s="294">
        <f t="shared" si="28"/>
        <v>2.6120551542720909</v>
      </c>
      <c r="N372" s="294">
        <f t="shared" si="28"/>
        <v>2.9495168143381898</v>
      </c>
      <c r="O372" s="294">
        <f t="shared" si="28"/>
        <v>3.1335283927784818</v>
      </c>
      <c r="P372" s="294">
        <f t="shared" si="28"/>
        <v>2.9872364109536669</v>
      </c>
      <c r="Q372" s="294">
        <f t="shared" si="28"/>
        <v>3.0526964637586453</v>
      </c>
      <c r="R372" s="292"/>
      <c r="S372" s="292"/>
    </row>
    <row r="373" spans="2:19">
      <c r="J373" s="298"/>
      <c r="K373" s="31" t="s">
        <v>27</v>
      </c>
      <c r="L373" s="291" t="s">
        <v>90</v>
      </c>
      <c r="M373" s="294">
        <f t="shared" si="28"/>
        <v>0.38548075528056391</v>
      </c>
      <c r="N373" s="294">
        <f t="shared" si="28"/>
        <v>0.39896371558689253</v>
      </c>
      <c r="O373" s="294">
        <f t="shared" si="28"/>
        <v>0.43947528461861962</v>
      </c>
      <c r="P373" s="294">
        <f t="shared" si="28"/>
        <v>0.42497881213699035</v>
      </c>
      <c r="Q373" s="294">
        <f t="shared" si="28"/>
        <v>0.40328099004853707</v>
      </c>
      <c r="R373" s="292"/>
      <c r="S373" s="292"/>
    </row>
    <row r="374" spans="2:19">
      <c r="J374" s="298"/>
      <c r="K374" s="31" t="s">
        <v>27</v>
      </c>
      <c r="L374" s="291" t="s">
        <v>91</v>
      </c>
      <c r="M374" s="294">
        <f t="shared" si="28"/>
        <v>2.997535909552655</v>
      </c>
      <c r="N374" s="294">
        <f t="shared" si="28"/>
        <v>3.3484805299250824</v>
      </c>
      <c r="O374" s="294">
        <f t="shared" si="28"/>
        <v>3.5730036773971015</v>
      </c>
      <c r="P374" s="294">
        <f t="shared" si="28"/>
        <v>3.4122152230906573</v>
      </c>
      <c r="Q374" s="294">
        <f t="shared" si="28"/>
        <v>3.4559774538071828</v>
      </c>
      <c r="R374" s="292"/>
      <c r="S374" s="292"/>
    </row>
    <row r="375" spans="2:19">
      <c r="K375" s="31" t="s">
        <v>22</v>
      </c>
      <c r="L375" s="291" t="s">
        <v>4</v>
      </c>
      <c r="M375" s="294">
        <f t="shared" si="28"/>
        <v>6.2859381878770506</v>
      </c>
      <c r="N375" s="294">
        <f t="shared" si="28"/>
        <v>6.6850844658020172</v>
      </c>
      <c r="O375" s="294">
        <f t="shared" si="28"/>
        <v>6.7825067216390158</v>
      </c>
      <c r="P375" s="294">
        <f t="shared" si="28"/>
        <v>6.7249293974172542</v>
      </c>
      <c r="Q375" s="294">
        <f t="shared" si="28"/>
        <v>6.7652692419886913</v>
      </c>
      <c r="R375" s="292"/>
      <c r="S375" s="292"/>
    </row>
    <row r="376" spans="2:19">
      <c r="I376" s="298"/>
      <c r="K376" s="31" t="s">
        <v>29</v>
      </c>
      <c r="L376" s="291" t="s">
        <v>29</v>
      </c>
      <c r="M376" s="294">
        <f t="shared" si="28"/>
        <v>0.86311816985156387</v>
      </c>
      <c r="N376" s="294">
        <f t="shared" si="28"/>
        <v>0.96024664390211045</v>
      </c>
      <c r="O376" s="294">
        <f t="shared" si="28"/>
        <v>1.0402583880067258</v>
      </c>
      <c r="P376" s="294">
        <f t="shared" si="28"/>
        <v>1.1172395158293444</v>
      </c>
      <c r="Q376" s="294">
        <f t="shared" si="28"/>
        <v>1.1864866689490696</v>
      </c>
      <c r="R376" s="292"/>
      <c r="S376" s="292"/>
    </row>
    <row r="377" spans="2:19">
      <c r="I377" s="298"/>
      <c r="K377" s="31" t="s">
        <v>22</v>
      </c>
      <c r="L377" s="291" t="s">
        <v>92</v>
      </c>
      <c r="M377" s="294">
        <f t="shared" si="28"/>
        <v>1.1575477432860892</v>
      </c>
      <c r="N377" s="294">
        <f t="shared" si="28"/>
        <v>1.3425273948522578</v>
      </c>
      <c r="O377" s="294">
        <f t="shared" si="28"/>
        <v>1.4059105174017772</v>
      </c>
      <c r="P377" s="294">
        <f t="shared" si="28"/>
        <v>1.3978784895733214</v>
      </c>
      <c r="Q377" s="294">
        <f t="shared" si="28"/>
        <v>1.3518073499666921</v>
      </c>
      <c r="R377" s="292"/>
      <c r="S377" s="292"/>
    </row>
    <row r="378" spans="2:19">
      <c r="I378" s="298"/>
      <c r="K378" s="31" t="s">
        <v>22</v>
      </c>
      <c r="L378" s="291" t="s">
        <v>54</v>
      </c>
      <c r="M378" s="294">
        <f t="shared" si="28"/>
        <v>1.5684714523676531</v>
      </c>
      <c r="N378" s="294">
        <f t="shared" si="28"/>
        <v>2.06022256626725</v>
      </c>
      <c r="O378" s="294">
        <f t="shared" si="28"/>
        <v>2.1670567972287373</v>
      </c>
      <c r="P378" s="294">
        <f t="shared" si="28"/>
        <v>2.2306798328802535</v>
      </c>
      <c r="Q378" s="294">
        <f t="shared" si="28"/>
        <v>2.1901981424948116</v>
      </c>
      <c r="R378" s="292"/>
      <c r="S378" s="292"/>
    </row>
    <row r="379" spans="2:19">
      <c r="I379" s="298"/>
      <c r="K379" s="186"/>
      <c r="L379" s="186"/>
      <c r="M379" s="186"/>
    </row>
    <row r="380" spans="2:19">
      <c r="I380" s="298"/>
    </row>
    <row r="381" spans="2:19">
      <c r="I381" s="298"/>
    </row>
    <row r="382" spans="2:19">
      <c r="I382" s="298"/>
    </row>
    <row r="383" spans="2:19">
      <c r="I383" s="298"/>
    </row>
    <row r="384" spans="2:19">
      <c r="B384" s="56" t="s">
        <v>244</v>
      </c>
    </row>
    <row r="386" spans="2:3">
      <c r="B386" s="52" t="s">
        <v>81</v>
      </c>
      <c r="C386" s="52">
        <v>0.34</v>
      </c>
    </row>
    <row r="387" spans="2:3">
      <c r="B387" s="52" t="s">
        <v>82</v>
      </c>
      <c r="C387" s="52">
        <v>0.24</v>
      </c>
    </row>
    <row r="388" spans="2:3">
      <c r="B388" s="52" t="s">
        <v>84</v>
      </c>
      <c r="C388" s="52">
        <v>0.24</v>
      </c>
    </row>
    <row r="389" spans="2:3">
      <c r="B389" s="52" t="s">
        <v>83</v>
      </c>
      <c r="C389" s="52">
        <v>0.18</v>
      </c>
    </row>
    <row r="390" spans="2:3">
      <c r="B390" s="52" t="s">
        <v>70</v>
      </c>
      <c r="C390" s="299">
        <v>1</v>
      </c>
    </row>
    <row r="391" spans="2:3">
      <c r="B391" s="52" t="s">
        <v>51</v>
      </c>
      <c r="C391" s="299">
        <v>1</v>
      </c>
    </row>
    <row r="392" spans="2:3">
      <c r="B392" s="52" t="s">
        <v>79</v>
      </c>
      <c r="C392" s="299">
        <v>1</v>
      </c>
    </row>
    <row r="393" spans="2:3">
      <c r="B393" s="52" t="s">
        <v>80</v>
      </c>
      <c r="C393" s="299">
        <v>1</v>
      </c>
    </row>
    <row r="394" spans="2:3">
      <c r="B394" s="52" t="s">
        <v>78</v>
      </c>
      <c r="C394" s="299">
        <v>1</v>
      </c>
    </row>
    <row r="395" spans="2:3">
      <c r="B395" s="52" t="s">
        <v>221</v>
      </c>
      <c r="C395" s="299">
        <v>1</v>
      </c>
    </row>
    <row r="396" spans="2:3">
      <c r="B396" s="52" t="s">
        <v>90</v>
      </c>
      <c r="C396" s="299">
        <v>1</v>
      </c>
    </row>
    <row r="397" spans="2:3">
      <c r="B397" s="52" t="s">
        <v>89</v>
      </c>
      <c r="C397" s="299">
        <v>1</v>
      </c>
    </row>
    <row r="398" spans="2:3">
      <c r="B398" s="52" t="s">
        <v>91</v>
      </c>
      <c r="C398" s="299">
        <v>1</v>
      </c>
    </row>
    <row r="399" spans="2:3">
      <c r="B399" s="52" t="s">
        <v>85</v>
      </c>
      <c r="C399" s="299">
        <v>1</v>
      </c>
    </row>
    <row r="400" spans="2:3">
      <c r="B400" s="52" t="s">
        <v>71</v>
      </c>
      <c r="C400" s="299">
        <v>1</v>
      </c>
    </row>
    <row r="401" spans="2:3">
      <c r="B401" s="52" t="s">
        <v>72</v>
      </c>
      <c r="C401" s="299">
        <v>1</v>
      </c>
    </row>
    <row r="402" spans="2:3">
      <c r="B402" s="52" t="s">
        <v>86</v>
      </c>
      <c r="C402" s="299">
        <v>1</v>
      </c>
    </row>
    <row r="403" spans="2:3">
      <c r="B403" s="52" t="s">
        <v>87</v>
      </c>
      <c r="C403" s="299">
        <v>1</v>
      </c>
    </row>
    <row r="404" spans="2:3">
      <c r="B404" s="52" t="s">
        <v>54</v>
      </c>
      <c r="C404" s="299">
        <v>1</v>
      </c>
    </row>
    <row r="405" spans="2:3">
      <c r="B405" s="52" t="s">
        <v>75</v>
      </c>
      <c r="C405" s="299">
        <v>1</v>
      </c>
    </row>
    <row r="406" spans="2:3">
      <c r="B406" s="52" t="s">
        <v>245</v>
      </c>
      <c r="C406" s="299">
        <v>1</v>
      </c>
    </row>
    <row r="407" spans="2:3">
      <c r="B407" s="52" t="s">
        <v>92</v>
      </c>
      <c r="C407" s="299">
        <v>1</v>
      </c>
    </row>
    <row r="408" spans="2:3">
      <c r="B408" s="52" t="s">
        <v>77</v>
      </c>
      <c r="C408" s="299">
        <v>1</v>
      </c>
    </row>
    <row r="409" spans="2:3">
      <c r="B409" s="52" t="s">
        <v>50</v>
      </c>
      <c r="C409" s="299">
        <v>1</v>
      </c>
    </row>
    <row r="410" spans="2:3">
      <c r="B410" s="52" t="s">
        <v>52</v>
      </c>
      <c r="C410" s="299">
        <v>1</v>
      </c>
    </row>
    <row r="411" spans="2:3">
      <c r="B411" s="52" t="s">
        <v>73</v>
      </c>
      <c r="C411" s="299">
        <v>1</v>
      </c>
    </row>
    <row r="412" spans="2:3">
      <c r="B412" s="52" t="s">
        <v>74</v>
      </c>
      <c r="C412" s="299">
        <v>1</v>
      </c>
    </row>
    <row r="413" spans="2:3">
      <c r="B413" s="52" t="s">
        <v>88</v>
      </c>
      <c r="C413" s="299">
        <v>1</v>
      </c>
    </row>
  </sheetData>
  <mergeCells count="147">
    <mergeCell ref="B268:C268"/>
    <mergeCell ref="B269:C269"/>
    <mergeCell ref="B263:C263"/>
    <mergeCell ref="D263:E263"/>
    <mergeCell ref="B264:C264"/>
    <mergeCell ref="B265:C265"/>
    <mergeCell ref="B266:C266"/>
    <mergeCell ref="B267:C267"/>
    <mergeCell ref="B257:C257"/>
    <mergeCell ref="E257:I257"/>
    <mergeCell ref="B258:C258"/>
    <mergeCell ref="E258:I258"/>
    <mergeCell ref="B261:C261"/>
    <mergeCell ref="B262:C262"/>
    <mergeCell ref="D262:E262"/>
    <mergeCell ref="B254:C254"/>
    <mergeCell ref="E254:I254"/>
    <mergeCell ref="B255:C255"/>
    <mergeCell ref="E255:I255"/>
    <mergeCell ref="B256:C256"/>
    <mergeCell ref="E256:I256"/>
    <mergeCell ref="B251:C251"/>
    <mergeCell ref="E251:I251"/>
    <mergeCell ref="B252:C252"/>
    <mergeCell ref="E252:I252"/>
    <mergeCell ref="B253:C253"/>
    <mergeCell ref="E253:I253"/>
    <mergeCell ref="B246:C246"/>
    <mergeCell ref="E246:I246"/>
    <mergeCell ref="B247:C247"/>
    <mergeCell ref="E247:I247"/>
    <mergeCell ref="B250:C250"/>
    <mergeCell ref="E250:I250"/>
    <mergeCell ref="B243:C243"/>
    <mergeCell ref="E243:I243"/>
    <mergeCell ref="B244:C244"/>
    <mergeCell ref="E244:I244"/>
    <mergeCell ref="B245:C245"/>
    <mergeCell ref="E245:I245"/>
    <mergeCell ref="B240:C240"/>
    <mergeCell ref="E240:I240"/>
    <mergeCell ref="B241:C241"/>
    <mergeCell ref="E241:I241"/>
    <mergeCell ref="B242:C242"/>
    <mergeCell ref="E242:I242"/>
    <mergeCell ref="B235:C235"/>
    <mergeCell ref="E235:I235"/>
    <mergeCell ref="B236:C236"/>
    <mergeCell ref="E236:I236"/>
    <mergeCell ref="B239:C239"/>
    <mergeCell ref="E239:I239"/>
    <mergeCell ref="E230:I230"/>
    <mergeCell ref="E231:I231"/>
    <mergeCell ref="E232:I232"/>
    <mergeCell ref="E233:I233"/>
    <mergeCell ref="B234:C234"/>
    <mergeCell ref="E234:I234"/>
    <mergeCell ref="B222:C222"/>
    <mergeCell ref="B223:C223"/>
    <mergeCell ref="B224:C224"/>
    <mergeCell ref="B225:C225"/>
    <mergeCell ref="E228:I228"/>
    <mergeCell ref="E229:I229"/>
    <mergeCell ref="B214:C214"/>
    <mergeCell ref="B217:C217"/>
    <mergeCell ref="B218:C218"/>
    <mergeCell ref="B219:C219"/>
    <mergeCell ref="B220:C220"/>
    <mergeCell ref="B221:C221"/>
    <mergeCell ref="B208:C208"/>
    <mergeCell ref="B209:C209"/>
    <mergeCell ref="B210:C210"/>
    <mergeCell ref="B211:C211"/>
    <mergeCell ref="B212:C212"/>
    <mergeCell ref="B213:C213"/>
    <mergeCell ref="B190:C190"/>
    <mergeCell ref="E190:H190"/>
    <mergeCell ref="B191:C191"/>
    <mergeCell ref="E191:H191"/>
    <mergeCell ref="B206:C206"/>
    <mergeCell ref="B207:C207"/>
    <mergeCell ref="B187:C187"/>
    <mergeCell ref="E187:H187"/>
    <mergeCell ref="B188:C188"/>
    <mergeCell ref="E188:H188"/>
    <mergeCell ref="B189:C189"/>
    <mergeCell ref="E189:H189"/>
    <mergeCell ref="B184:C184"/>
    <mergeCell ref="E184:H184"/>
    <mergeCell ref="B185:C185"/>
    <mergeCell ref="E185:H185"/>
    <mergeCell ref="B186:C186"/>
    <mergeCell ref="E186:H186"/>
    <mergeCell ref="B179:C179"/>
    <mergeCell ref="E179:H179"/>
    <mergeCell ref="B180:C180"/>
    <mergeCell ref="E180:H180"/>
    <mergeCell ref="B181:C181"/>
    <mergeCell ref="E181:F181"/>
    <mergeCell ref="B176:C176"/>
    <mergeCell ref="E176:H176"/>
    <mergeCell ref="B177:C177"/>
    <mergeCell ref="E177:H177"/>
    <mergeCell ref="B178:C178"/>
    <mergeCell ref="E178:H178"/>
    <mergeCell ref="B171:C171"/>
    <mergeCell ref="E171:H171"/>
    <mergeCell ref="B174:C174"/>
    <mergeCell ref="E174:H174"/>
    <mergeCell ref="B175:C175"/>
    <mergeCell ref="E175:H175"/>
    <mergeCell ref="B168:C168"/>
    <mergeCell ref="E168:H168"/>
    <mergeCell ref="B169:C169"/>
    <mergeCell ref="E169:H169"/>
    <mergeCell ref="B170:C170"/>
    <mergeCell ref="E170:H170"/>
    <mergeCell ref="B165:C165"/>
    <mergeCell ref="E165:H165"/>
    <mergeCell ref="B166:C166"/>
    <mergeCell ref="E166:H166"/>
    <mergeCell ref="B167:C167"/>
    <mergeCell ref="E167:H167"/>
    <mergeCell ref="B159:C159"/>
    <mergeCell ref="B160:C160"/>
    <mergeCell ref="B163:C163"/>
    <mergeCell ref="E163:H163"/>
    <mergeCell ref="B164:C164"/>
    <mergeCell ref="E164:H164"/>
    <mergeCell ref="B153:C153"/>
    <mergeCell ref="B154:C154"/>
    <mergeCell ref="B155:C155"/>
    <mergeCell ref="B156:C156"/>
    <mergeCell ref="B157:C157"/>
    <mergeCell ref="B158:C158"/>
    <mergeCell ref="B145:C145"/>
    <mergeCell ref="B146:C146"/>
    <mergeCell ref="B147:C147"/>
    <mergeCell ref="B148:C148"/>
    <mergeCell ref="B149:C149"/>
    <mergeCell ref="B152:C152"/>
    <mergeCell ref="H61:N61"/>
    <mergeCell ref="O61:U61"/>
    <mergeCell ref="B141:C141"/>
    <mergeCell ref="B142:C142"/>
    <mergeCell ref="B143:C143"/>
    <mergeCell ref="B144:C144"/>
  </mergeCells>
  <conditionalFormatting sqref="C97:I97">
    <cfRule type="expression" dxfId="91" priority="4">
      <formula>AND(#REF!="Actuals",#REF!="Forecast")</formula>
    </cfRule>
  </conditionalFormatting>
  <conditionalFormatting sqref="H61">
    <cfRule type="expression" dxfId="89" priority="5">
      <formula>AND(#REF!="Actuals",#REF!="Forecast")</formula>
    </cfRule>
  </conditionalFormatting>
  <conditionalFormatting sqref="H62:U62">
    <cfRule type="expression" dxfId="87" priority="2">
      <formula>AND(#REF!="Actuals",#REF!="Forecast")</formula>
    </cfRule>
  </conditionalFormatting>
  <conditionalFormatting sqref="O61">
    <cfRule type="expression" dxfId="84" priority="3">
      <formula>AND(#REF!="Actuals",#REF!="Forecast")</formula>
    </cfRule>
  </conditionalFormatting>
  <pageMargins left="0.7" right="0.7" top="0.75" bottom="0.75" header="0.3" footer="0.3"/>
  <pageSetup paperSize="9" orientation="portrait" r:id="rId1"/>
  <headerFooter>
    <oddFooter>&amp;C_x000D_&amp;1#&amp;"Calibri"&amp;10&amp;K000000 OFFICIAL-InternalOnly</oddFooter>
  </headerFooter>
  <extLst>
    <ext xmlns:x14="http://schemas.microsoft.com/office/spreadsheetml/2009/9/main" uri="{78C0D931-6437-407d-A8EE-F0AAD7539E65}">
      <x14:conditionalFormattings>
        <x14:conditionalFormatting xmlns:xm="http://schemas.microsoft.com/office/excel/2006/main">
          <x14:cfRule type="expression" priority="6" id="{BD047D49-DECE-4ACB-9EEA-588C51879925}">
            <xm:f>AND('RFPR cover'!B$7="Actuals",'RFPR cover'!C$7="Forecast")</xm:f>
            <x14:dxf>
              <border>
                <right style="thin">
                  <color auto="1"/>
                </right>
                <vertical/>
                <horizontal/>
              </border>
            </x14:dxf>
          </x14:cfRule>
          <xm:sqref>C314:G314</xm:sqref>
        </x14:conditionalFormatting>
        <x14:conditionalFormatting xmlns:xm="http://schemas.microsoft.com/office/excel/2006/main">
          <x14:cfRule type="expression" priority="10" id="{73C2B4C6-B90D-439D-A650-C90AE4A04A7F}">
            <xm:f>AND('RFPR cover'!A$7="Actuals",'RFPR cover'!B$7="Forecast")</xm:f>
            <x14:dxf>
              <border>
                <right style="thin">
                  <color auto="1"/>
                </right>
                <vertical/>
                <horizontal/>
              </border>
            </x14:dxf>
          </x14:cfRule>
          <xm:sqref>C41:I41 C54:I54</xm:sqref>
        </x14:conditionalFormatting>
        <x14:conditionalFormatting xmlns:xm="http://schemas.microsoft.com/office/excel/2006/main">
          <x14:cfRule type="expression" priority="7" id="{128E431E-F79A-47D4-9FD0-DBED2A7BDBE5}">
            <xm:f>AND('RFPR cover'!B$7="Actuals",'RFPR cover'!C$7="Forecast")</xm:f>
            <x14:dxf>
              <border>
                <right style="thin">
                  <color auto="1"/>
                </right>
                <vertical/>
                <horizontal/>
              </border>
            </x14:dxf>
          </x14:cfRule>
          <xm:sqref>E33:L33</xm:sqref>
        </x14:conditionalFormatting>
        <x14:conditionalFormatting xmlns:xm="http://schemas.microsoft.com/office/excel/2006/main">
          <x14:cfRule type="expression" priority="9" id="{B2437AE5-D0F5-42A6-A364-ADC77CE5A74A}">
            <xm:f>AND('RFPR cover'!G$7="Actuals",'RFPR cover'!#REF!="Forecast")</xm:f>
            <x14:dxf>
              <border>
                <right style="thin">
                  <color auto="1"/>
                </right>
                <vertical/>
                <horizontal/>
              </border>
            </x14:dxf>
          </x14:cfRule>
          <xm:sqref>H314</xm:sqref>
        </x14:conditionalFormatting>
        <x14:conditionalFormatting xmlns:xm="http://schemas.microsoft.com/office/excel/2006/main">
          <x14:cfRule type="expression" priority="8" id="{B9CA0AB6-2D4B-4755-BA61-DCFC60EAB4E7}">
            <xm:f>AND('RFPR cover'!#REF!="Actuals",'RFPR cover'!H$7="Forecast")</xm:f>
            <x14:dxf>
              <border>
                <right style="thin">
                  <color auto="1"/>
                </right>
                <vertical/>
                <horizontal/>
              </border>
            </x14:dxf>
          </x14:cfRule>
          <xm:sqref>I314</xm:sqref>
        </x14:conditionalFormatting>
        <x14:conditionalFormatting xmlns:xm="http://schemas.microsoft.com/office/excel/2006/main">
          <x14:cfRule type="expression" priority="1" id="{56A84F20-5778-4A18-B1F2-D2CAC5A8BE92}">
            <xm:f>AND('RFPR cover'!B$7="Actuals",'RFPR cover'!C$7="Forecast")</xm:f>
            <x14:dxf>
              <border>
                <right style="thin">
                  <color auto="1"/>
                </right>
                <vertical/>
                <horizontal/>
              </border>
            </x14:dxf>
          </x14:cfRule>
          <xm:sqref>M314:S314 M349:S349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1C814-1D1D-4B5D-9E8A-6A90ECE80CF9}">
  <sheetPr>
    <pageSetUpPr fitToPage="1"/>
  </sheetPr>
  <dimension ref="A1:M39"/>
  <sheetViews>
    <sheetView zoomScale="80" zoomScaleNormal="80" workbookViewId="0">
      <selection activeCell="E18" sqref="E18"/>
    </sheetView>
  </sheetViews>
  <sheetFormatPr defaultRowHeight="13.5"/>
  <cols>
    <col min="1" max="1" width="8.3828125" customWidth="1"/>
    <col min="2" max="2" width="23.765625" customWidth="1"/>
    <col min="3" max="3" width="25.765625" customWidth="1"/>
    <col min="4" max="4" width="9.765625" customWidth="1"/>
  </cols>
  <sheetData>
    <row r="1" spans="1:13" ht="20">
      <c r="A1" s="2" t="s">
        <v>246</v>
      </c>
      <c r="B1" s="300"/>
      <c r="C1" s="300"/>
      <c r="D1" s="300"/>
      <c r="E1" s="300"/>
      <c r="F1" s="300"/>
      <c r="G1" s="300"/>
      <c r="H1" s="300"/>
      <c r="I1" s="301" t="s">
        <v>247</v>
      </c>
      <c r="J1" s="302"/>
      <c r="K1" s="302"/>
      <c r="L1" s="302"/>
      <c r="M1" s="302"/>
    </row>
    <row r="2" spans="1:13" ht="20">
      <c r="A2" s="35" t="str">
        <f>Licensee</f>
        <v>NGET (TO)</v>
      </c>
      <c r="B2" s="300"/>
      <c r="C2" s="300"/>
      <c r="D2" s="300"/>
      <c r="E2" s="300"/>
      <c r="F2" s="300"/>
      <c r="G2" s="300"/>
      <c r="H2" s="300"/>
      <c r="I2" s="302"/>
      <c r="J2" s="302"/>
      <c r="K2" s="302"/>
      <c r="L2" s="302"/>
      <c r="M2" s="302"/>
    </row>
    <row r="3" spans="1:13" ht="20">
      <c r="A3" s="2">
        <f>Reporting_Year</f>
        <v>2026</v>
      </c>
      <c r="B3" s="300"/>
      <c r="C3" s="300"/>
      <c r="D3" s="300"/>
      <c r="E3" s="300"/>
      <c r="F3" s="300"/>
      <c r="G3" s="300"/>
      <c r="H3" s="300"/>
      <c r="I3" s="302"/>
      <c r="J3" s="302"/>
      <c r="K3" s="302"/>
      <c r="L3" s="302"/>
      <c r="M3" s="302"/>
    </row>
    <row r="4" spans="1:13">
      <c r="A4" s="303"/>
      <c r="B4" s="303"/>
      <c r="C4" s="303"/>
      <c r="D4" s="303"/>
      <c r="E4" s="303"/>
      <c r="F4" s="303"/>
      <c r="G4" s="303"/>
      <c r="H4" s="303"/>
      <c r="I4" s="303"/>
      <c r="J4" s="303"/>
      <c r="K4" s="303"/>
      <c r="L4" s="303"/>
      <c r="M4" s="303"/>
    </row>
    <row r="5" spans="1:13">
      <c r="A5" s="303"/>
      <c r="B5" s="303"/>
      <c r="C5" s="303"/>
      <c r="D5" s="303"/>
      <c r="E5" s="303"/>
      <c r="F5" s="303"/>
      <c r="G5" s="303"/>
      <c r="H5" s="303"/>
      <c r="I5" s="303"/>
      <c r="J5" s="303"/>
      <c r="K5" s="303"/>
      <c r="L5" s="303"/>
      <c r="M5" s="303"/>
    </row>
    <row r="6" spans="1:13">
      <c r="A6" s="303"/>
      <c r="B6" s="304" t="s">
        <v>248</v>
      </c>
      <c r="C6" s="303"/>
      <c r="D6" s="303"/>
      <c r="E6" s="303"/>
      <c r="F6" s="303"/>
      <c r="G6" s="303"/>
      <c r="H6" s="303"/>
      <c r="I6" s="303"/>
      <c r="J6" s="303"/>
      <c r="K6" s="303"/>
      <c r="L6" s="303"/>
      <c r="M6" s="303"/>
    </row>
    <row r="7" spans="1:13">
      <c r="A7" s="303"/>
      <c r="B7" s="303"/>
      <c r="C7" s="303"/>
      <c r="D7" s="303"/>
      <c r="E7" s="303"/>
      <c r="F7" s="303"/>
      <c r="G7" s="303"/>
      <c r="H7" s="303"/>
      <c r="I7" s="303"/>
      <c r="J7" s="303"/>
      <c r="K7" s="303"/>
      <c r="L7" s="303"/>
      <c r="M7" s="303"/>
    </row>
    <row r="8" spans="1:13">
      <c r="A8" s="303"/>
      <c r="B8" s="305" t="s">
        <v>249</v>
      </c>
      <c r="C8" s="305" t="s">
        <v>250</v>
      </c>
      <c r="D8" s="306" t="s">
        <v>251</v>
      </c>
      <c r="E8" s="307"/>
      <c r="F8" s="307"/>
      <c r="G8" s="307"/>
      <c r="H8" s="307"/>
      <c r="I8" s="303"/>
      <c r="J8" s="303"/>
      <c r="K8" s="303"/>
      <c r="L8" s="303"/>
      <c r="M8" s="303"/>
    </row>
    <row r="9" spans="1:13">
      <c r="A9" s="303"/>
      <c r="B9" s="308" t="s">
        <v>252</v>
      </c>
      <c r="C9" s="309"/>
      <c r="D9" s="310"/>
      <c r="E9" s="311"/>
      <c r="F9" s="311"/>
      <c r="G9" s="311"/>
      <c r="H9" s="311"/>
      <c r="I9" s="303"/>
      <c r="J9" s="303"/>
      <c r="K9" s="303"/>
      <c r="L9" s="303"/>
      <c r="M9" s="303"/>
    </row>
    <row r="10" spans="1:13">
      <c r="A10" s="303"/>
      <c r="B10" s="308" t="s">
        <v>253</v>
      </c>
      <c r="C10" s="309"/>
      <c r="D10" s="310"/>
      <c r="E10" s="311"/>
      <c r="F10" s="311"/>
      <c r="G10" s="311"/>
      <c r="H10" s="311"/>
      <c r="I10" s="303"/>
      <c r="J10" s="303"/>
      <c r="K10" s="303"/>
      <c r="L10" s="303"/>
      <c r="M10" s="303"/>
    </row>
    <row r="11" spans="1:13">
      <c r="A11" s="303"/>
      <c r="B11" s="308" t="s">
        <v>254</v>
      </c>
      <c r="C11" s="309"/>
      <c r="D11" s="310"/>
      <c r="E11" s="311"/>
      <c r="F11" s="311"/>
      <c r="G11" s="311"/>
      <c r="H11" s="311"/>
      <c r="I11" s="303"/>
      <c r="J11" s="303"/>
      <c r="K11" s="303"/>
      <c r="L11" s="303"/>
      <c r="M11" s="303"/>
    </row>
    <row r="12" spans="1:13">
      <c r="A12" s="303"/>
      <c r="B12" s="308" t="s">
        <v>255</v>
      </c>
      <c r="C12" s="309"/>
      <c r="D12" s="310"/>
      <c r="E12" s="311"/>
      <c r="F12" s="311"/>
      <c r="G12" s="311"/>
      <c r="H12" s="311"/>
      <c r="I12" s="303"/>
      <c r="J12" s="303"/>
      <c r="K12" s="303"/>
      <c r="L12" s="303"/>
      <c r="M12" s="303"/>
    </row>
    <row r="13" spans="1:13">
      <c r="A13" s="303"/>
      <c r="B13" s="308" t="s">
        <v>256</v>
      </c>
      <c r="C13" s="309"/>
      <c r="D13" s="310"/>
      <c r="E13" s="311"/>
      <c r="F13" s="311"/>
      <c r="G13" s="311"/>
      <c r="H13" s="311"/>
      <c r="I13" s="303"/>
      <c r="J13" s="303"/>
      <c r="K13" s="303"/>
      <c r="L13" s="303"/>
      <c r="M13" s="303"/>
    </row>
    <row r="14" spans="1:13">
      <c r="A14" s="303"/>
      <c r="B14" s="308" t="s">
        <v>257</v>
      </c>
      <c r="C14" s="309"/>
      <c r="D14" s="310"/>
      <c r="E14" s="311"/>
      <c r="F14" s="311"/>
      <c r="G14" s="311"/>
      <c r="H14" s="311"/>
      <c r="I14" s="303"/>
      <c r="J14" s="303"/>
      <c r="K14" s="303"/>
      <c r="L14" s="303"/>
      <c r="M14" s="303"/>
    </row>
    <row r="15" spans="1:13">
      <c r="A15" s="303"/>
      <c r="B15" s="308" t="s">
        <v>258</v>
      </c>
      <c r="C15" s="309"/>
      <c r="D15" s="310"/>
      <c r="E15" s="311"/>
      <c r="F15" s="311"/>
      <c r="G15" s="311"/>
      <c r="H15" s="311"/>
      <c r="I15" s="303"/>
      <c r="J15" s="303"/>
      <c r="K15" s="303"/>
      <c r="L15" s="303"/>
      <c r="M15" s="303"/>
    </row>
    <row r="16" spans="1:13">
      <c r="A16" s="303"/>
      <c r="B16" s="308" t="s">
        <v>259</v>
      </c>
      <c r="C16" s="309"/>
      <c r="D16" s="310"/>
      <c r="E16" s="311"/>
      <c r="F16" s="311"/>
      <c r="G16" s="311"/>
      <c r="H16" s="311"/>
      <c r="I16" s="303"/>
      <c r="J16" s="303"/>
      <c r="K16" s="303"/>
      <c r="L16" s="303"/>
      <c r="M16" s="303"/>
    </row>
    <row r="17" spans="1:13">
      <c r="A17" s="303"/>
      <c r="B17" s="308" t="s">
        <v>260</v>
      </c>
      <c r="C17" s="309"/>
      <c r="D17" s="310"/>
      <c r="E17" s="311"/>
      <c r="F17" s="311"/>
      <c r="G17" s="311"/>
      <c r="H17" s="311"/>
      <c r="I17" s="303"/>
      <c r="J17" s="303"/>
      <c r="K17" s="303"/>
      <c r="L17" s="303"/>
      <c r="M17" s="303"/>
    </row>
    <row r="18" spans="1:13">
      <c r="A18" s="303"/>
      <c r="B18" s="308" t="s">
        <v>261</v>
      </c>
      <c r="C18" s="309"/>
      <c r="D18" s="310"/>
      <c r="E18" s="311"/>
      <c r="F18" s="311"/>
      <c r="G18" s="311"/>
      <c r="H18" s="311"/>
      <c r="I18" s="303"/>
      <c r="J18" s="303"/>
      <c r="K18" s="303"/>
      <c r="L18" s="303"/>
      <c r="M18" s="303"/>
    </row>
    <row r="19" spans="1:13">
      <c r="A19" s="303"/>
      <c r="B19" s="303"/>
      <c r="C19" s="303"/>
      <c r="D19" s="303"/>
      <c r="E19" s="303"/>
      <c r="F19" s="303"/>
      <c r="G19" s="303"/>
      <c r="H19" s="303"/>
      <c r="I19" s="303"/>
      <c r="J19" s="303"/>
      <c r="K19" s="303"/>
      <c r="L19" s="303"/>
      <c r="M19" s="303"/>
    </row>
    <row r="20" spans="1:13">
      <c r="A20" s="303"/>
      <c r="B20" s="14"/>
      <c r="C20" s="303"/>
      <c r="D20" s="303"/>
      <c r="E20" s="303"/>
      <c r="F20" s="303"/>
      <c r="G20" s="303"/>
      <c r="H20" s="303"/>
      <c r="I20" s="303"/>
      <c r="J20" s="303"/>
      <c r="K20" s="303"/>
      <c r="L20" s="303"/>
    </row>
    <row r="21" spans="1:13">
      <c r="A21" s="303"/>
      <c r="B21" s="312" t="s">
        <v>262</v>
      </c>
      <c r="C21" s="303"/>
      <c r="D21" s="303"/>
      <c r="E21" s="303"/>
      <c r="F21" s="303"/>
      <c r="G21" s="303"/>
      <c r="H21" s="303"/>
      <c r="I21" s="303"/>
      <c r="J21" s="303"/>
      <c r="K21" s="303"/>
      <c r="L21" s="303"/>
    </row>
    <row r="22" spans="1:13">
      <c r="A22" s="303"/>
      <c r="B22" s="312" t="s">
        <v>263</v>
      </c>
      <c r="C22" s="303"/>
      <c r="D22" s="303"/>
      <c r="E22" s="303"/>
      <c r="F22" s="303"/>
      <c r="G22" s="303"/>
      <c r="H22" s="303"/>
      <c r="I22" s="303"/>
      <c r="J22" s="303"/>
      <c r="K22" s="303"/>
      <c r="L22" s="303"/>
    </row>
    <row r="23" spans="1:13">
      <c r="A23" s="303"/>
      <c r="B23" s="312" t="s">
        <v>264</v>
      </c>
      <c r="C23" s="303"/>
      <c r="D23" s="303"/>
      <c r="E23" s="303"/>
      <c r="F23" s="303"/>
      <c r="G23" s="303"/>
      <c r="H23" s="303"/>
      <c r="I23" s="303"/>
      <c r="J23" s="303"/>
      <c r="K23" s="303"/>
      <c r="L23" s="303"/>
    </row>
    <row r="24" spans="1:13">
      <c r="B24" s="312" t="s">
        <v>265</v>
      </c>
    </row>
    <row r="25" spans="1:13">
      <c r="B25" s="312" t="s">
        <v>266</v>
      </c>
    </row>
    <row r="26" spans="1:13">
      <c r="B26" s="312" t="s">
        <v>267</v>
      </c>
    </row>
    <row r="27" spans="1:13">
      <c r="B27" s="312" t="s">
        <v>268</v>
      </c>
    </row>
    <row r="28" spans="1:13">
      <c r="B28" s="312" t="s">
        <v>269</v>
      </c>
    </row>
    <row r="29" spans="1:13">
      <c r="B29" s="312" t="s">
        <v>270</v>
      </c>
    </row>
    <row r="30" spans="1:13">
      <c r="B30" s="312" t="s">
        <v>271</v>
      </c>
    </row>
    <row r="31" spans="1:13">
      <c r="B31" s="313" t="s">
        <v>272</v>
      </c>
    </row>
    <row r="32" spans="1:13">
      <c r="B32" s="312" t="s">
        <v>273</v>
      </c>
    </row>
    <row r="33" spans="2:5">
      <c r="B33" s="312" t="s">
        <v>274</v>
      </c>
    </row>
    <row r="34" spans="2:5">
      <c r="B34" s="312" t="s">
        <v>275</v>
      </c>
    </row>
    <row r="35" spans="2:5">
      <c r="B35" s="312" t="s">
        <v>276</v>
      </c>
      <c r="E35" s="312"/>
    </row>
    <row r="36" spans="2:5">
      <c r="B36" s="312" t="s">
        <v>277</v>
      </c>
    </row>
    <row r="37" spans="2:5">
      <c r="B37" s="312" t="s">
        <v>278</v>
      </c>
    </row>
    <row r="38" spans="2:5">
      <c r="B38" s="312" t="s">
        <v>279</v>
      </c>
    </row>
    <row r="39" spans="2:5">
      <c r="B39" s="312" t="s">
        <v>280</v>
      </c>
    </row>
  </sheetData>
  <mergeCells count="11">
    <mergeCell ref="D14:H14"/>
    <mergeCell ref="D15:H15"/>
    <mergeCell ref="D16:H16"/>
    <mergeCell ref="D17:H17"/>
    <mergeCell ref="D18:H18"/>
    <mergeCell ref="D8:H8"/>
    <mergeCell ref="D9:H9"/>
    <mergeCell ref="D10:H10"/>
    <mergeCell ref="D11:H11"/>
    <mergeCell ref="D12:H12"/>
    <mergeCell ref="D13:H13"/>
  </mergeCells>
  <hyperlinks>
    <hyperlink ref="B21" location="'R1 - RoRE'!A1" display="R1 - RoRE" xr:uid="{780A6E15-2857-4B37-9B20-465B5E6ECE77}"/>
    <hyperlink ref="B22" location="'R2 - Rec to Revenue and Profit'!A1" display="R2 - Rec to Revenue and Profit" xr:uid="{3A91456A-8701-4B58-9729-B0EB77848515}"/>
    <hyperlink ref="B23" location="'R3 - Totex - Reconciliation'!A1" display="R3 - Totex - Reconciliation" xr:uid="{371D292A-B646-48D3-B47B-3EEB8DD4D987}"/>
    <hyperlink ref="B24" location="'R4 - Incentives and Other Rev'!A1" display="R4 - Incentives and Other Rev" xr:uid="{D863AA44-0B7B-4173-99CB-332AD86A7880}"/>
    <hyperlink ref="B25" location="'R5 - Financing'!A1" display="R5 - Financing" xr:uid="{D92E6D2A-F9B5-4CDB-85E4-2C741755C90C}"/>
    <hyperlink ref="B27" location="'R6 - Net Debt'!A1" display="R6 - Net Debt" xr:uid="{9F7F2E0E-DF9A-4E72-B20B-421DF3717041}"/>
    <hyperlink ref="B29" location="'R7 - RAV'!A1" display="R7 - RAV" xr:uid="{60F2B4F0-7827-429F-A5E2-6DFE3980E1E5}"/>
    <hyperlink ref="B30" location="'R8 - Tax'!A1" display="R8 - Tax" xr:uid="{EEF3F772-D746-4338-BE12-D74C9363402D}"/>
    <hyperlink ref="B26" location="'R5a - Financing input'!A1" display="R5a - Financing input" xr:uid="{71FED6E1-75C5-435C-BAE0-4C2188EEA71A}"/>
    <hyperlink ref="B28" location="'R6a - Net Debt input'!A1" display="R6a - Net Debt input" xr:uid="{A438FC78-9D31-484F-A76D-B1799B4CDA1A}"/>
    <hyperlink ref="B32" location="'R9 - Corporate Governance'!A1" display="R9 - Corporate Governance" xr:uid="{747D4A8C-D0DE-4304-A6DB-D7AE6F32B6CB}"/>
    <hyperlink ref="B33" location="'R10 - Pensions &amp; Oth Activities'!A1" display="R10 - Pensions &amp; other Activities" xr:uid="{5F9D7B76-B64A-4CA8-8CE9-A044CF9A2154}"/>
    <hyperlink ref="B31" location="'R8a - Tax Reconciliation'!A1" display="R8a - Tax Reconciliation" xr:uid="{91A3F0DF-B1C6-4A5C-83E8-2FEFD10D26A4}"/>
    <hyperlink ref="B34" location="'F3 - Fixed Rate Debt'!A1" display="F3 - Fixed Rate Debt" xr:uid="{1151B6AA-5985-4EA8-94D1-FA0F2360A3D2}"/>
    <hyperlink ref="B35" location="'F4 - Floating Rate Debt'!A1" display="F4 - Floating Rate Debt" xr:uid="{93D54535-5806-4543-88EF-88B8A5DE23D4}"/>
    <hyperlink ref="B36" location="'F5 - Inflation Linked Debt'!A1" display="F5 - Inflation Linked Debt" xr:uid="{D06C5BCB-15BB-40A8-9798-49C00FE61742}"/>
    <hyperlink ref="B37" location="'F6 - Debt Dataset'!A1" display="F6 - Debt Dataset" xr:uid="{7AA83017-68E7-400C-B0F6-BA9E33DB1088}"/>
    <hyperlink ref="B38" location="'I1 - Universal Data'!A1" display="I1 - Universal Data" xr:uid="{AEEE0913-64C7-4354-AAA0-569AE50A0674}"/>
    <hyperlink ref="B39" location="'I2 - Monthly Inflation'!A1" display="I2 - Monthly Inflation" xr:uid="{476EE98B-3132-4EF4-98D4-1AFE253DC79E}"/>
  </hyperlinks>
  <pageMargins left="0.70866141732283472" right="0.70866141732283472" top="0.74803149606299213" bottom="0.74803149606299213" header="0.31496062992125984" footer="0.31496062992125984"/>
  <pageSetup scale="77" orientation="portrait" r:id="rId1"/>
  <headerFooter>
    <oddFooter>&amp;C_x000D_&amp;1#&amp;"Calibri"&amp;10&amp;K000000 OFFICIAL-InternalOnly</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3B533-4A6C-46F6-BAC9-5BD3F8962ED2}">
  <sheetPr>
    <pageSetUpPr fitToPage="1"/>
  </sheetPr>
  <dimension ref="A1:J132"/>
  <sheetViews>
    <sheetView topLeftCell="A105" zoomScale="80" zoomScaleNormal="80" workbookViewId="0">
      <selection activeCell="E18" sqref="E18"/>
    </sheetView>
  </sheetViews>
  <sheetFormatPr defaultRowHeight="13.5"/>
  <cols>
    <col min="1" max="1" width="9.765625" customWidth="1"/>
    <col min="2" max="2" width="21.765625" customWidth="1"/>
    <col min="3" max="3" width="142.15234375" customWidth="1"/>
    <col min="4" max="4" width="18.84375" customWidth="1"/>
    <col min="5" max="5" width="35.4609375" customWidth="1"/>
    <col min="6" max="6" width="41.765625" customWidth="1"/>
  </cols>
  <sheetData>
    <row r="1" spans="1:10" ht="20">
      <c r="A1" s="314" t="s">
        <v>281</v>
      </c>
      <c r="B1" s="314"/>
      <c r="C1" s="314"/>
      <c r="D1" s="314"/>
      <c r="E1" s="314"/>
    </row>
    <row r="2" spans="1:10" ht="20">
      <c r="A2" s="35" t="str">
        <f>Licensee</f>
        <v>NGET (TO)</v>
      </c>
      <c r="B2" s="314"/>
      <c r="C2" s="314"/>
      <c r="D2" s="314"/>
      <c r="E2" s="314"/>
    </row>
    <row r="3" spans="1:10" ht="20">
      <c r="A3" s="2">
        <f>Reporting_Year</f>
        <v>2026</v>
      </c>
      <c r="B3" s="314"/>
      <c r="C3" s="314"/>
      <c r="D3" s="314"/>
      <c r="E3" s="314"/>
    </row>
    <row r="4" spans="1:10" ht="20">
      <c r="A4" s="315"/>
      <c r="B4" s="315"/>
      <c r="C4" s="315"/>
      <c r="D4" s="315"/>
      <c r="E4" s="315"/>
    </row>
    <row r="5" spans="1:10" ht="14">
      <c r="A5" s="316" t="s">
        <v>282</v>
      </c>
      <c r="B5" s="317" t="s">
        <v>283</v>
      </c>
      <c r="C5" s="318" t="s">
        <v>284</v>
      </c>
      <c r="D5" s="319" t="s">
        <v>285</v>
      </c>
    </row>
    <row r="6" spans="1:10">
      <c r="A6" s="57" t="s">
        <v>286</v>
      </c>
      <c r="B6" s="320" t="s">
        <v>287</v>
      </c>
      <c r="C6" s="321" t="s">
        <v>288</v>
      </c>
      <c r="D6" s="320" t="s">
        <v>289</v>
      </c>
    </row>
    <row r="7" spans="1:10">
      <c r="A7" s="57" t="s">
        <v>286</v>
      </c>
      <c r="B7" s="320" t="s">
        <v>290</v>
      </c>
      <c r="C7" s="321" t="s">
        <v>291</v>
      </c>
      <c r="D7" s="320" t="s">
        <v>289</v>
      </c>
    </row>
    <row r="8" spans="1:10" ht="27">
      <c r="A8" s="57" t="s">
        <v>286</v>
      </c>
      <c r="B8" s="320" t="s">
        <v>292</v>
      </c>
      <c r="C8" s="321" t="s">
        <v>293</v>
      </c>
      <c r="D8" s="320" t="s">
        <v>289</v>
      </c>
    </row>
    <row r="9" spans="1:10" ht="34.4" customHeight="1">
      <c r="A9" s="57" t="s">
        <v>286</v>
      </c>
      <c r="B9" s="320" t="s">
        <v>294</v>
      </c>
      <c r="C9" s="321" t="s">
        <v>295</v>
      </c>
      <c r="D9" s="320" t="s">
        <v>289</v>
      </c>
    </row>
    <row r="10" spans="1:10">
      <c r="A10" s="57" t="s">
        <v>286</v>
      </c>
      <c r="B10" s="320" t="s">
        <v>296</v>
      </c>
      <c r="C10" s="321" t="s">
        <v>297</v>
      </c>
      <c r="D10" s="320" t="s">
        <v>289</v>
      </c>
    </row>
    <row r="11" spans="1:10" ht="27">
      <c r="A11" s="57" t="s">
        <v>286</v>
      </c>
      <c r="B11" s="320" t="s">
        <v>263</v>
      </c>
      <c r="C11" s="321" t="s">
        <v>298</v>
      </c>
      <c r="D11" s="320" t="s">
        <v>299</v>
      </c>
      <c r="J11" s="111"/>
    </row>
    <row r="12" spans="1:10" ht="27">
      <c r="A12" s="57" t="s">
        <v>286</v>
      </c>
      <c r="B12" s="320" t="s">
        <v>300</v>
      </c>
      <c r="C12" s="321" t="s">
        <v>301</v>
      </c>
      <c r="D12" s="320" t="s">
        <v>302</v>
      </c>
    </row>
    <row r="13" spans="1:10">
      <c r="A13" s="57" t="s">
        <v>286</v>
      </c>
      <c r="B13" s="320" t="s">
        <v>303</v>
      </c>
      <c r="C13" s="321" t="s">
        <v>304</v>
      </c>
      <c r="D13" s="320" t="s">
        <v>305</v>
      </c>
    </row>
    <row r="14" spans="1:10">
      <c r="A14" s="57" t="s">
        <v>286</v>
      </c>
      <c r="B14" s="320" t="s">
        <v>306</v>
      </c>
      <c r="C14" s="321" t="s">
        <v>307</v>
      </c>
      <c r="D14" s="320" t="s">
        <v>88</v>
      </c>
    </row>
    <row r="15" spans="1:10">
      <c r="A15" s="57" t="s">
        <v>286</v>
      </c>
      <c r="B15" s="320" t="s">
        <v>308</v>
      </c>
      <c r="C15" s="321" t="s">
        <v>309</v>
      </c>
      <c r="D15" s="320" t="s">
        <v>310</v>
      </c>
    </row>
    <row r="16" spans="1:10" ht="74.25" customHeight="1">
      <c r="A16" s="57" t="s">
        <v>286</v>
      </c>
      <c r="B16" s="320" t="s">
        <v>270</v>
      </c>
      <c r="C16" s="321" t="s">
        <v>311</v>
      </c>
      <c r="D16" s="320" t="s">
        <v>92</v>
      </c>
    </row>
    <row r="17" spans="1:4" ht="20.25" customHeight="1">
      <c r="A17" s="57" t="s">
        <v>286</v>
      </c>
      <c r="B17" s="320" t="s">
        <v>308</v>
      </c>
      <c r="C17" s="321" t="s">
        <v>312</v>
      </c>
      <c r="D17" s="320" t="s">
        <v>221</v>
      </c>
    </row>
    <row r="18" spans="1:4" ht="21" customHeight="1">
      <c r="A18" s="57" t="s">
        <v>286</v>
      </c>
      <c r="B18" s="320" t="s">
        <v>308</v>
      </c>
      <c r="C18" s="321" t="s">
        <v>313</v>
      </c>
      <c r="D18" s="320" t="s">
        <v>221</v>
      </c>
    </row>
    <row r="19" spans="1:4" ht="21" customHeight="1">
      <c r="A19" s="57" t="s">
        <v>286</v>
      </c>
      <c r="B19" s="320" t="s">
        <v>314</v>
      </c>
      <c r="C19" s="321" t="s">
        <v>315</v>
      </c>
      <c r="D19" s="320" t="s">
        <v>221</v>
      </c>
    </row>
    <row r="20" spans="1:4" ht="38.9" customHeight="1">
      <c r="A20" s="57" t="s">
        <v>286</v>
      </c>
      <c r="B20" s="320" t="s">
        <v>316</v>
      </c>
      <c r="C20" s="322" t="s">
        <v>317</v>
      </c>
      <c r="D20" s="320" t="s">
        <v>221</v>
      </c>
    </row>
    <row r="21" spans="1:4">
      <c r="A21" s="57" t="s">
        <v>286</v>
      </c>
      <c r="B21" s="320" t="s">
        <v>290</v>
      </c>
      <c r="C21" s="321" t="s">
        <v>318</v>
      </c>
      <c r="D21" s="320" t="s">
        <v>221</v>
      </c>
    </row>
    <row r="22" spans="1:4" ht="27">
      <c r="A22" s="323" t="s">
        <v>286</v>
      </c>
      <c r="B22" s="320" t="s">
        <v>319</v>
      </c>
      <c r="C22" s="321" t="s">
        <v>320</v>
      </c>
      <c r="D22" s="324" t="s">
        <v>289</v>
      </c>
    </row>
    <row r="23" spans="1:4" ht="27">
      <c r="A23" s="323" t="s">
        <v>286</v>
      </c>
      <c r="B23" s="320" t="s">
        <v>321</v>
      </c>
      <c r="C23" s="321" t="s">
        <v>322</v>
      </c>
      <c r="D23" s="324" t="s">
        <v>289</v>
      </c>
    </row>
    <row r="24" spans="1:4">
      <c r="A24" s="323" t="s">
        <v>286</v>
      </c>
      <c r="B24" s="320" t="s">
        <v>323</v>
      </c>
      <c r="C24" s="321" t="s">
        <v>324</v>
      </c>
      <c r="D24" s="324" t="s">
        <v>289</v>
      </c>
    </row>
    <row r="25" spans="1:4">
      <c r="A25" s="323" t="s">
        <v>286</v>
      </c>
      <c r="B25" s="320" t="s">
        <v>325</v>
      </c>
      <c r="C25" s="321" t="s">
        <v>326</v>
      </c>
      <c r="D25" s="324" t="s">
        <v>289</v>
      </c>
    </row>
    <row r="26" spans="1:4" ht="57.75" customHeight="1">
      <c r="A26" s="323" t="s">
        <v>286</v>
      </c>
      <c r="B26" s="320" t="s">
        <v>327</v>
      </c>
      <c r="C26" s="321" t="s">
        <v>328</v>
      </c>
      <c r="D26" s="52" t="s">
        <v>85</v>
      </c>
    </row>
    <row r="27" spans="1:4" ht="63.75" customHeight="1">
      <c r="A27" s="323" t="s">
        <v>286</v>
      </c>
      <c r="B27" s="320" t="s">
        <v>329</v>
      </c>
      <c r="C27" s="321" t="s">
        <v>330</v>
      </c>
      <c r="D27" s="52" t="s">
        <v>85</v>
      </c>
    </row>
    <row r="28" spans="1:4" ht="24" customHeight="1">
      <c r="A28" s="323" t="s">
        <v>286</v>
      </c>
      <c r="B28" s="320" t="s">
        <v>331</v>
      </c>
      <c r="C28" s="321" t="s">
        <v>332</v>
      </c>
      <c r="D28" s="52" t="s">
        <v>333</v>
      </c>
    </row>
    <row r="29" spans="1:4" ht="40.5">
      <c r="A29" s="323" t="s">
        <v>286</v>
      </c>
      <c r="B29" s="320" t="s">
        <v>334</v>
      </c>
      <c r="C29" s="321" t="s">
        <v>335</v>
      </c>
      <c r="D29" s="320" t="s">
        <v>336</v>
      </c>
    </row>
    <row r="30" spans="1:4">
      <c r="A30" s="323" t="s">
        <v>286</v>
      </c>
      <c r="B30" s="320" t="s">
        <v>270</v>
      </c>
      <c r="C30" s="321" t="s">
        <v>337</v>
      </c>
      <c r="D30" s="320" t="s">
        <v>29</v>
      </c>
    </row>
    <row r="31" spans="1:4">
      <c r="A31" s="323" t="s">
        <v>286</v>
      </c>
      <c r="B31" s="320" t="s">
        <v>338</v>
      </c>
      <c r="C31" s="321" t="s">
        <v>339</v>
      </c>
      <c r="D31" s="320" t="s">
        <v>340</v>
      </c>
    </row>
    <row r="32" spans="1:4">
      <c r="A32" s="323" t="s">
        <v>286</v>
      </c>
      <c r="B32" s="320" t="s">
        <v>341</v>
      </c>
      <c r="C32" s="321" t="s">
        <v>342</v>
      </c>
      <c r="D32" s="320" t="s">
        <v>289</v>
      </c>
    </row>
    <row r="33" spans="1:4">
      <c r="A33" s="323" t="s">
        <v>286</v>
      </c>
      <c r="B33" s="320" t="s">
        <v>341</v>
      </c>
      <c r="C33" s="321" t="s">
        <v>343</v>
      </c>
      <c r="D33" s="320" t="s">
        <v>289</v>
      </c>
    </row>
    <row r="34" spans="1:4">
      <c r="A34" s="323" t="s">
        <v>286</v>
      </c>
      <c r="B34" s="320" t="s">
        <v>344</v>
      </c>
      <c r="C34" s="321" t="s">
        <v>345</v>
      </c>
      <c r="D34" s="320" t="s">
        <v>289</v>
      </c>
    </row>
    <row r="35" spans="1:4">
      <c r="A35" s="323" t="s">
        <v>286</v>
      </c>
      <c r="B35" s="320" t="s">
        <v>346</v>
      </c>
      <c r="C35" s="321" t="s">
        <v>347</v>
      </c>
      <c r="D35" s="320" t="s">
        <v>289</v>
      </c>
    </row>
    <row r="36" spans="1:4">
      <c r="A36" s="323" t="s">
        <v>286</v>
      </c>
      <c r="B36" s="320" t="s">
        <v>348</v>
      </c>
      <c r="C36" s="321" t="s">
        <v>349</v>
      </c>
      <c r="D36" s="320" t="s">
        <v>350</v>
      </c>
    </row>
    <row r="37" spans="1:4" ht="15" customHeight="1">
      <c r="A37" s="323" t="s">
        <v>286</v>
      </c>
      <c r="B37" s="320" t="s">
        <v>348</v>
      </c>
      <c r="C37" s="321" t="s">
        <v>351</v>
      </c>
      <c r="D37" s="320" t="s">
        <v>350</v>
      </c>
    </row>
    <row r="38" spans="1:4" ht="17.899999999999999" customHeight="1">
      <c r="A38" s="323" t="s">
        <v>286</v>
      </c>
      <c r="B38" s="320" t="s">
        <v>348</v>
      </c>
      <c r="C38" s="321" t="s">
        <v>352</v>
      </c>
      <c r="D38" s="320" t="s">
        <v>221</v>
      </c>
    </row>
    <row r="39" spans="1:4" ht="26.25" customHeight="1">
      <c r="A39" s="323" t="s">
        <v>286</v>
      </c>
      <c r="B39" s="320" t="s">
        <v>348</v>
      </c>
      <c r="C39" s="321" t="s">
        <v>353</v>
      </c>
      <c r="D39" s="320" t="s">
        <v>350</v>
      </c>
    </row>
    <row r="40" spans="1:4">
      <c r="A40" s="323" t="s">
        <v>286</v>
      </c>
      <c r="B40" s="320" t="s">
        <v>344</v>
      </c>
      <c r="C40" s="321" t="s">
        <v>354</v>
      </c>
      <c r="D40" s="320" t="s">
        <v>221</v>
      </c>
    </row>
    <row r="41" spans="1:4">
      <c r="A41" s="323" t="s">
        <v>286</v>
      </c>
      <c r="B41" s="320" t="s">
        <v>355</v>
      </c>
      <c r="C41" s="321" t="s">
        <v>356</v>
      </c>
      <c r="D41" s="320" t="s">
        <v>289</v>
      </c>
    </row>
    <row r="42" spans="1:4">
      <c r="A42" s="323" t="s">
        <v>286</v>
      </c>
      <c r="B42" s="320" t="s">
        <v>357</v>
      </c>
      <c r="C42" s="321" t="s">
        <v>358</v>
      </c>
      <c r="D42" s="320" t="s">
        <v>359</v>
      </c>
    </row>
    <row r="43" spans="1:4">
      <c r="A43" s="323" t="s">
        <v>286</v>
      </c>
      <c r="B43" s="320" t="s">
        <v>360</v>
      </c>
      <c r="C43" s="321" t="s">
        <v>361</v>
      </c>
      <c r="D43" s="320" t="s">
        <v>289</v>
      </c>
    </row>
    <row r="44" spans="1:4">
      <c r="A44" s="323"/>
      <c r="B44" s="325" t="s">
        <v>362</v>
      </c>
      <c r="C44" s="321" t="s">
        <v>363</v>
      </c>
      <c r="D44" s="320" t="s">
        <v>289</v>
      </c>
    </row>
    <row r="45" spans="1:4">
      <c r="A45" s="323"/>
      <c r="B45" s="325" t="s">
        <v>364</v>
      </c>
      <c r="C45" s="321" t="s">
        <v>365</v>
      </c>
      <c r="D45" s="320" t="s">
        <v>289</v>
      </c>
    </row>
    <row r="46" spans="1:4">
      <c r="A46" s="323" t="s">
        <v>286</v>
      </c>
      <c r="B46" s="320" t="s">
        <v>366</v>
      </c>
      <c r="C46" s="321" t="s">
        <v>367</v>
      </c>
      <c r="D46" s="320" t="s">
        <v>289</v>
      </c>
    </row>
    <row r="47" spans="1:4">
      <c r="A47" s="323" t="s">
        <v>286</v>
      </c>
      <c r="B47" s="320" t="s">
        <v>368</v>
      </c>
      <c r="C47" s="321" t="s">
        <v>369</v>
      </c>
      <c r="D47" s="320" t="s">
        <v>289</v>
      </c>
    </row>
    <row r="48" spans="1:4">
      <c r="A48" s="323" t="s">
        <v>286</v>
      </c>
      <c r="B48" s="320" t="s">
        <v>368</v>
      </c>
      <c r="C48" s="321" t="s">
        <v>370</v>
      </c>
      <c r="D48" s="320" t="s">
        <v>289</v>
      </c>
    </row>
    <row r="49" spans="1:4">
      <c r="A49" s="323" t="s">
        <v>286</v>
      </c>
      <c r="B49" s="320" t="s">
        <v>368</v>
      </c>
      <c r="C49" s="321" t="s">
        <v>371</v>
      </c>
      <c r="D49" s="320" t="s">
        <v>372</v>
      </c>
    </row>
    <row r="50" spans="1:4">
      <c r="A50" s="323" t="s">
        <v>286</v>
      </c>
      <c r="B50" s="320" t="s">
        <v>368</v>
      </c>
      <c r="C50" s="321" t="s">
        <v>373</v>
      </c>
      <c r="D50" s="320" t="s">
        <v>374</v>
      </c>
    </row>
    <row r="51" spans="1:4">
      <c r="A51" s="323" t="s">
        <v>286</v>
      </c>
      <c r="B51" s="320" t="s">
        <v>375</v>
      </c>
      <c r="C51" s="321" t="s">
        <v>376</v>
      </c>
      <c r="D51" s="320" t="s">
        <v>377</v>
      </c>
    </row>
    <row r="52" spans="1:4">
      <c r="A52" s="323" t="s">
        <v>286</v>
      </c>
      <c r="B52" s="320" t="s">
        <v>308</v>
      </c>
      <c r="C52" s="321" t="s">
        <v>378</v>
      </c>
      <c r="D52" s="320" t="s">
        <v>379</v>
      </c>
    </row>
    <row r="53" spans="1:4">
      <c r="A53" s="323" t="s">
        <v>286</v>
      </c>
      <c r="B53" s="320" t="s">
        <v>380</v>
      </c>
      <c r="C53" s="321" t="s">
        <v>381</v>
      </c>
      <c r="D53" s="320" t="s">
        <v>379</v>
      </c>
    </row>
    <row r="54" spans="1:4">
      <c r="A54" s="323" t="s">
        <v>286</v>
      </c>
      <c r="B54" s="320" t="s">
        <v>382</v>
      </c>
      <c r="C54" s="321" t="s">
        <v>383</v>
      </c>
      <c r="D54" s="52" t="s">
        <v>289</v>
      </c>
    </row>
    <row r="55" spans="1:4" ht="54">
      <c r="A55" s="323" t="s">
        <v>384</v>
      </c>
      <c r="B55" s="320" t="s">
        <v>385</v>
      </c>
      <c r="C55" s="321" t="s">
        <v>386</v>
      </c>
      <c r="D55" s="324" t="s">
        <v>289</v>
      </c>
    </row>
    <row r="56" spans="1:4" ht="54">
      <c r="A56" s="323" t="s">
        <v>384</v>
      </c>
      <c r="B56" s="320" t="s">
        <v>387</v>
      </c>
      <c r="C56" s="321" t="s">
        <v>388</v>
      </c>
      <c r="D56" s="324" t="s">
        <v>289</v>
      </c>
    </row>
    <row r="57" spans="1:4">
      <c r="A57" s="323" t="s">
        <v>384</v>
      </c>
      <c r="B57" s="320" t="s">
        <v>389</v>
      </c>
      <c r="C57" s="321" t="s">
        <v>390</v>
      </c>
      <c r="D57" s="324" t="s">
        <v>289</v>
      </c>
    </row>
    <row r="58" spans="1:4">
      <c r="A58" s="323" t="s">
        <v>384</v>
      </c>
      <c r="B58" s="320" t="s">
        <v>375</v>
      </c>
      <c r="C58" s="321" t="s">
        <v>391</v>
      </c>
      <c r="D58" s="324" t="s">
        <v>289</v>
      </c>
    </row>
    <row r="59" spans="1:4">
      <c r="A59" s="323" t="s">
        <v>384</v>
      </c>
      <c r="B59" s="320" t="s">
        <v>392</v>
      </c>
      <c r="C59" s="321" t="s">
        <v>393</v>
      </c>
      <c r="D59" s="324" t="s">
        <v>394</v>
      </c>
    </row>
    <row r="60" spans="1:4">
      <c r="A60" s="323" t="s">
        <v>384</v>
      </c>
      <c r="B60" s="320" t="s">
        <v>344</v>
      </c>
      <c r="C60" s="321" t="s">
        <v>395</v>
      </c>
      <c r="D60" s="324" t="s">
        <v>394</v>
      </c>
    </row>
    <row r="61" spans="1:4">
      <c r="A61" s="323" t="s">
        <v>384</v>
      </c>
      <c r="B61" s="320" t="s">
        <v>396</v>
      </c>
      <c r="C61" s="321" t="s">
        <v>397</v>
      </c>
      <c r="D61" s="324" t="s">
        <v>398</v>
      </c>
    </row>
    <row r="62" spans="1:4">
      <c r="A62" s="323" t="s">
        <v>384</v>
      </c>
      <c r="B62" s="320" t="s">
        <v>385</v>
      </c>
      <c r="C62" s="321" t="s">
        <v>399</v>
      </c>
      <c r="D62" s="324" t="s">
        <v>221</v>
      </c>
    </row>
    <row r="63" spans="1:4">
      <c r="A63" s="323" t="s">
        <v>384</v>
      </c>
      <c r="B63" s="320" t="s">
        <v>400</v>
      </c>
      <c r="C63" s="321" t="s">
        <v>401</v>
      </c>
      <c r="D63" s="324" t="s">
        <v>289</v>
      </c>
    </row>
    <row r="64" spans="1:4">
      <c r="A64" s="323" t="s">
        <v>384</v>
      </c>
      <c r="B64" s="320" t="s">
        <v>279</v>
      </c>
      <c r="C64" s="321" t="s">
        <v>402</v>
      </c>
      <c r="D64" s="324" t="s">
        <v>289</v>
      </c>
    </row>
    <row r="65" spans="1:4">
      <c r="A65" s="323" t="s">
        <v>384</v>
      </c>
      <c r="B65" s="320" t="s">
        <v>279</v>
      </c>
      <c r="C65" s="321" t="s">
        <v>403</v>
      </c>
      <c r="D65" s="324" t="s">
        <v>289</v>
      </c>
    </row>
    <row r="66" spans="1:4">
      <c r="A66" s="323" t="s">
        <v>384</v>
      </c>
      <c r="B66" s="320" t="s">
        <v>280</v>
      </c>
      <c r="C66" s="321" t="s">
        <v>404</v>
      </c>
      <c r="D66" s="324" t="s">
        <v>289</v>
      </c>
    </row>
    <row r="67" spans="1:4">
      <c r="A67" s="323" t="s">
        <v>384</v>
      </c>
      <c r="B67" s="320" t="s">
        <v>341</v>
      </c>
      <c r="C67" s="321" t="s">
        <v>405</v>
      </c>
      <c r="D67" s="324" t="s">
        <v>289</v>
      </c>
    </row>
    <row r="68" spans="1:4">
      <c r="A68" s="323" t="s">
        <v>406</v>
      </c>
      <c r="B68" s="320" t="s">
        <v>407</v>
      </c>
      <c r="C68" s="321" t="s">
        <v>408</v>
      </c>
      <c r="D68" s="324" t="s">
        <v>289</v>
      </c>
    </row>
    <row r="69" spans="1:4">
      <c r="A69" s="323" t="s">
        <v>406</v>
      </c>
      <c r="B69" s="320" t="s">
        <v>409</v>
      </c>
      <c r="C69" s="321" t="s">
        <v>410</v>
      </c>
      <c r="D69" s="324" t="s">
        <v>289</v>
      </c>
    </row>
    <row r="70" spans="1:4">
      <c r="A70" s="323" t="s">
        <v>406</v>
      </c>
      <c r="B70" s="326" t="s">
        <v>409</v>
      </c>
      <c r="C70" s="321" t="s">
        <v>411</v>
      </c>
      <c r="D70" s="324" t="s">
        <v>289</v>
      </c>
    </row>
    <row r="71" spans="1:4">
      <c r="A71" s="323" t="s">
        <v>406</v>
      </c>
      <c r="B71" s="326" t="s">
        <v>409</v>
      </c>
      <c r="C71" s="321" t="s">
        <v>412</v>
      </c>
      <c r="D71" s="324" t="s">
        <v>289</v>
      </c>
    </row>
    <row r="72" spans="1:4">
      <c r="A72" s="323" t="s">
        <v>406</v>
      </c>
      <c r="B72" s="326" t="s">
        <v>409</v>
      </c>
      <c r="C72" s="321" t="s">
        <v>413</v>
      </c>
      <c r="D72" s="324" t="s">
        <v>289</v>
      </c>
    </row>
    <row r="73" spans="1:4" ht="27">
      <c r="A73" s="323" t="s">
        <v>406</v>
      </c>
      <c r="B73" s="326" t="s">
        <v>414</v>
      </c>
      <c r="C73" s="321" t="s">
        <v>415</v>
      </c>
      <c r="D73" s="324" t="s">
        <v>289</v>
      </c>
    </row>
    <row r="74" spans="1:4" ht="27">
      <c r="A74" s="323" t="s">
        <v>416</v>
      </c>
      <c r="B74" s="326" t="s">
        <v>417</v>
      </c>
      <c r="C74" s="321" t="s">
        <v>418</v>
      </c>
      <c r="D74" s="324" t="s">
        <v>419</v>
      </c>
    </row>
    <row r="75" spans="1:4" ht="27">
      <c r="A75" s="323" t="s">
        <v>416</v>
      </c>
      <c r="B75" s="326" t="s">
        <v>420</v>
      </c>
      <c r="C75" s="321" t="s">
        <v>421</v>
      </c>
      <c r="D75" s="324" t="s">
        <v>419</v>
      </c>
    </row>
    <row r="76" spans="1:4">
      <c r="A76" s="323" t="s">
        <v>416</v>
      </c>
      <c r="B76" s="326" t="s">
        <v>422</v>
      </c>
      <c r="C76" s="321" t="s">
        <v>423</v>
      </c>
      <c r="D76" s="324" t="s">
        <v>424</v>
      </c>
    </row>
    <row r="77" spans="1:4">
      <c r="A77" s="323" t="s">
        <v>416</v>
      </c>
      <c r="B77" s="327" t="s">
        <v>425</v>
      </c>
      <c r="C77" s="328" t="s">
        <v>426</v>
      </c>
      <c r="D77" s="329" t="s">
        <v>424</v>
      </c>
    </row>
    <row r="78" spans="1:4" ht="40.5">
      <c r="A78" s="323" t="s">
        <v>416</v>
      </c>
      <c r="B78" s="320" t="s">
        <v>427</v>
      </c>
      <c r="C78" s="321" t="s">
        <v>428</v>
      </c>
      <c r="D78" s="52" t="s">
        <v>289</v>
      </c>
    </row>
    <row r="79" spans="1:4">
      <c r="A79" s="323" t="s">
        <v>416</v>
      </c>
      <c r="B79" s="320" t="s">
        <v>429</v>
      </c>
      <c r="C79" s="321" t="s">
        <v>430</v>
      </c>
      <c r="D79" s="52" t="s">
        <v>289</v>
      </c>
    </row>
    <row r="80" spans="1:4">
      <c r="A80" s="323" t="s">
        <v>416</v>
      </c>
      <c r="B80" s="320" t="s">
        <v>334</v>
      </c>
      <c r="C80" s="321" t="s">
        <v>431</v>
      </c>
      <c r="D80" s="52" t="s">
        <v>289</v>
      </c>
    </row>
    <row r="81" spans="1:4">
      <c r="A81" s="323" t="s">
        <v>416</v>
      </c>
      <c r="B81" s="320" t="s">
        <v>334</v>
      </c>
      <c r="C81" s="321" t="s">
        <v>432</v>
      </c>
      <c r="D81" s="52" t="s">
        <v>289</v>
      </c>
    </row>
    <row r="82" spans="1:4">
      <c r="A82" s="323" t="s">
        <v>416</v>
      </c>
      <c r="B82" s="320" t="s">
        <v>433</v>
      </c>
      <c r="C82" s="321" t="s">
        <v>434</v>
      </c>
      <c r="D82" s="52" t="s">
        <v>289</v>
      </c>
    </row>
    <row r="83" spans="1:4">
      <c r="A83" s="323" t="s">
        <v>416</v>
      </c>
      <c r="B83" s="320" t="s">
        <v>435</v>
      </c>
      <c r="C83" s="321" t="s">
        <v>436</v>
      </c>
      <c r="D83" s="52" t="s">
        <v>289</v>
      </c>
    </row>
    <row r="84" spans="1:4">
      <c r="A84" s="330" t="s">
        <v>416</v>
      </c>
      <c r="B84" s="331" t="s">
        <v>437</v>
      </c>
      <c r="C84" s="328" t="s">
        <v>438</v>
      </c>
      <c r="D84" s="52" t="s">
        <v>289</v>
      </c>
    </row>
    <row r="85" spans="1:4">
      <c r="A85" s="323" t="s">
        <v>416</v>
      </c>
      <c r="B85" s="320" t="s">
        <v>280</v>
      </c>
      <c r="C85" s="332" t="s">
        <v>439</v>
      </c>
      <c r="D85" s="52" t="s">
        <v>289</v>
      </c>
    </row>
    <row r="86" spans="1:4">
      <c r="A86" s="323" t="s">
        <v>440</v>
      </c>
      <c r="B86" s="331" t="s">
        <v>308</v>
      </c>
      <c r="C86" s="333" t="s">
        <v>441</v>
      </c>
      <c r="D86" s="52" t="s">
        <v>289</v>
      </c>
    </row>
    <row r="87" spans="1:4">
      <c r="A87" s="323" t="s">
        <v>440</v>
      </c>
      <c r="B87" s="334" t="s">
        <v>442</v>
      </c>
      <c r="C87" s="335" t="s">
        <v>443</v>
      </c>
      <c r="D87" s="67" t="s">
        <v>444</v>
      </c>
    </row>
    <row r="88" spans="1:4">
      <c r="A88" s="323" t="s">
        <v>440</v>
      </c>
      <c r="B88" s="320" t="s">
        <v>445</v>
      </c>
      <c r="C88" s="336" t="s">
        <v>446</v>
      </c>
      <c r="D88" s="337" t="s">
        <v>289</v>
      </c>
    </row>
    <row r="89" spans="1:4">
      <c r="A89" s="323" t="s">
        <v>440</v>
      </c>
      <c r="B89" s="320" t="s">
        <v>447</v>
      </c>
      <c r="C89" s="332" t="s">
        <v>448</v>
      </c>
      <c r="D89" s="52" t="s">
        <v>449</v>
      </c>
    </row>
    <row r="90" spans="1:4" ht="40.5">
      <c r="A90" s="323" t="s">
        <v>440</v>
      </c>
      <c r="B90" s="320" t="s">
        <v>450</v>
      </c>
      <c r="C90" s="338" t="s">
        <v>451</v>
      </c>
      <c r="D90" s="41" t="s">
        <v>449</v>
      </c>
    </row>
    <row r="91" spans="1:4" ht="27">
      <c r="A91" s="323" t="s">
        <v>440</v>
      </c>
      <c r="B91" s="339" t="s">
        <v>452</v>
      </c>
      <c r="C91" s="340" t="s">
        <v>453</v>
      </c>
      <c r="D91" s="341" t="s">
        <v>454</v>
      </c>
    </row>
    <row r="92" spans="1:4">
      <c r="A92" s="323" t="s">
        <v>440</v>
      </c>
      <c r="B92" s="339" t="s">
        <v>455</v>
      </c>
      <c r="C92" s="67" t="s">
        <v>456</v>
      </c>
      <c r="D92" s="67" t="s">
        <v>457</v>
      </c>
    </row>
    <row r="93" spans="1:4">
      <c r="A93" s="323" t="s">
        <v>440</v>
      </c>
      <c r="B93" s="339" t="s">
        <v>458</v>
      </c>
      <c r="C93" s="342" t="s">
        <v>459</v>
      </c>
      <c r="D93" s="67" t="s">
        <v>457</v>
      </c>
    </row>
    <row r="94" spans="1:4">
      <c r="A94" s="323" t="s">
        <v>440</v>
      </c>
      <c r="B94" s="339" t="s">
        <v>460</v>
      </c>
      <c r="C94" s="342" t="s">
        <v>461</v>
      </c>
      <c r="D94" s="67" t="s">
        <v>462</v>
      </c>
    </row>
    <row r="95" spans="1:4">
      <c r="A95" s="323" t="s">
        <v>440</v>
      </c>
      <c r="B95" s="339" t="s">
        <v>463</v>
      </c>
      <c r="C95" s="342" t="s">
        <v>464</v>
      </c>
      <c r="D95" s="67" t="s">
        <v>462</v>
      </c>
    </row>
    <row r="96" spans="1:4">
      <c r="A96" s="323" t="s">
        <v>440</v>
      </c>
      <c r="B96" s="339" t="s">
        <v>325</v>
      </c>
      <c r="C96" s="342" t="s">
        <v>465</v>
      </c>
      <c r="D96" s="67" t="s">
        <v>466</v>
      </c>
    </row>
    <row r="97" spans="1:4" ht="126" customHeight="1">
      <c r="A97" s="323" t="s">
        <v>440</v>
      </c>
      <c r="B97" s="339" t="s">
        <v>262</v>
      </c>
      <c r="C97" s="342" t="s">
        <v>467</v>
      </c>
      <c r="D97" s="343" t="s">
        <v>468</v>
      </c>
    </row>
    <row r="98" spans="1:4" ht="46.5" customHeight="1">
      <c r="A98" s="323" t="s">
        <v>440</v>
      </c>
      <c r="B98" s="339" t="s">
        <v>469</v>
      </c>
      <c r="C98" s="344" t="s">
        <v>470</v>
      </c>
      <c r="D98" s="343" t="s">
        <v>466</v>
      </c>
    </row>
    <row r="99" spans="1:4">
      <c r="A99" s="323" t="s">
        <v>440</v>
      </c>
      <c r="B99" s="339" t="s">
        <v>341</v>
      </c>
      <c r="C99" s="344" t="s">
        <v>471</v>
      </c>
      <c r="D99" s="343" t="s">
        <v>472</v>
      </c>
    </row>
    <row r="100" spans="1:4">
      <c r="A100" s="323" t="s">
        <v>440</v>
      </c>
      <c r="B100" s="339" t="s">
        <v>473</v>
      </c>
      <c r="C100" s="344" t="s">
        <v>474</v>
      </c>
      <c r="D100" s="343" t="s">
        <v>289</v>
      </c>
    </row>
    <row r="101" spans="1:4">
      <c r="A101" s="323" t="s">
        <v>440</v>
      </c>
      <c r="B101" s="339" t="s">
        <v>325</v>
      </c>
      <c r="C101" s="344" t="s">
        <v>475</v>
      </c>
      <c r="D101" s="343" t="s">
        <v>289</v>
      </c>
    </row>
    <row r="102" spans="1:4">
      <c r="A102" s="323" t="s">
        <v>440</v>
      </c>
      <c r="B102" s="339" t="s">
        <v>325</v>
      </c>
      <c r="C102" s="344" t="s">
        <v>476</v>
      </c>
      <c r="D102" s="343" t="s">
        <v>477</v>
      </c>
    </row>
    <row r="103" spans="1:4">
      <c r="A103" s="323" t="s">
        <v>440</v>
      </c>
      <c r="B103" s="339" t="s">
        <v>279</v>
      </c>
      <c r="C103" s="344" t="s">
        <v>478</v>
      </c>
      <c r="D103" s="343" t="s">
        <v>289</v>
      </c>
    </row>
    <row r="104" spans="1:4" ht="27">
      <c r="A104" s="323" t="s">
        <v>440</v>
      </c>
      <c r="B104" s="339" t="s">
        <v>479</v>
      </c>
      <c r="C104" s="344" t="s">
        <v>480</v>
      </c>
      <c r="D104" s="343" t="s">
        <v>289</v>
      </c>
    </row>
    <row r="105" spans="1:4" ht="27">
      <c r="A105" s="323" t="s">
        <v>440</v>
      </c>
      <c r="B105" s="339" t="s">
        <v>267</v>
      </c>
      <c r="C105" s="344" t="s">
        <v>481</v>
      </c>
      <c r="D105" s="343" t="s">
        <v>289</v>
      </c>
    </row>
    <row r="106" spans="1:4">
      <c r="A106" s="323" t="s">
        <v>440</v>
      </c>
      <c r="B106" s="339" t="s">
        <v>482</v>
      </c>
      <c r="C106" s="345" t="s">
        <v>483</v>
      </c>
      <c r="D106" s="343" t="s">
        <v>204</v>
      </c>
    </row>
    <row r="107" spans="1:4" ht="14.5">
      <c r="A107" s="323" t="s">
        <v>484</v>
      </c>
      <c r="B107" s="346" t="s">
        <v>485</v>
      </c>
      <c r="C107" s="347" t="s">
        <v>486</v>
      </c>
      <c r="D107" s="348" t="s">
        <v>487</v>
      </c>
    </row>
    <row r="108" spans="1:4" ht="27">
      <c r="A108" s="323" t="s">
        <v>484</v>
      </c>
      <c r="B108" s="346" t="s">
        <v>488</v>
      </c>
      <c r="C108" s="349" t="s">
        <v>489</v>
      </c>
      <c r="D108" s="348" t="s">
        <v>457</v>
      </c>
    </row>
    <row r="109" spans="1:4" ht="27">
      <c r="A109" s="323" t="s">
        <v>484</v>
      </c>
      <c r="B109" s="346" t="s">
        <v>490</v>
      </c>
      <c r="C109" s="349" t="s">
        <v>491</v>
      </c>
      <c r="D109" s="348" t="s">
        <v>289</v>
      </c>
    </row>
    <row r="110" spans="1:4" ht="14.5">
      <c r="A110" s="323" t="s">
        <v>484</v>
      </c>
      <c r="B110" s="346" t="s">
        <v>492</v>
      </c>
      <c r="C110" s="349" t="s">
        <v>493</v>
      </c>
      <c r="D110" s="348" t="s">
        <v>289</v>
      </c>
    </row>
    <row r="111" spans="1:4">
      <c r="A111" s="323" t="s">
        <v>484</v>
      </c>
      <c r="B111" s="320" t="s">
        <v>279</v>
      </c>
      <c r="C111" s="321" t="s">
        <v>494</v>
      </c>
      <c r="D111" s="348" t="s">
        <v>289</v>
      </c>
    </row>
    <row r="112" spans="1:4">
      <c r="A112" s="323" t="s">
        <v>484</v>
      </c>
      <c r="B112" s="331" t="s">
        <v>280</v>
      </c>
      <c r="C112" s="328" t="s">
        <v>495</v>
      </c>
      <c r="D112" s="350" t="s">
        <v>289</v>
      </c>
    </row>
    <row r="113" spans="1:4">
      <c r="A113" s="323" t="s">
        <v>496</v>
      </c>
      <c r="B113" s="320" t="s">
        <v>497</v>
      </c>
      <c r="C113" s="52" t="s">
        <v>498</v>
      </c>
      <c r="D113" s="351" t="s">
        <v>499</v>
      </c>
    </row>
    <row r="114" spans="1:4" ht="25.5" customHeight="1">
      <c r="A114" s="323" t="s">
        <v>496</v>
      </c>
      <c r="B114" s="352" t="s">
        <v>500</v>
      </c>
      <c r="C114" s="41" t="s">
        <v>501</v>
      </c>
      <c r="D114" s="351" t="s">
        <v>289</v>
      </c>
    </row>
    <row r="115" spans="1:4" ht="27">
      <c r="A115" s="323" t="s">
        <v>496</v>
      </c>
      <c r="B115" s="352" t="s">
        <v>502</v>
      </c>
      <c r="C115" s="41" t="s">
        <v>503</v>
      </c>
      <c r="D115" s="351" t="s">
        <v>289</v>
      </c>
    </row>
    <row r="116" spans="1:4" ht="27">
      <c r="A116" s="323" t="s">
        <v>496</v>
      </c>
      <c r="B116" s="352" t="s">
        <v>504</v>
      </c>
      <c r="C116" s="41" t="s">
        <v>503</v>
      </c>
      <c r="D116" s="351" t="s">
        <v>289</v>
      </c>
    </row>
    <row r="117" spans="1:4" ht="27">
      <c r="A117" s="323" t="s">
        <v>496</v>
      </c>
      <c r="B117" s="352" t="s">
        <v>505</v>
      </c>
      <c r="C117" s="41" t="s">
        <v>503</v>
      </c>
      <c r="D117" s="351" t="s">
        <v>289</v>
      </c>
    </row>
    <row r="118" spans="1:4">
      <c r="A118" s="323" t="s">
        <v>496</v>
      </c>
      <c r="B118" s="352" t="s">
        <v>278</v>
      </c>
      <c r="C118" s="41" t="s">
        <v>506</v>
      </c>
      <c r="D118" s="351" t="s">
        <v>289</v>
      </c>
    </row>
    <row r="119" spans="1:4" ht="27">
      <c r="A119" s="323" t="s">
        <v>496</v>
      </c>
      <c r="B119" s="346" t="s">
        <v>490</v>
      </c>
      <c r="C119" s="349" t="s">
        <v>507</v>
      </c>
      <c r="D119" s="348" t="s">
        <v>289</v>
      </c>
    </row>
    <row r="120" spans="1:4">
      <c r="A120" s="323" t="s">
        <v>496</v>
      </c>
      <c r="B120" s="320" t="s">
        <v>279</v>
      </c>
      <c r="C120" s="321" t="s">
        <v>508</v>
      </c>
      <c r="D120" s="348" t="s">
        <v>289</v>
      </c>
    </row>
    <row r="121" spans="1:4">
      <c r="A121" s="323" t="s">
        <v>496</v>
      </c>
      <c r="B121" s="320" t="s">
        <v>280</v>
      </c>
      <c r="C121" s="321" t="s">
        <v>509</v>
      </c>
      <c r="D121" s="353" t="s">
        <v>289</v>
      </c>
    </row>
    <row r="122" spans="1:4">
      <c r="A122" s="323" t="s">
        <v>510</v>
      </c>
      <c r="B122" s="320" t="s">
        <v>511</v>
      </c>
      <c r="C122" s="52" t="s">
        <v>512</v>
      </c>
      <c r="D122" s="351" t="s">
        <v>513</v>
      </c>
    </row>
    <row r="123" spans="1:4">
      <c r="A123" s="323" t="s">
        <v>510</v>
      </c>
      <c r="B123" s="320" t="s">
        <v>279</v>
      </c>
      <c r="C123" s="52" t="s">
        <v>514</v>
      </c>
      <c r="D123" s="351" t="s">
        <v>289</v>
      </c>
    </row>
    <row r="124" spans="1:4">
      <c r="A124" s="323" t="s">
        <v>515</v>
      </c>
      <c r="B124" s="320" t="s">
        <v>516</v>
      </c>
      <c r="C124" s="52" t="s">
        <v>517</v>
      </c>
      <c r="D124" s="351" t="s">
        <v>518</v>
      </c>
    </row>
    <row r="125" spans="1:4" s="82" customFormat="1" ht="28.5" customHeight="1">
      <c r="A125" s="57" t="s">
        <v>515</v>
      </c>
      <c r="B125" s="320" t="s">
        <v>519</v>
      </c>
      <c r="C125" s="351" t="s">
        <v>520</v>
      </c>
      <c r="D125" s="351" t="s">
        <v>521</v>
      </c>
    </row>
    <row r="126" spans="1:4">
      <c r="A126" s="57" t="s">
        <v>515</v>
      </c>
      <c r="B126" s="320" t="s">
        <v>522</v>
      </c>
      <c r="C126" s="52" t="s">
        <v>523</v>
      </c>
      <c r="D126" s="351" t="s">
        <v>340</v>
      </c>
    </row>
    <row r="127" spans="1:4">
      <c r="A127" s="57" t="s">
        <v>515</v>
      </c>
      <c r="B127" s="320" t="s">
        <v>524</v>
      </c>
      <c r="C127" s="52" t="s">
        <v>525</v>
      </c>
      <c r="D127" s="351" t="s">
        <v>88</v>
      </c>
    </row>
    <row r="128" spans="1:4">
      <c r="A128" s="57" t="s">
        <v>526</v>
      </c>
      <c r="B128" s="320" t="s">
        <v>279</v>
      </c>
      <c r="C128" s="62" t="s">
        <v>527</v>
      </c>
      <c r="D128" s="351" t="s">
        <v>457</v>
      </c>
    </row>
    <row r="129" spans="1:4">
      <c r="A129" s="57" t="s">
        <v>526</v>
      </c>
      <c r="B129" s="320" t="s">
        <v>280</v>
      </c>
      <c r="C129" s="62" t="s">
        <v>528</v>
      </c>
      <c r="D129" s="351" t="s">
        <v>457</v>
      </c>
    </row>
    <row r="130" spans="1:4" ht="67.5">
      <c r="A130" s="57" t="s">
        <v>526</v>
      </c>
      <c r="B130" s="320" t="s">
        <v>529</v>
      </c>
      <c r="C130" s="351" t="s">
        <v>530</v>
      </c>
      <c r="D130" s="351" t="s">
        <v>457</v>
      </c>
    </row>
    <row r="131" spans="1:4">
      <c r="A131" s="57" t="s">
        <v>526</v>
      </c>
      <c r="B131" s="320" t="s">
        <v>531</v>
      </c>
      <c r="C131" s="351" t="s">
        <v>532</v>
      </c>
      <c r="D131" s="351" t="s">
        <v>204</v>
      </c>
    </row>
    <row r="132" spans="1:4" ht="67.5">
      <c r="A132" s="57" t="s">
        <v>526</v>
      </c>
      <c r="B132" s="320" t="s">
        <v>529</v>
      </c>
      <c r="C132" s="351" t="s">
        <v>533</v>
      </c>
      <c r="D132" s="351" t="s">
        <v>204</v>
      </c>
    </row>
  </sheetData>
  <pageMargins left="0.70866141732283472" right="0.70866141732283472" top="0.74803149606299213" bottom="0.74803149606299213" header="0.31496062992125984" footer="0.31496062992125984"/>
  <pageSetup paperSize="8" scale="86" orientation="landscape" r:id="rId1"/>
  <headerFooter>
    <oddFooter>&amp;C_x000D_&amp;1#&amp;"Calibri"&amp;10&amp;K000000 OFFICIAL-InternalOnly</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46C56-52FA-4C43-9ED5-54EBFD7C4025}">
  <sheetPr>
    <tabColor rgb="FFFFC000"/>
    <pageSetUpPr fitToPage="1"/>
  </sheetPr>
  <dimension ref="A1:W107"/>
  <sheetViews>
    <sheetView zoomScale="70" zoomScaleNormal="70" workbookViewId="0">
      <selection activeCell="E18" sqref="E18"/>
    </sheetView>
  </sheetViews>
  <sheetFormatPr defaultColWidth="9" defaultRowHeight="13.5"/>
  <cols>
    <col min="1" max="1" width="8.3828125" customWidth="1"/>
    <col min="2" max="2" width="65.3828125" style="14" bestFit="1" customWidth="1"/>
    <col min="3" max="3" width="9.84375" customWidth="1"/>
    <col min="4" max="4" width="10.61328125" bestFit="1" customWidth="1"/>
    <col min="5" max="5" width="10.84375" bestFit="1" customWidth="1"/>
    <col min="6" max="7" width="9.15234375" customWidth="1"/>
    <col min="8" max="8" width="11.15234375" bestFit="1" customWidth="1"/>
    <col min="9" max="9" width="2.61328125" customWidth="1"/>
    <col min="10" max="11" width="13.765625" customWidth="1"/>
    <col min="12" max="12" width="5.15234375" customWidth="1"/>
    <col min="16" max="16" width="10.4609375" bestFit="1" customWidth="1"/>
  </cols>
  <sheetData>
    <row r="1" spans="1:20" ht="20">
      <c r="A1" s="32" t="s">
        <v>534</v>
      </c>
      <c r="B1" s="354"/>
      <c r="C1" s="355"/>
      <c r="D1" s="355"/>
      <c r="E1" s="355"/>
      <c r="F1" s="355"/>
      <c r="G1" s="356"/>
      <c r="H1" s="356"/>
      <c r="I1" s="357"/>
      <c r="J1" s="357"/>
      <c r="K1" s="357"/>
      <c r="L1" s="358" t="s">
        <v>247</v>
      </c>
    </row>
    <row r="2" spans="1:20" ht="20">
      <c r="A2" s="35" t="str">
        <f>Licensee</f>
        <v>NGET (TO)</v>
      </c>
      <c r="B2" s="359"/>
      <c r="C2" s="300"/>
      <c r="D2" s="300"/>
      <c r="E2" s="300"/>
      <c r="F2" s="300"/>
      <c r="G2" s="314"/>
      <c r="H2" s="314"/>
      <c r="I2" s="360"/>
      <c r="J2" s="360"/>
      <c r="K2" s="360"/>
      <c r="L2" s="361"/>
    </row>
    <row r="3" spans="1:20" ht="20">
      <c r="A3" s="2">
        <f>Reporting_Year</f>
        <v>2026</v>
      </c>
      <c r="B3" s="314" t="str">
        <f>IF(Licensee=Data!$B$86,"Only required to be completed to show Operational Performance","")</f>
        <v/>
      </c>
      <c r="C3" s="314"/>
      <c r="D3" s="314"/>
      <c r="E3" s="314"/>
      <c r="F3" s="314"/>
      <c r="G3" s="314"/>
      <c r="H3" s="362"/>
      <c r="I3" s="363"/>
      <c r="J3" s="363"/>
      <c r="K3" s="363"/>
      <c r="L3" s="364"/>
    </row>
    <row r="4" spans="1:20" ht="12.75" customHeight="1"/>
    <row r="5" spans="1:20">
      <c r="D5" s="365" t="str">
        <f t="shared" ref="D5:H5" si="0">IF(D6&lt;=Reporting_Year,"Actuals","Forecast")</f>
        <v>Actuals</v>
      </c>
      <c r="E5" s="365" t="str">
        <f t="shared" si="0"/>
        <v>Actuals</v>
      </c>
      <c r="F5" s="365" t="str">
        <f t="shared" si="0"/>
        <v>Actuals</v>
      </c>
      <c r="G5" s="365" t="str">
        <f t="shared" si="0"/>
        <v>Actuals</v>
      </c>
      <c r="H5" s="365" t="str">
        <f t="shared" si="0"/>
        <v>Actuals</v>
      </c>
      <c r="I5" s="366"/>
      <c r="J5" s="366"/>
    </row>
    <row r="6" spans="1:20" ht="31.5" customHeight="1">
      <c r="C6" s="367"/>
      <c r="D6" s="368">
        <f>RIIO_2_start_date</f>
        <v>2022</v>
      </c>
      <c r="E6" s="368">
        <f>D6+1</f>
        <v>2023</v>
      </c>
      <c r="F6" s="368">
        <f>E6+1</f>
        <v>2024</v>
      </c>
      <c r="G6" s="368">
        <f t="shared" ref="G6:H6" si="1">F6+1</f>
        <v>2025</v>
      </c>
      <c r="H6" s="368">
        <f t="shared" si="1"/>
        <v>2026</v>
      </c>
      <c r="I6" s="82"/>
      <c r="J6" s="369" t="str">
        <f>"Cumulative to "&amp;'RFPR cover'!$C$9</f>
        <v>Cumulative to 2026</v>
      </c>
      <c r="K6" s="370" t="s">
        <v>535</v>
      </c>
    </row>
    <row r="7" spans="1:20">
      <c r="C7" s="367"/>
      <c r="D7" s="371" t="str">
        <f>RIIO_2_start_date-1&amp;"/"&amp;RIGHT(RIIO_2_start_date,2)</f>
        <v>2021/22</v>
      </c>
      <c r="E7" s="371" t="str">
        <f>RIIO_2_start_date&amp;"/"&amp;RIGHT(RIIO_2_start_date+1,2)</f>
        <v>2022/23</v>
      </c>
      <c r="F7" s="371" t="str">
        <f>RIIO_2_start_date+1&amp;"/"&amp;RIGHT(RIIO_2_start_date+2,2)</f>
        <v>2023/24</v>
      </c>
      <c r="G7" s="371" t="str">
        <f>RIIO_2_start_date+2&amp;"/"&amp;RIGHT(RIIO_2_start_date+3,2)</f>
        <v>2024/25</v>
      </c>
      <c r="H7" s="371" t="str">
        <f>RIIO_2_start_date+3&amp;"/"&amp;RIGHT(RIIO_2_start_date+4,2)</f>
        <v>2025/26</v>
      </c>
      <c r="I7" s="367"/>
      <c r="J7" s="367"/>
      <c r="K7" s="367"/>
      <c r="L7" s="367"/>
    </row>
    <row r="8" spans="1:20">
      <c r="C8" s="14"/>
      <c r="D8" s="14"/>
      <c r="E8" s="14"/>
      <c r="F8" s="14"/>
      <c r="G8" s="14"/>
      <c r="H8" s="14"/>
      <c r="I8" s="14"/>
      <c r="J8" s="14"/>
      <c r="K8" s="14"/>
      <c r="L8" s="14"/>
      <c r="M8" s="14"/>
      <c r="N8" s="14"/>
      <c r="O8" s="14"/>
      <c r="P8" s="14"/>
      <c r="Q8" s="14"/>
      <c r="R8" s="14"/>
      <c r="S8" s="14"/>
      <c r="T8" s="14"/>
    </row>
    <row r="9" spans="1:20">
      <c r="B9" s="372" t="s">
        <v>536</v>
      </c>
      <c r="C9" s="95"/>
      <c r="D9" s="95"/>
      <c r="E9" s="95"/>
      <c r="F9" s="95"/>
      <c r="G9" s="95"/>
      <c r="H9" s="95"/>
      <c r="I9" s="373"/>
      <c r="J9" s="95"/>
      <c r="K9" s="95"/>
      <c r="L9" s="95"/>
    </row>
    <row r="10" spans="1:20">
      <c r="B10" s="374"/>
      <c r="I10" s="82"/>
      <c r="J10" s="124"/>
    </row>
    <row r="11" spans="1:20">
      <c r="B11" s="375" t="s">
        <v>537</v>
      </c>
      <c r="C11" s="376" t="s">
        <v>538</v>
      </c>
      <c r="D11" s="377">
        <f>IFERROR(Equity_Return_on_the_RAV/NPV_neutral_equity_element_of_RAV,0)</f>
        <v>4.2439449777777784E-2</v>
      </c>
      <c r="E11" s="377">
        <f>IFERROR(Equity_Return_on_the_RAV/NPV_neutral_equity_element_of_RAV,0)</f>
        <v>4.2616093333333341E-2</v>
      </c>
      <c r="F11" s="377">
        <f>IFERROR(Equity_Return_on_the_RAV/NPV_neutral_equity_element_of_RAV,0)</f>
        <v>4.909683911111111E-2</v>
      </c>
      <c r="G11" s="377">
        <f>IFERROR(Equity_Return_on_the_RAV/NPV_neutral_equity_element_of_RAV,0)</f>
        <v>5.2011518222222233E-2</v>
      </c>
      <c r="H11" s="377">
        <f>IFERROR(Equity_Return_on_the_RAV/NPV_neutral_equity_element_of_RAV,0)</f>
        <v>5.0933685333333333E-2</v>
      </c>
      <c r="I11" s="124"/>
      <c r="J11" s="378">
        <f>IFERROR(AVERAGE(D69:INDEX(D69:H69,0,MATCH('RFPR cover'!$C$9,$D$6:$H$6,0)))/AVERAGE($D$96:INDEX($D$96:$H$96,0,MATCH('RFPR cover'!$C$9,$D$6:$H$6,0))),0)</f>
        <v>4.7626459087385505E-2</v>
      </c>
      <c r="K11" s="378">
        <f t="shared" ref="K11:K21" si="2">IFERROR(AVERAGE(D69:H69)/AVERAGE($D$96:$H$96),0)</f>
        <v>4.7626459087385505E-2</v>
      </c>
      <c r="M11" s="124"/>
    </row>
    <row r="12" spans="1:20">
      <c r="B12" s="375" t="str">
        <f t="shared" ref="B12:B18" si="3">B70</f>
        <v>Totex outperformance</v>
      </c>
      <c r="C12" s="376" t="s">
        <v>538</v>
      </c>
      <c r="D12" s="379">
        <f>IFERROR(Totex_outperformance/NPV_neutral_equity_element_of_RAV,0)</f>
        <v>1.0918865996035617E-2</v>
      </c>
      <c r="E12" s="379">
        <f>IFERROR(Totex_outperformance/NPV_neutral_equity_element_of_RAV,0)</f>
        <v>1.1647399735701022E-2</v>
      </c>
      <c r="F12" s="379">
        <f>IFERROR(Totex_outperformance/NPV_neutral_equity_element_of_RAV,0)</f>
        <v>1.1439115414629095E-2</v>
      </c>
      <c r="G12" s="379">
        <f>IFERROR(Totex_outperformance/NPV_neutral_equity_element_of_RAV,0)</f>
        <v>1.2219054508193146E-2</v>
      </c>
      <c r="H12" s="379">
        <f>IFERROR(Totex_outperformance/NPV_neutral_equity_element_of_RAV,0)</f>
        <v>1.1677159513490444E-2</v>
      </c>
      <c r="I12" s="380"/>
      <c r="J12" s="381">
        <f>IFERROR(AVERAGE(D70:INDEX(D70:H70,0,MATCH('RFPR cover'!$C$9,$D$6:$H$6,0)))/AVERAGE($D$96:INDEX($D$96:$H$96,0,MATCH('RFPR cover'!$C$9,$D$6:$H$6,0))),0)</f>
        <v>1.1594398213653758E-2</v>
      </c>
      <c r="K12" s="381">
        <f t="shared" si="2"/>
        <v>1.1594398213653758E-2</v>
      </c>
      <c r="M12" s="124"/>
    </row>
    <row r="13" spans="1:20">
      <c r="A13" s="382" t="s">
        <v>539</v>
      </c>
      <c r="B13" s="375" t="str">
        <f t="shared" si="3"/>
        <v>Business Plan Incentive</v>
      </c>
      <c r="C13" s="376" t="s">
        <v>538</v>
      </c>
      <c r="D13" s="379">
        <f>IFERROR(Business_Plan_Incentive/NPV_neutral_equity_element_of_RAV,0)</f>
        <v>-2.0833006956691687E-3</v>
      </c>
      <c r="E13" s="379">
        <f>IFERROR(Business_Plan_Incentive/NPV_neutral_equity_element_of_RAV,0)</f>
        <v>-2.0428438532780601E-3</v>
      </c>
      <c r="F13" s="379">
        <f>IFERROR(Business_Plan_Incentive/NPV_neutral_equity_element_of_RAV,0)</f>
        <v>-1.9962783231077595E-3</v>
      </c>
      <c r="G13" s="379">
        <f>IFERROR(Business_Plan_Incentive/NPV_neutral_equity_element_of_RAV,0)</f>
        <v>-1.9011225070389901E-3</v>
      </c>
      <c r="H13" s="379">
        <f>IFERROR(Business_Plan_Incentive/NPV_neutral_equity_element_of_RAV,0)</f>
        <v>-1.7412665376723556E-3</v>
      </c>
      <c r="I13" s="380"/>
      <c r="J13" s="381">
        <f>IFERROR(AVERAGE(D71:INDEX(D71:H71,0,MATCH('RFPR cover'!$C$9,$D$6:$H$6,0)))/AVERAGE($D$96:INDEX($D$96:$H$96,0,MATCH('RFPR cover'!$C$9,$D$6:$H$6,0))),0)</f>
        <v>-1.9449554317699012E-3</v>
      </c>
      <c r="K13" s="381">
        <f t="shared" si="2"/>
        <v>-1.9449554317699012E-3</v>
      </c>
      <c r="M13" s="124"/>
    </row>
    <row r="14" spans="1:20">
      <c r="A14" s="382" t="s">
        <v>540</v>
      </c>
      <c r="B14" s="375" t="str">
        <f t="shared" si="3"/>
        <v>Energy not supplied ODI - (SpC 4.2)</v>
      </c>
      <c r="C14" s="376" t="s">
        <v>538</v>
      </c>
      <c r="D14" s="379">
        <f>IFERROR(ODI_1/NPV_neutral_equity_element_of_RAV,0)</f>
        <v>1.3365120617687046E-4</v>
      </c>
      <c r="E14" s="379">
        <f>IFERROR(ODI_1/NPV_neutral_equity_element_of_RAV,0)</f>
        <v>1.544780217967944E-4</v>
      </c>
      <c r="F14" s="379">
        <f>IFERROR(ODI_1/NPV_neutral_equity_element_of_RAV,0)</f>
        <v>1.5649256970959519E-4</v>
      </c>
      <c r="G14" s="379">
        <f>IFERROR(ODI_1/NPV_neutral_equity_element_of_RAV,0)</f>
        <v>-2.1513485555950632E-4</v>
      </c>
      <c r="H14" s="379">
        <f>IFERROR(ODI_1/NPV_neutral_equity_element_of_RAV,0)</f>
        <v>1.0966560732869081E-4</v>
      </c>
      <c r="I14" s="380"/>
      <c r="J14" s="381">
        <f>IFERROR(AVERAGE(D72:INDEX(D72:H72,0,MATCH('RFPR cover'!$C$9,$D$6:$H$6,0)))/AVERAGE($D$96:INDEX($D$96:$H$96,0,MATCH('RFPR cover'!$C$9,$D$6:$H$6,0))),0)</f>
        <v>6.5343967457217935E-5</v>
      </c>
      <c r="K14" s="381">
        <f t="shared" si="2"/>
        <v>6.5343967457217935E-5</v>
      </c>
      <c r="M14" s="124"/>
    </row>
    <row r="15" spans="1:20">
      <c r="A15" s="382" t="s">
        <v>541</v>
      </c>
      <c r="B15" s="375" t="str">
        <f t="shared" si="3"/>
        <v>Insulation And Interruption Gas emissions ODI - (SpC 4.3)</v>
      </c>
      <c r="C15" s="376" t="s">
        <v>538</v>
      </c>
      <c r="D15" s="379">
        <f>IFERROR(ODI_2/NPV_neutral_equity_element_of_RAV,0)</f>
        <v>2.3018119417773377E-4</v>
      </c>
      <c r="E15" s="379">
        <f>IFERROR(ODI_2/NPV_neutral_equity_element_of_RAV,0)</f>
        <v>1.7446893545045478E-4</v>
      </c>
      <c r="F15" s="379">
        <f>IFERROR(ODI_2/NPV_neutral_equity_element_of_RAV,0)</f>
        <v>-9.0557028612713267E-5</v>
      </c>
      <c r="G15" s="379">
        <f>IFERROR(ODI_2/NPV_neutral_equity_element_of_RAV,0)</f>
        <v>1.5355565221570404E-4</v>
      </c>
      <c r="H15" s="379">
        <f>IFERROR(ODI_2/NPV_neutral_equity_element_of_RAV,0)</f>
        <v>2.3915713844260524E-4</v>
      </c>
      <c r="I15" s="380"/>
      <c r="J15" s="381">
        <f>IFERROR(AVERAGE(D73:INDEX(D73:H73,0,MATCH('RFPR cover'!$C$9,$D$6:$H$6,0)))/AVERAGE($D$96:INDEX($D$96:$H$96,0,MATCH('RFPR cover'!$C$9,$D$6:$H$6,0))),0)</f>
        <v>1.4340094509535339E-4</v>
      </c>
      <c r="K15" s="381">
        <f t="shared" si="2"/>
        <v>1.4340094509535339E-4</v>
      </c>
      <c r="M15" s="124"/>
    </row>
    <row r="16" spans="1:20">
      <c r="A16" s="382" t="s">
        <v>542</v>
      </c>
      <c r="B16" s="375" t="str">
        <f t="shared" si="3"/>
        <v>Timely Connections ODI - (SpC 4.4)</v>
      </c>
      <c r="C16" s="376" t="s">
        <v>538</v>
      </c>
      <c r="D16" s="379">
        <f>IFERROR(ODI_3/NPV_neutral_equity_element_of_RAV,0)</f>
        <v>-4.2100034891647785E-5</v>
      </c>
      <c r="E16" s="379">
        <f>IFERROR(ODI_3/NPV_neutral_equity_element_of_RAV,0)</f>
        <v>-2.79489707222812E-5</v>
      </c>
      <c r="F16" s="379">
        <f>IFERROR(ODI_3/NPV_neutral_equity_element_of_RAV,0)</f>
        <v>-2.7624024795563878E-6</v>
      </c>
      <c r="G16" s="379">
        <f>IFERROR(ODI_3/NPV_neutral_equity_element_of_RAV,0)</f>
        <v>-1.5458338333862401E-5</v>
      </c>
      <c r="H16" s="379">
        <f>IFERROR(ODI_3/NPV_neutral_equity_element_of_RAV,0)</f>
        <v>-1.2767223302008511E-5</v>
      </c>
      <c r="I16" s="380"/>
      <c r="J16" s="381">
        <f>IFERROR(AVERAGE(D74:INDEX(D74:H74,0,MATCH('RFPR cover'!$C$9,$D$6:$H$6,0)))/AVERAGE($D$96:INDEX($D$96:$H$96,0,MATCH('RFPR cover'!$C$9,$D$6:$H$6,0))),0)</f>
        <v>-1.9736172374904703E-5</v>
      </c>
      <c r="K16" s="381">
        <f t="shared" si="2"/>
        <v>-1.9736172374904703E-5</v>
      </c>
      <c r="M16" s="124"/>
    </row>
    <row r="17" spans="1:13">
      <c r="A17" s="382" t="s">
        <v>543</v>
      </c>
      <c r="B17" s="375" t="str">
        <f t="shared" si="3"/>
        <v>Quality of connections satisfaction survey ODI - (SpC 4.5)</v>
      </c>
      <c r="C17" s="376" t="s">
        <v>538</v>
      </c>
      <c r="D17" s="379">
        <f>IFERROR(ODI_4/NPV_neutral_equity_element_of_RAV,0)</f>
        <v>3.7711915870248943E-5</v>
      </c>
      <c r="E17" s="379">
        <f>IFERROR(ODI_4/NPV_neutral_equity_element_of_RAV,0)</f>
        <v>-5.1387137452649386E-4</v>
      </c>
      <c r="F17" s="379">
        <f>IFERROR(ODI_4/NPV_neutral_equity_element_of_RAV,0)</f>
        <v>-4.5868676407853241E-4</v>
      </c>
      <c r="G17" s="379">
        <f>IFERROR(ODI_4/NPV_neutral_equity_element_of_RAV,0)</f>
        <v>-1.0775867122186993E-3</v>
      </c>
      <c r="H17" s="379">
        <f>IFERROR(ODI_4/NPV_neutral_equity_element_of_RAV,0)</f>
        <v>-5.5324429705766031E-4</v>
      </c>
      <c r="I17" s="380"/>
      <c r="J17" s="381">
        <f>IFERROR(AVERAGE(D75:INDEX(D75:H75,0,MATCH('RFPR cover'!$C$9,$D$6:$H$6,0)))/AVERAGE($D$96:INDEX($D$96:$H$96,0,MATCH('RFPR cover'!$C$9,$D$6:$H$6,0))),0)</f>
        <v>-5.2426556147426118E-4</v>
      </c>
      <c r="K17" s="381">
        <f t="shared" si="2"/>
        <v>-5.2426556147426118E-4</v>
      </c>
      <c r="M17" s="124"/>
    </row>
    <row r="18" spans="1:13">
      <c r="A18" s="382" t="s">
        <v>544</v>
      </c>
      <c r="B18" s="375" t="str">
        <f t="shared" si="3"/>
        <v>SO-TO Optimisation ODI - (SpC 4.7)</v>
      </c>
      <c r="C18" s="376" t="s">
        <v>538</v>
      </c>
      <c r="D18" s="379">
        <f>IFERROR(ODI_5/NPV_neutral_equity_element_of_RAV,0)</f>
        <v>8.0126949833429567E-4</v>
      </c>
      <c r="E18" s="379">
        <f>IFERROR(ODI_5/NPV_neutral_equity_element_of_RAV,0)</f>
        <v>7.8570917433771537E-4</v>
      </c>
      <c r="F18" s="379">
        <f>IFERROR(ODI_5/NPV_neutral_equity_element_of_RAV,0)</f>
        <v>8.9918961404942817E-4</v>
      </c>
      <c r="G18" s="379">
        <f>IFERROR(ODI_5/NPV_neutral_equity_element_of_RAV,0)</f>
        <v>6.1095837626740221E-4</v>
      </c>
      <c r="H18" s="379">
        <f>IFERROR(ODI_5/NPV_neutral_equity_element_of_RAV,0)</f>
        <v>3.9547067872155241E-4</v>
      </c>
      <c r="I18" s="380"/>
      <c r="J18" s="381">
        <f>IFERROR(AVERAGE(D76:INDEX(D76:H76,0,MATCH('RFPR cover'!$C$9,$D$6:$H$6,0)))/AVERAGE($D$96:INDEX($D$96:$H$96,0,MATCH('RFPR cover'!$C$9,$D$6:$H$6,0))),0)</f>
        <v>6.8779366353954028E-4</v>
      </c>
      <c r="K18" s="381">
        <f t="shared" si="2"/>
        <v>6.8779366353954028E-4</v>
      </c>
      <c r="M18" s="124"/>
    </row>
    <row r="19" spans="1:13">
      <c r="A19" s="382" t="s">
        <v>545</v>
      </c>
      <c r="B19" s="375" t="str">
        <f>B77</f>
        <v>Environmental scorecard ODI - (SpC 4.6)</v>
      </c>
      <c r="C19" s="376" t="s">
        <v>538</v>
      </c>
      <c r="D19" s="379">
        <f>IFERROR(ODI_6/NPV_neutral_equity_element_of_RAV,0)</f>
        <v>8.2292883849922969E-5</v>
      </c>
      <c r="E19" s="379">
        <f>IFERROR(ODI_6/NPV_neutral_equity_element_of_RAV,0)</f>
        <v>1.5713325099481345E-4</v>
      </c>
      <c r="F19" s="379">
        <f>IFERROR(ODI_6/NPV_neutral_equity_element_of_RAV,0)</f>
        <v>1.5042272192692345E-4</v>
      </c>
      <c r="G19" s="379">
        <f>IFERROR(ODI_6/NPV_neutral_equity_element_of_RAV,0)</f>
        <v>1.6380369192560486E-4</v>
      </c>
      <c r="H19" s="379">
        <f>IFERROR(ODI_6/NPV_neutral_equity_element_of_RAV,0)</f>
        <v>1.4394429571473093E-4</v>
      </c>
      <c r="I19" s="380"/>
      <c r="J19" s="381">
        <f>IFERROR(AVERAGE(D77:INDEX(D77:H77,0,MATCH('RFPR cover'!$C$9,$D$6:$H$6,0)))/AVERAGE($D$96:INDEX($D$96:$H$96,0,MATCH('RFPR cover'!$C$9,$D$6:$H$6,0))),0)</f>
        <v>1.4027005198615636E-4</v>
      </c>
      <c r="K19" s="381">
        <f t="shared" si="2"/>
        <v>1.4027005198615636E-4</v>
      </c>
      <c r="M19" s="124"/>
    </row>
    <row r="20" spans="1:13">
      <c r="A20" s="382" t="s">
        <v>546</v>
      </c>
      <c r="B20" s="375" t="str">
        <f t="shared" ref="B20:B32" si="4">B78</f>
        <v/>
      </c>
      <c r="C20" s="376" t="s">
        <v>538</v>
      </c>
      <c r="D20" s="379">
        <f>IFERROR(ODI_7/NPV_neutral_equity_element_of_RAV,0)</f>
        <v>0</v>
      </c>
      <c r="E20" s="379">
        <f>IFERROR(ODI_7/NPV_neutral_equity_element_of_RAV,0)</f>
        <v>0</v>
      </c>
      <c r="F20" s="379">
        <f>IFERROR(ODI_7/NPV_neutral_equity_element_of_RAV,0)</f>
        <v>0</v>
      </c>
      <c r="G20" s="379">
        <f>IFERROR(ODI_7/NPV_neutral_equity_element_of_RAV,0)</f>
        <v>0</v>
      </c>
      <c r="H20" s="379">
        <f>IFERROR(ODI_7/NPV_neutral_equity_element_of_RAV,0)</f>
        <v>0</v>
      </c>
      <c r="I20" s="380"/>
      <c r="J20" s="381">
        <f>IFERROR(AVERAGE(D78:INDEX(D78:H78,0,MATCH('RFPR cover'!$C$9,$D$6:$H$6,0)))/AVERAGE($D$96:INDEX($D$96:$H$96,0,MATCH('RFPR cover'!$C$9,$D$6:$H$6,0))),0)</f>
        <v>0</v>
      </c>
      <c r="K20" s="381">
        <f t="shared" si="2"/>
        <v>0</v>
      </c>
      <c r="M20" s="124"/>
    </row>
    <row r="21" spans="1:13">
      <c r="A21" s="382" t="s">
        <v>547</v>
      </c>
      <c r="B21" s="375" t="str">
        <f t="shared" si="4"/>
        <v/>
      </c>
      <c r="C21" s="376" t="s">
        <v>538</v>
      </c>
      <c r="D21" s="379">
        <f>IFERROR(ODI_8/NPV_neutral_equity_element_of_RAV,0)</f>
        <v>0</v>
      </c>
      <c r="E21" s="379">
        <f>IFERROR(ODI_8/NPV_neutral_equity_element_of_RAV,0)</f>
        <v>0</v>
      </c>
      <c r="F21" s="379">
        <f>IFERROR(ODI_8/NPV_neutral_equity_element_of_RAV,0)</f>
        <v>0</v>
      </c>
      <c r="G21" s="379">
        <f>IFERROR(ODI_8/NPV_neutral_equity_element_of_RAV,0)</f>
        <v>0</v>
      </c>
      <c r="H21" s="379">
        <f>IFERROR(ODI_8/NPV_neutral_equity_element_of_RAV,0)</f>
        <v>0</v>
      </c>
      <c r="I21" s="380"/>
      <c r="J21" s="381">
        <f>IFERROR(AVERAGE(D79:INDEX(D79:H79,0,MATCH('RFPR cover'!$C$9,$D$6:$H$6,0)))/AVERAGE($D$96:INDEX($D$96:$H$96,0,MATCH('RFPR cover'!$C$9,$D$6:$H$6,0))),0)</f>
        <v>0</v>
      </c>
      <c r="K21" s="381">
        <f t="shared" si="2"/>
        <v>0</v>
      </c>
      <c r="M21" s="124"/>
    </row>
    <row r="22" spans="1:13">
      <c r="A22" s="382" t="s">
        <v>547</v>
      </c>
      <c r="B22" s="375" t="str">
        <f t="shared" si="4"/>
        <v>Network innovation input for RORE</v>
      </c>
      <c r="C22" s="376" t="s">
        <v>538</v>
      </c>
      <c r="D22" s="379">
        <f>IFERROR(ORA_1/NPV_neutral_equity_element_of_RAV,0)</f>
        <v>-3.7851842600794422E-5</v>
      </c>
      <c r="E22" s="379">
        <f>IFERROR(ORA_1/NPV_neutral_equity_element_of_RAV,0)</f>
        <v>-8.7657923561354351E-5</v>
      </c>
      <c r="F22" s="379">
        <f>IFERROR(ORA_1/NPV_neutral_equity_element_of_RAV,0)</f>
        <v>-1.4890302357790662E-4</v>
      </c>
      <c r="G22" s="379">
        <f>IFERROR(ORA_1/NPV_neutral_equity_element_of_RAV,0)</f>
        <v>-2.0739970678755739E-4</v>
      </c>
      <c r="H22" s="379">
        <f>IFERROR(ORA_1/NPV_neutral_equity_element_of_RAV,0)</f>
        <v>-1.9358293004824694E-4</v>
      </c>
      <c r="I22" s="380"/>
      <c r="J22" s="381">
        <f>IFERROR(AVERAGE(D80:INDEX(D80:H80,0,MATCH('RFPR cover'!$C$9,$D$6:$H$6,0)))/AVERAGE($D$96:INDEX($D$96:$H$96,0,MATCH('RFPR cover'!$C$9,$D$6:$H$6,0))),0)</f>
        <v>-1.3845599246204579E-4</v>
      </c>
      <c r="K22" s="381">
        <f>IFERROR(AVERAGE(D80:H80)/AVERAGE($D$96:$H$96),0)</f>
        <v>-1.3845599246204579E-4</v>
      </c>
      <c r="M22" s="124"/>
    </row>
    <row r="23" spans="1:13">
      <c r="A23" s="382" t="s">
        <v>548</v>
      </c>
      <c r="B23" s="375" t="str">
        <f t="shared" si="4"/>
        <v>Carry-over Network innovation input for RORE</v>
      </c>
      <c r="C23" s="376" t="s">
        <v>538</v>
      </c>
      <c r="D23" s="379">
        <f>IFERROR(ORA_2/NPV_neutral_equity_element_of_RAV,0)</f>
        <v>-1.1629663791832727E-5</v>
      </c>
      <c r="E23" s="379">
        <f>IFERROR(ORA_2/NPV_neutral_equity_element_of_RAV,0)</f>
        <v>0</v>
      </c>
      <c r="F23" s="379">
        <f>IFERROR(ORA_2/NPV_neutral_equity_element_of_RAV,0)</f>
        <v>0</v>
      </c>
      <c r="G23" s="379">
        <f>IFERROR(ORA_2/NPV_neutral_equity_element_of_RAV,0)</f>
        <v>0</v>
      </c>
      <c r="H23" s="379">
        <f>IFERROR(ORA_2/NPV_neutral_equity_element_of_RAV,0)</f>
        <v>0</v>
      </c>
      <c r="I23" s="380"/>
      <c r="J23" s="381">
        <f>IFERROR(AVERAGE(D81:INDEX(D81:H81,0,MATCH('RFPR cover'!$C$9,$D$6:$H$6,0)))/AVERAGE($D$96:INDEX($D$96:$H$96,0,MATCH('RFPR cover'!$C$9,$D$6:$H$6,0))),0)</f>
        <v>-2.1714750836117198E-6</v>
      </c>
      <c r="K23" s="381">
        <f>IFERROR(AVERAGE(D81:H81)/AVERAGE($D$96:$H$96),0)</f>
        <v>-2.1714750836117198E-6</v>
      </c>
      <c r="M23" s="124"/>
    </row>
    <row r="24" spans="1:13">
      <c r="A24" s="382" t="s">
        <v>549</v>
      </c>
      <c r="B24" s="375" t="str">
        <f t="shared" si="4"/>
        <v>Strategic innovation input for RORE</v>
      </c>
      <c r="C24" s="376" t="s">
        <v>538</v>
      </c>
      <c r="D24" s="379">
        <f>IFERROR(ORA_3/NPV_neutral_equity_element_of_RAV,0)</f>
        <v>0</v>
      </c>
      <c r="E24" s="379">
        <f>IFERROR(ORA_3/NPV_neutral_equity_element_of_RAV,0)</f>
        <v>-1.4814860765807358E-5</v>
      </c>
      <c r="F24" s="379">
        <f>IFERROR(ORA_3/NPV_neutral_equity_element_of_RAV,0)</f>
        <v>-2.607180086266472E-5</v>
      </c>
      <c r="G24" s="379">
        <f>IFERROR(ORA_3/NPV_neutral_equity_element_of_RAV,0)</f>
        <v>-9.7119699993230605E-6</v>
      </c>
      <c r="H24" s="379">
        <f>IFERROR(ORA_3/NPV_neutral_equity_element_of_RAV,0)</f>
        <v>-1.9429773403230392E-4</v>
      </c>
      <c r="I24" s="380"/>
      <c r="J24" s="381">
        <f>IFERROR(AVERAGE(D82:INDEX(D82:H82,0,MATCH('RFPR cover'!$C$9,$D$6:$H$6,0)))/AVERAGE($D$96:INDEX($D$96:$H$96,0,MATCH('RFPR cover'!$C$9,$D$6:$H$6,0))),0)</f>
        <v>-5.3293711404247929E-5</v>
      </c>
      <c r="K24" s="381">
        <f>IFERROR(AVERAGE(D82:H82)/AVERAGE($D$96:$H$96),0)</f>
        <v>-5.3293711404247929E-5</v>
      </c>
      <c r="M24" s="124"/>
    </row>
    <row r="25" spans="1:13">
      <c r="A25" s="382" t="s">
        <v>550</v>
      </c>
      <c r="B25" s="375" t="str">
        <f t="shared" si="4"/>
        <v/>
      </c>
      <c r="C25" s="376" t="s">
        <v>538</v>
      </c>
      <c r="D25" s="379">
        <f>IFERROR(ORA_4/NPV_neutral_equity_element_of_RAV,0)</f>
        <v>0</v>
      </c>
      <c r="E25" s="379">
        <f>IFERROR(ORA_4/NPV_neutral_equity_element_of_RAV,0)</f>
        <v>0</v>
      </c>
      <c r="F25" s="379">
        <f>IFERROR(ORA_4/NPV_neutral_equity_element_of_RAV,0)</f>
        <v>0</v>
      </c>
      <c r="G25" s="379">
        <f>IFERROR(ORA_4/NPV_neutral_equity_element_of_RAV,0)</f>
        <v>0</v>
      </c>
      <c r="H25" s="379">
        <f>IFERROR(ORA_4/NPV_neutral_equity_element_of_RAV,0)</f>
        <v>0</v>
      </c>
      <c r="I25" s="380"/>
      <c r="J25" s="381">
        <f>IFERROR(AVERAGE(D83:INDEX(D83:H83,0,MATCH('RFPR cover'!$C$9,$D$6:$H$6,0)))/AVERAGE($D$96:INDEX($D$96:$H$96,0,MATCH('RFPR cover'!$C$9,$D$6:$H$6,0))),0)</f>
        <v>0</v>
      </c>
      <c r="K25" s="381">
        <f t="shared" ref="K25:K30" si="5">IFERROR(AVERAGE(D83:H83)/AVERAGE($D$96:$H$96),0)</f>
        <v>0</v>
      </c>
      <c r="M25" s="124"/>
    </row>
    <row r="26" spans="1:13">
      <c r="A26" s="382" t="s">
        <v>551</v>
      </c>
      <c r="B26" s="375" t="str">
        <f t="shared" si="4"/>
        <v/>
      </c>
      <c r="C26" s="376" t="s">
        <v>538</v>
      </c>
      <c r="D26" s="379">
        <f>IFERROR(ORA_5/NPV_neutral_equity_element_of_RAV,0)</f>
        <v>0</v>
      </c>
      <c r="E26" s="379">
        <f>IFERROR(ORA_5/NPV_neutral_equity_element_of_RAV,0)</f>
        <v>0</v>
      </c>
      <c r="F26" s="379">
        <f>IFERROR(ORA_5/NPV_neutral_equity_element_of_RAV,0)</f>
        <v>0</v>
      </c>
      <c r="G26" s="379">
        <f>IFERROR(ORA_5/NPV_neutral_equity_element_of_RAV,0)</f>
        <v>0</v>
      </c>
      <c r="H26" s="379">
        <f>IFERROR(ORA_5/NPV_neutral_equity_element_of_RAV,0)</f>
        <v>0</v>
      </c>
      <c r="I26" s="380"/>
      <c r="J26" s="381">
        <f>IFERROR(AVERAGE(D84:INDEX(D84:H84,0,MATCH('RFPR cover'!$C$9,$D$6:$H$6,0)))/AVERAGE($D$96:INDEX($D$96:$H$96,0,MATCH('RFPR cover'!$C$9,$D$6:$H$6,0))),0)</f>
        <v>0</v>
      </c>
      <c r="K26" s="381">
        <f t="shared" si="5"/>
        <v>0</v>
      </c>
      <c r="M26" s="124"/>
    </row>
    <row r="27" spans="1:13">
      <c r="A27" s="382" t="s">
        <v>552</v>
      </c>
      <c r="B27" s="375" t="str">
        <f t="shared" si="4"/>
        <v/>
      </c>
      <c r="C27" s="376" t="s">
        <v>538</v>
      </c>
      <c r="D27" s="379">
        <f>IFERROR(ORA_6/NPV_neutral_equity_element_of_RAV,0)</f>
        <v>0</v>
      </c>
      <c r="E27" s="379">
        <f>IFERROR(ORA_6/NPV_neutral_equity_element_of_RAV,0)</f>
        <v>0</v>
      </c>
      <c r="F27" s="379">
        <f>IFERROR(ORA_6/NPV_neutral_equity_element_of_RAV,0)</f>
        <v>0</v>
      </c>
      <c r="G27" s="379">
        <f>IFERROR(ORA_6/NPV_neutral_equity_element_of_RAV,0)</f>
        <v>0</v>
      </c>
      <c r="H27" s="379">
        <f>IFERROR(ORA_6/NPV_neutral_equity_element_of_RAV,0)</f>
        <v>0</v>
      </c>
      <c r="I27" s="380"/>
      <c r="J27" s="381">
        <f>IFERROR(AVERAGE(D85:INDEX(D85:H85,0,MATCH('RFPR cover'!$C$9,$D$6:$H$6,0)))/AVERAGE($D$96:INDEX($D$96:$H$96,0,MATCH('RFPR cover'!$C$9,$D$6:$H$6,0))),0)</f>
        <v>0</v>
      </c>
      <c r="K27" s="381">
        <f t="shared" si="5"/>
        <v>0</v>
      </c>
      <c r="M27" s="124"/>
    </row>
    <row r="28" spans="1:13">
      <c r="A28" s="382" t="s">
        <v>553</v>
      </c>
      <c r="B28" s="375" t="str">
        <f t="shared" si="4"/>
        <v/>
      </c>
      <c r="C28" s="376" t="s">
        <v>538</v>
      </c>
      <c r="D28" s="379">
        <f>IFERROR(ORA_7/NPV_neutral_equity_element_of_RAV,0)</f>
        <v>0</v>
      </c>
      <c r="E28" s="379">
        <f>IFERROR(ORA_7/NPV_neutral_equity_element_of_RAV,0)</f>
        <v>0</v>
      </c>
      <c r="F28" s="379">
        <f>IFERROR(ORA_7/NPV_neutral_equity_element_of_RAV,0)</f>
        <v>0</v>
      </c>
      <c r="G28" s="379">
        <f>IFERROR(ORA_7/NPV_neutral_equity_element_of_RAV,0)</f>
        <v>0</v>
      </c>
      <c r="H28" s="379">
        <f>IFERROR(ORA_7/NPV_neutral_equity_element_of_RAV,0)</f>
        <v>0</v>
      </c>
      <c r="I28" s="380"/>
      <c r="J28" s="381">
        <f>IFERROR(AVERAGE(D86:INDEX(D86:H86,0,MATCH('RFPR cover'!$C$9,$D$6:$H$6,0)))/AVERAGE($D$96:INDEX($D$96:$H$96,0,MATCH('RFPR cover'!$C$9,$D$6:$H$6,0))),0)</f>
        <v>0</v>
      </c>
      <c r="K28" s="381">
        <f t="shared" si="5"/>
        <v>0</v>
      </c>
      <c r="M28" s="124"/>
    </row>
    <row r="29" spans="1:13">
      <c r="A29" s="382" t="s">
        <v>554</v>
      </c>
      <c r="B29" s="375" t="str">
        <f t="shared" si="4"/>
        <v/>
      </c>
      <c r="C29" s="376" t="s">
        <v>538</v>
      </c>
      <c r="D29" s="379">
        <f>IFERROR(ORA_8/NPV_neutral_equity_element_of_RAV,0)</f>
        <v>0</v>
      </c>
      <c r="E29" s="379">
        <f>IFERROR(ORA_8/NPV_neutral_equity_element_of_RAV,0)</f>
        <v>0</v>
      </c>
      <c r="F29" s="379">
        <f>IFERROR(ORA_8/NPV_neutral_equity_element_of_RAV,0)</f>
        <v>0</v>
      </c>
      <c r="G29" s="379">
        <f>IFERROR(ORA_8/NPV_neutral_equity_element_of_RAV,0)</f>
        <v>0</v>
      </c>
      <c r="H29" s="379">
        <f>IFERROR(ORA_8/NPV_neutral_equity_element_of_RAV,0)</f>
        <v>0</v>
      </c>
      <c r="I29" s="380"/>
      <c r="J29" s="381">
        <f>IFERROR(AVERAGE(D87:INDEX(D87:H87,0,MATCH('RFPR cover'!$C$9,$D$6:$H$6,0)))/AVERAGE($D$96:INDEX($D$96:$H$96,0,MATCH('RFPR cover'!$C$9,$D$6:$H$6,0))),0)</f>
        <v>0</v>
      </c>
      <c r="K29" s="381">
        <f t="shared" si="5"/>
        <v>0</v>
      </c>
      <c r="M29" s="124"/>
    </row>
    <row r="30" spans="1:13" ht="14" thickBot="1">
      <c r="B30" s="375" t="str">
        <f t="shared" si="4"/>
        <v>Penalties and fines (Other Activities)</v>
      </c>
      <c r="C30" s="376" t="s">
        <v>538</v>
      </c>
      <c r="D30" s="383">
        <f>IFERROR(Penalties_and_fines/NPV_neutral_equity_element_of_RAV,0)</f>
        <v>0</v>
      </c>
      <c r="E30" s="383">
        <f>IFERROR(Penalties_and_fines/NPV_neutral_equity_element_of_RAV,0)</f>
        <v>0</v>
      </c>
      <c r="F30" s="383">
        <f>IFERROR(Penalties_and_fines/NPV_neutral_equity_element_of_RAV,0)</f>
        <v>0</v>
      </c>
      <c r="G30" s="383">
        <f>IFERROR(Penalties_and_fines/NPV_neutral_equity_element_of_RAV,0)</f>
        <v>0</v>
      </c>
      <c r="H30" s="383">
        <f>IFERROR(Penalties_and_fines/NPV_neutral_equity_element_of_RAV,0)</f>
        <v>0</v>
      </c>
      <c r="I30" s="380"/>
      <c r="J30" s="381">
        <f>IFERROR(AVERAGE(D88:INDEX(D88:H88,0,MATCH('RFPR cover'!$C$9,$D$6:$H$6,0)))/AVERAGE($D$96:INDEX($D$96:$H$96,0,MATCH('RFPR cover'!$C$9,$D$6:$H$6,0))),0)</f>
        <v>0</v>
      </c>
      <c r="K30" s="381">
        <f t="shared" si="5"/>
        <v>0</v>
      </c>
      <c r="M30" s="124"/>
    </row>
    <row r="31" spans="1:13" ht="14" thickBot="1">
      <c r="B31" s="384" t="str">
        <f t="shared" si="4"/>
        <v>RoRE - Operational performance</v>
      </c>
      <c r="C31" s="385" t="s">
        <v>538</v>
      </c>
      <c r="D31" s="386">
        <f>SUM(D11:D30)</f>
        <v>5.2468540235269027E-2</v>
      </c>
      <c r="E31" s="387">
        <f t="shared" ref="E31:H31" si="6">SUM(E11:E30)</f>
        <v>5.2848145468760141E-2</v>
      </c>
      <c r="F31" s="387">
        <f t="shared" si="6"/>
        <v>5.9018800088707024E-2</v>
      </c>
      <c r="G31" s="387">
        <f t="shared" si="6"/>
        <v>6.1732476360886149E-2</v>
      </c>
      <c r="H31" s="388">
        <f t="shared" si="6"/>
        <v>6.080392384491879E-2</v>
      </c>
      <c r="I31" s="389"/>
      <c r="J31" s="390">
        <f>SUM(J11:J30)</f>
        <v>5.7574787584548558E-2</v>
      </c>
      <c r="K31" s="388">
        <f>SUM(K11:K30)</f>
        <v>5.7574787584548558E-2</v>
      </c>
      <c r="M31" s="124"/>
    </row>
    <row r="32" spans="1:13">
      <c r="B32" s="375" t="str">
        <f t="shared" si="4"/>
        <v>Debt performance - at notional gearing</v>
      </c>
      <c r="C32" s="376" t="s">
        <v>538</v>
      </c>
      <c r="D32" s="391">
        <f>IFERROR(Debt_performance___at_notional_gearing/NPV_neutral_equity_element_of_RAV,0)</f>
        <v>3.0754840700426792E-2</v>
      </c>
      <c r="E32" s="391">
        <f>IFERROR(Debt_performance___at_notional_gearing/NPV_neutral_equity_element_of_RAV,0)</f>
        <v>5.7497261679261419E-2</v>
      </c>
      <c r="F32" s="391">
        <f>IFERROR(Debt_performance___at_notional_gearing/NPV_neutral_equity_element_of_RAV,0)</f>
        <v>4.1539907128736252E-2</v>
      </c>
      <c r="G32" s="391">
        <f>IFERROR(Debt_performance___at_notional_gearing/NPV_neutral_equity_element_of_RAV,0)</f>
        <v>1.9324431056459482E-2</v>
      </c>
      <c r="H32" s="391">
        <f>IFERROR(Debt_performance___at_notional_gearing/NPV_neutral_equity_element_of_RAV,0)</f>
        <v>2.6249351860750104E-2</v>
      </c>
      <c r="I32" s="380"/>
      <c r="J32" s="392">
        <f>IFERROR(AVERAGE(D90:INDEX(D90:H90,0,MATCH('RFPR cover'!$C$9,$D$6:$H$6,0)))/AVERAGE($D$96:INDEX($D$96:$H$96,0,MATCH('RFPR cover'!$C$9,$D$6:$H$6,0))),0)</f>
        <v>3.4603299254273433E-2</v>
      </c>
      <c r="K32" s="392">
        <f>IFERROR(AVERAGE(D90:H90)/AVERAGE($D$96:$H$96),0)</f>
        <v>3.4603299254273433E-2</v>
      </c>
      <c r="M32" s="124"/>
    </row>
    <row r="33" spans="1:13" ht="14" thickBot="1">
      <c r="B33" s="375" t="str">
        <f>B92</f>
        <v>Tax performance - at notional gearing</v>
      </c>
      <c r="C33" s="376" t="s">
        <v>538</v>
      </c>
      <c r="D33" s="383">
        <f>IFERROR(Tax_performance___at_notional_gearing/NPV_neutral_equity_element_of_RAV,0)</f>
        <v>-6.059682991784249E-4</v>
      </c>
      <c r="E33" s="383">
        <f>IFERROR(Tax_performance___at_notional_gearing/NPV_neutral_equity_element_of_RAV,0)</f>
        <v>2.4065648543863255E-3</v>
      </c>
      <c r="F33" s="383">
        <f>IFERROR(Tax_performance___at_notional_gearing/NPV_neutral_equity_element_of_RAV,0)</f>
        <v>-5.0983895438595885E-3</v>
      </c>
      <c r="G33" s="383">
        <f>IFERROR(Tax_performance___at_notional_gearing/NPV_neutral_equity_element_of_RAV,0)</f>
        <v>9.5037047305973101E-4</v>
      </c>
      <c r="H33" s="383">
        <f>IFERROR(Tax_performance___at_notional_gearing/NPV_neutral_equity_element_of_RAV,0)</f>
        <v>5.3383264483314438E-4</v>
      </c>
      <c r="I33" s="380"/>
      <c r="J33" s="393">
        <f>IFERROR(AVERAGE(D92:INDEX(D92:H92,0,MATCH('RFPR cover'!$C$9,$D$6:$H$6,0)))/AVERAGE($D$96:INDEX($D$96:$H$96,0,MATCH('RFPR cover'!$C$9,$D$6:$H$6,0))),0)</f>
        <v>-3.3464643662114616E-4</v>
      </c>
      <c r="K33" s="393">
        <f>IFERROR(AVERAGE(D92:H92)/AVERAGE($D$96:$H$96),0)</f>
        <v>-3.3464643662114616E-4</v>
      </c>
      <c r="M33" s="124"/>
    </row>
    <row r="34" spans="1:13" ht="14" thickBot="1">
      <c r="B34" s="384" t="str">
        <f>B94</f>
        <v>RoRE - including financing and tax</v>
      </c>
      <c r="C34" s="385" t="s">
        <v>538</v>
      </c>
      <c r="D34" s="386">
        <f>SUM(D31:D33)</f>
        <v>8.2617412636517382E-2</v>
      </c>
      <c r="E34" s="387">
        <f t="shared" ref="E34:H34" si="7">SUM(E31:E33)</f>
        <v>0.11275197200240789</v>
      </c>
      <c r="F34" s="387">
        <f t="shared" si="7"/>
        <v>9.5460317673583692E-2</v>
      </c>
      <c r="G34" s="387">
        <f t="shared" si="7"/>
        <v>8.2007277890405364E-2</v>
      </c>
      <c r="H34" s="388">
        <f t="shared" si="7"/>
        <v>8.7587108350502041E-2</v>
      </c>
      <c r="I34" s="389"/>
      <c r="J34" s="390">
        <f>SUM(J31:J33)</f>
        <v>9.184344040220084E-2</v>
      </c>
      <c r="K34" s="388">
        <f>SUM(K31:K33)</f>
        <v>9.184344040220084E-2</v>
      </c>
      <c r="M34" s="124"/>
    </row>
    <row r="36" spans="1:13">
      <c r="D36" s="124"/>
      <c r="E36" s="124"/>
      <c r="F36" s="124"/>
      <c r="G36" s="124"/>
      <c r="H36" s="124"/>
      <c r="I36" s="124"/>
      <c r="J36" s="124"/>
      <c r="K36" s="124"/>
      <c r="L36" s="124"/>
    </row>
    <row r="38" spans="1:13">
      <c r="B38" s="372" t="s">
        <v>555</v>
      </c>
      <c r="C38" s="95"/>
      <c r="D38" s="95"/>
      <c r="E38" s="95"/>
      <c r="F38" s="95"/>
      <c r="G38" s="95"/>
      <c r="H38" s="95"/>
      <c r="I38" s="373"/>
      <c r="J38" s="95"/>
      <c r="K38" s="95"/>
      <c r="L38" s="95"/>
    </row>
    <row r="39" spans="1:13">
      <c r="B39" s="374"/>
      <c r="I39" s="82"/>
    </row>
    <row r="40" spans="1:13">
      <c r="B40" s="375" t="s">
        <v>537</v>
      </c>
      <c r="C40" s="376" t="s">
        <v>538</v>
      </c>
      <c r="D40" s="379">
        <f>IFERROR(Equity_Return_on_the_RAV/Equity_RAV_based_on_actual_gearing,0)</f>
        <v>4.0780787615323028E-2</v>
      </c>
      <c r="E40" s="379">
        <f>IFERROR(Equity_Return_on_the_RAV/Equity_RAV_based_on_actual_gearing,0)</f>
        <v>3.8566641393563521E-2</v>
      </c>
      <c r="F40" s="379">
        <f>IFERROR(Equity_Return_on_the_RAV/Equity_RAV_based_on_actual_gearing,0)</f>
        <v>4.3505935709121271E-2</v>
      </c>
      <c r="G40" s="379">
        <f>IFERROR(Equity_Return_on_the_RAV/Equity_RAV_based_on_actual_gearing,0)</f>
        <v>4.6149245127533815E-2</v>
      </c>
      <c r="H40" s="379">
        <f>IFERROR(Equity_Return_on_the_RAV/Equity_RAV_based_on_actual_gearing,0)</f>
        <v>4.6859301169399376E-2</v>
      </c>
      <c r="I40" s="380"/>
      <c r="J40" s="394">
        <f>IFERROR(AVERAGE(D69:INDEX(D69:H69,0,MATCH('RFPR cover'!$C$9,$D$6:$H$6,0)))/AVERAGE($D$97:INDEX($D$97:$H$97,0,MATCH('RFPR cover'!$C$9,$D$6:$H$6,0))),0)</f>
        <v>4.3373890775302661E-2</v>
      </c>
      <c r="K40" s="378">
        <f t="shared" ref="K40:K50" si="8">IFERROR(AVERAGE(D69:H69)/AVERAGE($D$97:$H$97),0)</f>
        <v>4.3373890775302661E-2</v>
      </c>
      <c r="M40" s="395"/>
    </row>
    <row r="41" spans="1:13">
      <c r="B41" s="375" t="str">
        <f t="shared" ref="B41:B52" si="9">B70</f>
        <v>Totex outperformance</v>
      </c>
      <c r="C41" s="376" t="s">
        <v>538</v>
      </c>
      <c r="D41" s="379">
        <f>IFERROR(Totex_outperformance/Equity_RAV_based_on_actual_gearing,0)</f>
        <v>1.049212366126526E-2</v>
      </c>
      <c r="E41" s="379">
        <f>IFERROR(Totex_outperformance/Equity_RAV_based_on_actual_gearing,0)</f>
        <v>1.0540644475802125E-2</v>
      </c>
      <c r="F41" s="379">
        <f>IFERROR(Totex_outperformance/Equity_RAV_based_on_actual_gearing,0)</f>
        <v>1.0136485949162537E-2</v>
      </c>
      <c r="G41" s="379">
        <f>IFERROR(Totex_outperformance/Equity_RAV_based_on_actual_gearing,0)</f>
        <v>1.0841831982600594E-2</v>
      </c>
      <c r="H41" s="379">
        <f>IFERROR(Totex_outperformance/Equity_RAV_based_on_actual_gearing,0)</f>
        <v>1.0743057975576408E-2</v>
      </c>
      <c r="I41" s="380"/>
      <c r="J41" s="394">
        <f>IFERROR(AVERAGE(D70:INDEX(D70:H70,0,MATCH('RFPR cover'!$C$9,$D$6:$H$6,0)))/AVERAGE($D$97:INDEX($D$97:$H$97,0,MATCH('RFPR cover'!$C$9,$D$6:$H$6,0))),0)</f>
        <v>1.0559133963784021E-2</v>
      </c>
      <c r="K41" s="381">
        <f t="shared" si="8"/>
        <v>1.0559133963784021E-2</v>
      </c>
    </row>
    <row r="42" spans="1:13">
      <c r="A42" s="382" t="s">
        <v>539</v>
      </c>
      <c r="B42" s="375" t="str">
        <f t="shared" si="9"/>
        <v>Business Plan Incentive</v>
      </c>
      <c r="C42" s="376" t="s">
        <v>538</v>
      </c>
      <c r="D42" s="379">
        <f>IFERROR(Business_Plan_Incentive/Equity_RAV_based_on_actual_gearing,0)</f>
        <v>-2.0018789982858185E-3</v>
      </c>
      <c r="E42" s="379">
        <f>IFERROR(Business_Plan_Incentive/Equity_RAV_based_on_actual_gearing,0)</f>
        <v>-1.8487294388102934E-3</v>
      </c>
      <c r="F42" s="379">
        <f>IFERROR(Business_Plan_Incentive/Equity_RAV_based_on_actual_gearing,0)</f>
        <v>-1.7689520945755465E-3</v>
      </c>
      <c r="G42" s="379">
        <f>IFERROR(Business_Plan_Incentive/Equity_RAV_based_on_actual_gearing,0)</f>
        <v>-1.6868449834507721E-3</v>
      </c>
      <c r="H42" s="379">
        <f>IFERROR(Business_Plan_Incentive/Equity_RAV_based_on_actual_gearing,0)</f>
        <v>-1.6019758352648994E-3</v>
      </c>
      <c r="I42" s="380"/>
      <c r="J42" s="394">
        <f>IFERROR(AVERAGE(D71:INDEX(D71:H71,0,MATCH('RFPR cover'!$C$9,$D$6:$H$6,0)))/AVERAGE($D$97:INDEX($D$97:$H$97,0,MATCH('RFPR cover'!$C$9,$D$6:$H$6,0))),0)</f>
        <v>-1.7712902885690964E-3</v>
      </c>
      <c r="K42" s="381">
        <f t="shared" si="8"/>
        <v>-1.7712902885690964E-3</v>
      </c>
    </row>
    <row r="43" spans="1:13">
      <c r="A43" s="382" t="s">
        <v>540</v>
      </c>
      <c r="B43" s="375" t="str">
        <f t="shared" si="9"/>
        <v>Energy not supplied ODI - (SpC 4.2)</v>
      </c>
      <c r="C43" s="376" t="s">
        <v>538</v>
      </c>
      <c r="D43" s="379">
        <f>IFERROR(ODI_1/Equity_RAV_based_on_actual_gearing,0)</f>
        <v>1.2842771247436509E-4</v>
      </c>
      <c r="E43" s="379">
        <f>IFERROR(ODI_1/Equity_RAV_based_on_actual_gearing,0)</f>
        <v>1.3979926370125725E-4</v>
      </c>
      <c r="F43" s="379">
        <f>IFERROR(ODI_1/Equity_RAV_based_on_actual_gearing,0)</f>
        <v>1.3867197563030136E-4</v>
      </c>
      <c r="G43" s="379">
        <f>IFERROR(ODI_1/Equity_RAV_based_on_actual_gearing,0)</f>
        <v>-1.90886779006776E-4</v>
      </c>
      <c r="H43" s="379">
        <f>IFERROR(ODI_1/Equity_RAV_based_on_actual_gearing,0)</f>
        <v>1.0089302763209073E-4</v>
      </c>
      <c r="I43" s="380"/>
      <c r="J43" s="394">
        <f>IFERROR(AVERAGE(D72:INDEX(D72:H72,0,MATCH('RFPR cover'!$C$9,$D$6:$H$6,0)))/AVERAGE($D$97:INDEX($D$97:$H$97,0,MATCH('RFPR cover'!$C$9,$D$6:$H$6,0))),0)</f>
        <v>5.9509402160552048E-5</v>
      </c>
      <c r="K43" s="381">
        <f t="shared" si="8"/>
        <v>5.9509402160552048E-5</v>
      </c>
    </row>
    <row r="44" spans="1:13">
      <c r="A44" s="382" t="s">
        <v>541</v>
      </c>
      <c r="B44" s="375" t="str">
        <f t="shared" si="9"/>
        <v>Insulation And Interruption Gas emissions ODI - (SpC 4.3)</v>
      </c>
      <c r="C44" s="376" t="s">
        <v>538</v>
      </c>
      <c r="D44" s="379">
        <f>IFERROR(ODI_2/Equity_RAV_based_on_actual_gearing,0)</f>
        <v>2.211850163457777E-4</v>
      </c>
      <c r="E44" s="379">
        <f>IFERROR(ODI_2/Equity_RAV_based_on_actual_gearing,0)</f>
        <v>1.5789060755063276E-4</v>
      </c>
      <c r="F44" s="379">
        <f>IFERROR(ODI_2/Equity_RAV_based_on_actual_gearing,0)</f>
        <v>-8.0244845414949526E-5</v>
      </c>
      <c r="G44" s="379">
        <f>IFERROR(ODI_2/Equity_RAV_based_on_actual_gearing,0)</f>
        <v>1.362482326423057E-4</v>
      </c>
      <c r="H44" s="379">
        <f>IFERROR(ODI_2/Equity_RAV_based_on_actual_gearing,0)</f>
        <v>2.2002602607197518E-4</v>
      </c>
      <c r="I44" s="380"/>
      <c r="J44" s="394">
        <f>IFERROR(AVERAGE(D73:INDEX(D73:H73,0,MATCH('RFPR cover'!$C$9,$D$6:$H$6,0)))/AVERAGE($D$97:INDEX($D$97:$H$97,0,MATCH('RFPR cover'!$C$9,$D$6:$H$6,0))),0)</f>
        <v>1.3059666934778368E-4</v>
      </c>
      <c r="K44" s="381">
        <f t="shared" si="8"/>
        <v>1.3059666934778368E-4</v>
      </c>
    </row>
    <row r="45" spans="1:13">
      <c r="A45" s="382" t="s">
        <v>542</v>
      </c>
      <c r="B45" s="375" t="str">
        <f t="shared" si="9"/>
        <v>Timely Connections ODI - (SpC 4.4)</v>
      </c>
      <c r="C45" s="376" t="s">
        <v>538</v>
      </c>
      <c r="D45" s="379">
        <f>IFERROR(ODI_3/Equity_RAV_based_on_actual_gearing,0)</f>
        <v>-4.045463809035924E-5</v>
      </c>
      <c r="E45" s="379">
        <f>IFERROR(ODI_3/Equity_RAV_based_on_actual_gearing,0)</f>
        <v>-2.5293213123369941E-5</v>
      </c>
      <c r="F45" s="379">
        <f>IFERROR(ODI_3/Equity_RAV_based_on_actual_gearing,0)</f>
        <v>-2.4478338494727913E-6</v>
      </c>
      <c r="G45" s="379">
        <f>IFERROR(ODI_3/Equity_RAV_based_on_actual_gearing,0)</f>
        <v>-1.371601271060317E-5</v>
      </c>
      <c r="H45" s="379">
        <f>IFERROR(ODI_3/Equity_RAV_based_on_actual_gearing,0)</f>
        <v>-1.1745923309701285E-5</v>
      </c>
      <c r="I45" s="380"/>
      <c r="J45" s="394">
        <f>IFERROR(AVERAGE(D74:INDEX(D74:H74,0,MATCH('RFPR cover'!$C$9,$D$6:$H$6,0)))/AVERAGE($D$97:INDEX($D$97:$H$97,0,MATCH('RFPR cover'!$C$9,$D$6:$H$6,0))),0)</f>
        <v>-1.7973928805855617E-5</v>
      </c>
      <c r="K45" s="381">
        <f t="shared" si="8"/>
        <v>-1.7973928805855617E-5</v>
      </c>
    </row>
    <row r="46" spans="1:13">
      <c r="A46" s="382" t="s">
        <v>543</v>
      </c>
      <c r="B46" s="375" t="str">
        <f t="shared" si="9"/>
        <v>Quality of connections satisfaction survey ODI - (SpC 4.5)</v>
      </c>
      <c r="C46" s="376" t="s">
        <v>538</v>
      </c>
      <c r="D46" s="379">
        <f>IFERROR(ODI_4/Equity_RAV_based_on_actual_gearing,0)</f>
        <v>3.6238020043248556E-5</v>
      </c>
      <c r="E46" s="379">
        <f>IFERROR(ODI_4/Equity_RAV_based_on_actual_gearing,0)</f>
        <v>-4.6504246338975055E-4</v>
      </c>
      <c r="F46" s="379">
        <f>IFERROR(ODI_4/Equity_RAV_based_on_actual_gearing,0)</f>
        <v>-4.0645380089467624E-4</v>
      </c>
      <c r="G46" s="379">
        <f>IFERROR(ODI_4/Equity_RAV_based_on_actual_gearing,0)</f>
        <v>-9.5613077695368327E-4</v>
      </c>
      <c r="H46" s="379">
        <f>IFERROR(ODI_4/Equity_RAV_based_on_actual_gearing,0)</f>
        <v>-5.0898812772755102E-4</v>
      </c>
      <c r="I46" s="380"/>
      <c r="J46" s="394">
        <f>IFERROR(AVERAGE(D75:INDEX(D75:H75,0,MATCH('RFPR cover'!$C$9,$D$6:$H$6,0)))/AVERAGE($D$97:INDEX($D$97:$H$97,0,MATCH('RFPR cover'!$C$9,$D$6:$H$6,0))),0)</f>
        <v>-4.7745386989435389E-4</v>
      </c>
      <c r="K46" s="381">
        <f t="shared" si="8"/>
        <v>-4.7745386989435389E-4</v>
      </c>
    </row>
    <row r="47" spans="1:13">
      <c r="A47" s="382" t="s">
        <v>544</v>
      </c>
      <c r="B47" s="375" t="str">
        <f t="shared" si="9"/>
        <v>SO-TO Optimisation ODI - (SpC 4.7)</v>
      </c>
      <c r="C47" s="376" t="s">
        <v>538</v>
      </c>
      <c r="D47" s="379">
        <f>IFERROR(ODI_5/Equity_RAV_based_on_actual_gearing,0)</f>
        <v>7.6995346087916088E-4</v>
      </c>
      <c r="E47" s="379">
        <f>IFERROR(ODI_5/Equity_RAV_based_on_actual_gearing,0)</f>
        <v>7.1104978415780515E-4</v>
      </c>
      <c r="F47" s="379">
        <f>IFERROR(ODI_5/Equity_RAV_based_on_actual_gearing,0)</f>
        <v>7.9679438121487388E-4</v>
      </c>
      <c r="G47" s="379">
        <f>IFERROR(ODI_5/Equity_RAV_based_on_actual_gearing,0)</f>
        <v>5.4209661307363618E-4</v>
      </c>
      <c r="H47" s="379">
        <f>IFERROR(ODI_5/Equity_RAV_based_on_actual_gearing,0)</f>
        <v>3.6383543654070047E-4</v>
      </c>
      <c r="I47" s="380"/>
      <c r="J47" s="394">
        <f>IFERROR(AVERAGE(D76:INDEX(D76:H76,0,MATCH('RFPR cover'!$C$9,$D$6:$H$6,0)))/AVERAGE($D$97:INDEX($D$97:$H$97,0,MATCH('RFPR cover'!$C$9,$D$6:$H$6,0))),0)</f>
        <v>6.2638054161391068E-4</v>
      </c>
      <c r="K47" s="381">
        <f t="shared" si="8"/>
        <v>6.2638054161391068E-4</v>
      </c>
    </row>
    <row r="48" spans="1:13">
      <c r="A48" s="382" t="s">
        <v>545</v>
      </c>
      <c r="B48" s="375" t="str">
        <f t="shared" si="9"/>
        <v>Environmental scorecard ODI - (SpC 4.6)</v>
      </c>
      <c r="C48" s="376" t="s">
        <v>538</v>
      </c>
      <c r="D48" s="379">
        <f>IFERROR(ODI_6/Equity_RAV_based_on_actual_gearing,0)</f>
        <v>7.9076628846715463E-5</v>
      </c>
      <c r="E48" s="379">
        <f>IFERROR(ODI_6/Equity_RAV_based_on_actual_gearing,0)</f>
        <v>1.4220218861266912E-4</v>
      </c>
      <c r="F48" s="379">
        <f>IFERROR(ODI_6/Equity_RAV_based_on_actual_gearing,0)</f>
        <v>1.3329333186874593E-4</v>
      </c>
      <c r="G48" s="379">
        <f>IFERROR(ODI_6/Equity_RAV_based_on_actual_gearing,0)</f>
        <v>1.4534120498409071E-4</v>
      </c>
      <c r="H48" s="379">
        <f>IFERROR(ODI_6/Equity_RAV_based_on_actual_gearing,0)</f>
        <v>1.3242963002520729E-4</v>
      </c>
      <c r="I48" s="380"/>
      <c r="J48" s="394">
        <f>IFERROR(AVERAGE(D77:INDEX(D77:H77,0,MATCH('RFPR cover'!$C$9,$D$6:$H$6,0)))/AVERAGE($D$97:INDEX($D$97:$H$97,0,MATCH('RFPR cover'!$C$9,$D$6:$H$6,0))),0)</f>
        <v>1.2774533380133259E-4</v>
      </c>
      <c r="K48" s="381">
        <f t="shared" si="8"/>
        <v>1.2774533380133259E-4</v>
      </c>
    </row>
    <row r="49" spans="1:11">
      <c r="A49" s="382" t="s">
        <v>546</v>
      </c>
      <c r="B49" s="375" t="str">
        <f t="shared" si="9"/>
        <v/>
      </c>
      <c r="C49" s="376" t="s">
        <v>538</v>
      </c>
      <c r="D49" s="379">
        <f>IFERROR(ODI_7/Equity_RAV_based_on_actual_gearing,0)</f>
        <v>0</v>
      </c>
      <c r="E49" s="379">
        <f>IFERROR(ODI_7/Equity_RAV_based_on_actual_gearing,0)</f>
        <v>0</v>
      </c>
      <c r="F49" s="379">
        <f>IFERROR(ODI_7/Equity_RAV_based_on_actual_gearing,0)</f>
        <v>0</v>
      </c>
      <c r="G49" s="379">
        <f>IFERROR(ODI_7/Equity_RAV_based_on_actual_gearing,0)</f>
        <v>0</v>
      </c>
      <c r="H49" s="379">
        <f>IFERROR(ODI_7/Equity_RAV_based_on_actual_gearing,0)</f>
        <v>0</v>
      </c>
      <c r="I49" s="380"/>
      <c r="J49" s="394">
        <f>IFERROR(AVERAGE(D78:INDEX(D78:H78,0,MATCH('RFPR cover'!$C$9,$D$6:$H$6,0)))/AVERAGE($D$97:INDEX($D$97:$H$97,0,MATCH('RFPR cover'!$C$9,$D$6:$H$6,0))),0)</f>
        <v>0</v>
      </c>
      <c r="K49" s="381">
        <f t="shared" si="8"/>
        <v>0</v>
      </c>
    </row>
    <row r="50" spans="1:11">
      <c r="A50" s="382" t="s">
        <v>547</v>
      </c>
      <c r="B50" s="375" t="str">
        <f t="shared" si="9"/>
        <v/>
      </c>
      <c r="C50" s="376" t="s">
        <v>538</v>
      </c>
      <c r="D50" s="379">
        <f>IFERROR(ODI_8/Equity_RAV_based_on_actual_gearing,0)</f>
        <v>0</v>
      </c>
      <c r="E50" s="379">
        <f>IFERROR(ODI_8/Equity_RAV_based_on_actual_gearing,0)</f>
        <v>0</v>
      </c>
      <c r="F50" s="379">
        <f>IFERROR(ODI_8/Equity_RAV_based_on_actual_gearing,0)</f>
        <v>0</v>
      </c>
      <c r="G50" s="379">
        <f>IFERROR(ODI_8/Equity_RAV_based_on_actual_gearing,0)</f>
        <v>0</v>
      </c>
      <c r="H50" s="379">
        <f>IFERROR(ODI_8/Equity_RAV_based_on_actual_gearing,0)</f>
        <v>0</v>
      </c>
      <c r="I50" s="380"/>
      <c r="J50" s="394">
        <f>IFERROR(AVERAGE(D79:INDEX(D79:H79,0,MATCH('RFPR cover'!$C$9,$D$6:$H$6,0)))/AVERAGE($D$97:INDEX($D$97:$H$97,0,MATCH('RFPR cover'!$C$9,$D$6:$H$6,0))),0)</f>
        <v>0</v>
      </c>
      <c r="K50" s="381">
        <f t="shared" si="8"/>
        <v>0</v>
      </c>
    </row>
    <row r="51" spans="1:11">
      <c r="A51" s="382" t="s">
        <v>547</v>
      </c>
      <c r="B51" s="375" t="str">
        <f t="shared" si="9"/>
        <v>Network innovation input for RORE</v>
      </c>
      <c r="C51" s="376" t="s">
        <v>538</v>
      </c>
      <c r="D51" s="379">
        <f>IFERROR(ORA_1/Equity_RAV_based_on_actual_gearing,0)</f>
        <v>-3.6372478013603062E-5</v>
      </c>
      <c r="E51" s="379">
        <f>IFERROR(ORA_1/Equity_RAV_based_on_actual_gearing,0)</f>
        <v>-7.932852213487319E-5</v>
      </c>
      <c r="F51" s="379">
        <f>IFERROR(ORA_1/Equity_RAV_based_on_actual_gearing,0)</f>
        <v>-1.3194668919547817E-4</v>
      </c>
      <c r="G51" s="379">
        <f>IFERROR(ORA_1/Equity_RAV_based_on_actual_gearing,0)</f>
        <v>-1.8402346701404715E-4</v>
      </c>
      <c r="H51" s="379">
        <f>IFERROR(ORA_1/Equity_RAV_based_on_actual_gearing,0)</f>
        <v>-1.7809747637579631E-4</v>
      </c>
      <c r="I51" s="380"/>
      <c r="J51" s="394">
        <f>IFERROR(AVERAGE(D80:INDEX(D80:H80,0,MATCH('RFPR cover'!$C$9,$D$6:$H$6,0)))/AVERAGE($D$97:INDEX($D$97:$H$97,0,MATCH('RFPR cover'!$C$9,$D$6:$H$6,0))),0)</f>
        <v>-1.2609325171993534E-4</v>
      </c>
      <c r="K51" s="381">
        <f>IFERROR(AVERAGE(D80:H80)/AVERAGE($D$97:$H$97),0)</f>
        <v>-1.2609325171993534E-4</v>
      </c>
    </row>
    <row r="52" spans="1:11">
      <c r="A52" s="382" t="s">
        <v>548</v>
      </c>
      <c r="B52" s="375" t="str">
        <f t="shared" si="9"/>
        <v>Carry-over Network innovation input for RORE</v>
      </c>
      <c r="C52" s="376" t="s">
        <v>538</v>
      </c>
      <c r="D52" s="379">
        <f>IFERROR(ORA_2/Equity_RAV_based_on_actual_gearing,0)</f>
        <v>-1.1175141327602204E-5</v>
      </c>
      <c r="E52" s="379">
        <f>IFERROR(ORA_2/Equity_RAV_based_on_actual_gearing,0)</f>
        <v>0</v>
      </c>
      <c r="F52" s="379">
        <f>IFERROR(ORA_2/Equity_RAV_based_on_actual_gearing,0)</f>
        <v>0</v>
      </c>
      <c r="G52" s="379">
        <f>IFERROR(ORA_2/Equity_RAV_based_on_actual_gearing,0)</f>
        <v>0</v>
      </c>
      <c r="H52" s="379">
        <f>IFERROR(ORA_2/Equity_RAV_based_on_actual_gearing,0)</f>
        <v>0</v>
      </c>
      <c r="I52" s="380"/>
      <c r="J52" s="394">
        <f>IFERROR(AVERAGE(D81:INDEX(D81:H81,0,MATCH('RFPR cover'!$C$9,$D$6:$H$6,0)))/AVERAGE($D$97:INDEX($D$97:$H$97,0,MATCH('RFPR cover'!$C$9,$D$6:$H$6,0))),0)</f>
        <v>-1.9775839922311624E-6</v>
      </c>
      <c r="K52" s="381">
        <f>IFERROR(AVERAGE(D81:H81)/AVERAGE($D$97:$H$97),0)</f>
        <v>-1.9775839922311624E-6</v>
      </c>
    </row>
    <row r="53" spans="1:11">
      <c r="A53" s="382" t="s">
        <v>549</v>
      </c>
      <c r="B53" s="396" t="str">
        <f>B82</f>
        <v>Strategic innovation input for RORE</v>
      </c>
      <c r="C53" s="376" t="s">
        <v>538</v>
      </c>
      <c r="D53" s="379">
        <f>IFERROR(ORA_3/Equity_RAV_based_on_actual_gearing,0)</f>
        <v>0</v>
      </c>
      <c r="E53" s="379">
        <f>IFERROR(ORA_3/Equity_RAV_based_on_actual_gearing,0)</f>
        <v>-1.3407128100209079E-5</v>
      </c>
      <c r="F53" s="379">
        <f>IFERROR(ORA_3/Equity_RAV_based_on_actual_gearing,0)</f>
        <v>-2.3102874089004343E-5</v>
      </c>
      <c r="G53" s="379">
        <f>IFERROR(ORA_3/Equity_RAV_based_on_actual_gearing,0)</f>
        <v>-8.6173236138782458E-6</v>
      </c>
      <c r="H53" s="379">
        <f>IFERROR(ORA_3/Equity_RAV_based_on_actual_gearing,0)</f>
        <v>-1.7875510040097346E-4</v>
      </c>
      <c r="I53" s="380"/>
      <c r="J53" s="394">
        <f>IFERROR(AVERAGE(D82:INDEX(D82:H82,0,MATCH('RFPR cover'!$C$9,$D$6:$H$6,0)))/AVERAGE($D$97:INDEX($D$97:$H$97,0,MATCH('RFPR cover'!$C$9,$D$6:$H$6,0))),0)</f>
        <v>-4.8535113920963261E-5</v>
      </c>
      <c r="K53" s="381">
        <f>IFERROR(AVERAGE(D82:H82)/AVERAGE($D$97:$H$97),0)</f>
        <v>-4.8535113920963261E-5</v>
      </c>
    </row>
    <row r="54" spans="1:11">
      <c r="A54" s="382" t="s">
        <v>550</v>
      </c>
      <c r="B54" s="375" t="str">
        <f t="shared" ref="B54:B60" si="10">B83</f>
        <v/>
      </c>
      <c r="C54" s="376" t="s">
        <v>538</v>
      </c>
      <c r="D54" s="379">
        <f>IFERROR(ORA_4/Equity_RAV_based_on_actual_gearing,0)</f>
        <v>0</v>
      </c>
      <c r="E54" s="379">
        <f>IFERROR(ORA_4/Equity_RAV_based_on_actual_gearing,0)</f>
        <v>0</v>
      </c>
      <c r="F54" s="379">
        <f>IFERROR(ORA_4/Equity_RAV_based_on_actual_gearing,0)</f>
        <v>0</v>
      </c>
      <c r="G54" s="379">
        <f>IFERROR(ORA_4/Equity_RAV_based_on_actual_gearing,0)</f>
        <v>0</v>
      </c>
      <c r="H54" s="379">
        <f>IFERROR(ORA_4/Equity_RAV_based_on_actual_gearing,0)</f>
        <v>0</v>
      </c>
      <c r="I54" s="380"/>
      <c r="J54" s="394">
        <f>IFERROR(AVERAGE(D83:INDEX(D83:H83,0,MATCH('RFPR cover'!$C$9,$D$6:$H$6,0)))/AVERAGE($D$97:INDEX($D$97:$H$97,0,MATCH('RFPR cover'!$C$9,$D$6:$H$6,0))),0)</f>
        <v>0</v>
      </c>
      <c r="K54" s="381">
        <f t="shared" ref="K54:K59" si="11">IFERROR(AVERAGE(D83:H83)/AVERAGE($D$97:$H$97),0)</f>
        <v>0</v>
      </c>
    </row>
    <row r="55" spans="1:11">
      <c r="A55" s="382" t="s">
        <v>551</v>
      </c>
      <c r="B55" s="375" t="str">
        <f t="shared" si="10"/>
        <v/>
      </c>
      <c r="C55" s="376" t="s">
        <v>538</v>
      </c>
      <c r="D55" s="379">
        <f>IFERROR(ORA_5/Equity_RAV_based_on_actual_gearing,0)</f>
        <v>0</v>
      </c>
      <c r="E55" s="379">
        <f>IFERROR(ORA_5/Equity_RAV_based_on_actual_gearing,0)</f>
        <v>0</v>
      </c>
      <c r="F55" s="379">
        <f>IFERROR(ORA_5/Equity_RAV_based_on_actual_gearing,0)</f>
        <v>0</v>
      </c>
      <c r="G55" s="379">
        <f>IFERROR(ORA_5/Equity_RAV_based_on_actual_gearing,0)</f>
        <v>0</v>
      </c>
      <c r="H55" s="379">
        <f>IFERROR(ORA_5/Equity_RAV_based_on_actual_gearing,0)</f>
        <v>0</v>
      </c>
      <c r="I55" s="380"/>
      <c r="J55" s="394">
        <f>IFERROR(AVERAGE(D84:INDEX(D84:H84,0,MATCH('RFPR cover'!$C$9,$D$6:$H$6,0)))/AVERAGE($D$97:INDEX($D$97:$H$97,0,MATCH('RFPR cover'!$C$9,$D$6:$H$6,0))),0)</f>
        <v>0</v>
      </c>
      <c r="K55" s="381">
        <f t="shared" si="11"/>
        <v>0</v>
      </c>
    </row>
    <row r="56" spans="1:11">
      <c r="A56" s="382" t="s">
        <v>552</v>
      </c>
      <c r="B56" s="375" t="str">
        <f t="shared" si="10"/>
        <v/>
      </c>
      <c r="C56" s="376" t="s">
        <v>538</v>
      </c>
      <c r="D56" s="379">
        <f>IFERROR(ORA_6/Equity_RAV_based_on_actual_gearing,0)</f>
        <v>0</v>
      </c>
      <c r="E56" s="379">
        <f>IFERROR(ORA_6/Equity_RAV_based_on_actual_gearing,0)</f>
        <v>0</v>
      </c>
      <c r="F56" s="379">
        <f>IFERROR(ORA_6/Equity_RAV_based_on_actual_gearing,0)</f>
        <v>0</v>
      </c>
      <c r="G56" s="379">
        <f>IFERROR(ORA_6/Equity_RAV_based_on_actual_gearing,0)</f>
        <v>0</v>
      </c>
      <c r="H56" s="379">
        <f>IFERROR(ORA_6/Equity_RAV_based_on_actual_gearing,0)</f>
        <v>0</v>
      </c>
      <c r="I56" s="380"/>
      <c r="J56" s="394">
        <f>IFERROR(AVERAGE(D85:INDEX(D85:H85,0,MATCH('RFPR cover'!$C$9,$D$6:$H$6,0)))/AVERAGE($D$97:INDEX($D$97:$H$97,0,MATCH('RFPR cover'!$C$9,$D$6:$H$6,0))),0)</f>
        <v>0</v>
      </c>
      <c r="K56" s="381">
        <f t="shared" si="11"/>
        <v>0</v>
      </c>
    </row>
    <row r="57" spans="1:11">
      <c r="A57" s="382" t="s">
        <v>553</v>
      </c>
      <c r="B57" s="375" t="str">
        <f t="shared" si="10"/>
        <v/>
      </c>
      <c r="C57" s="376" t="s">
        <v>538</v>
      </c>
      <c r="D57" s="379">
        <f>IFERROR(ORA_7/Equity_RAV_based_on_actual_gearing,0)</f>
        <v>0</v>
      </c>
      <c r="E57" s="379">
        <f>IFERROR(ORA_7/Equity_RAV_based_on_actual_gearing,0)</f>
        <v>0</v>
      </c>
      <c r="F57" s="379">
        <f>IFERROR(ORA_7/Equity_RAV_based_on_actual_gearing,0)</f>
        <v>0</v>
      </c>
      <c r="G57" s="379">
        <f>IFERROR(ORA_7/Equity_RAV_based_on_actual_gearing,0)</f>
        <v>0</v>
      </c>
      <c r="H57" s="379">
        <f>IFERROR(ORA_7/Equity_RAV_based_on_actual_gearing,0)</f>
        <v>0</v>
      </c>
      <c r="I57" s="380"/>
      <c r="J57" s="394">
        <f>IFERROR(AVERAGE(D86:INDEX(D86:H86,0,MATCH('RFPR cover'!$C$9,$D$6:$H$6,0)))/AVERAGE($D$97:INDEX($D$97:$H$97,0,MATCH('RFPR cover'!$C$9,$D$6:$H$6,0))),0)</f>
        <v>0</v>
      </c>
      <c r="K57" s="381">
        <f t="shared" si="11"/>
        <v>0</v>
      </c>
    </row>
    <row r="58" spans="1:11">
      <c r="A58" s="382" t="s">
        <v>554</v>
      </c>
      <c r="B58" s="375" t="str">
        <f t="shared" si="10"/>
        <v/>
      </c>
      <c r="C58" s="376" t="s">
        <v>538</v>
      </c>
      <c r="D58" s="379">
        <f>IFERROR(ORA_8/Equity_RAV_based_on_actual_gearing,0)</f>
        <v>0</v>
      </c>
      <c r="E58" s="379">
        <f>IFERROR(ORA_8/Equity_RAV_based_on_actual_gearing,0)</f>
        <v>0</v>
      </c>
      <c r="F58" s="379">
        <f>IFERROR(ORA_8/Equity_RAV_based_on_actual_gearing,0)</f>
        <v>0</v>
      </c>
      <c r="G58" s="379">
        <f>IFERROR(ORA_8/Equity_RAV_based_on_actual_gearing,0)</f>
        <v>0</v>
      </c>
      <c r="H58" s="379">
        <f>IFERROR(ORA_8/Equity_RAV_based_on_actual_gearing,0)</f>
        <v>0</v>
      </c>
      <c r="I58" s="380"/>
      <c r="J58" s="394">
        <f>IFERROR(AVERAGE(D87:INDEX(D87:H87,0,MATCH('RFPR cover'!$C$9,$D$6:$H$6,0)))/AVERAGE($D$97:INDEX($D$97:$H$97,0,MATCH('RFPR cover'!$C$9,$D$6:$H$6,0))),0)</f>
        <v>0</v>
      </c>
      <c r="K58" s="381">
        <f t="shared" si="11"/>
        <v>0</v>
      </c>
    </row>
    <row r="59" spans="1:11" ht="14" thickBot="1">
      <c r="B59" s="375" t="str">
        <f t="shared" si="10"/>
        <v>Penalties and fines (Other Activities)</v>
      </c>
      <c r="C59" s="376" t="s">
        <v>538</v>
      </c>
      <c r="D59" s="383">
        <f>IFERROR(Penalties_and_fines/Equity_RAV_based_on_actual_gearing,0)</f>
        <v>0</v>
      </c>
      <c r="E59" s="383">
        <f>IFERROR(Penalties_and_fines/Equity_RAV_based_on_actual_gearing,0)</f>
        <v>0</v>
      </c>
      <c r="F59" s="383">
        <f>IFERROR(Penalties_and_fines/Equity_RAV_based_on_actual_gearing,0)</f>
        <v>0</v>
      </c>
      <c r="G59" s="383">
        <f>IFERROR(Penalties_and_fines/Equity_RAV_based_on_actual_gearing,0)</f>
        <v>0</v>
      </c>
      <c r="H59" s="383">
        <f>IFERROR(Penalties_and_fines/Equity_RAV_based_on_actual_gearing,0)</f>
        <v>0</v>
      </c>
      <c r="I59" s="380"/>
      <c r="J59" s="394">
        <f>IFERROR(AVERAGE(D88:INDEX(D88:H88,0,MATCH('RFPR cover'!$C$9,$D$6:$H$6,0)))/AVERAGE($D$97:INDEX($D$97:$H$97,0,MATCH('RFPR cover'!$C$9,$D$6:$H$6,0))),0)</f>
        <v>0</v>
      </c>
      <c r="K59" s="381">
        <f t="shared" si="11"/>
        <v>0</v>
      </c>
    </row>
    <row r="60" spans="1:11" ht="14" thickBot="1">
      <c r="B60" s="384" t="str">
        <f t="shared" si="10"/>
        <v>RoRE - Operational performance</v>
      </c>
      <c r="C60" s="385" t="s">
        <v>538</v>
      </c>
      <c r="D60" s="386">
        <f t="shared" ref="D60:H60" si="12">SUM(D40:D59)</f>
        <v>5.0417910859460159E-2</v>
      </c>
      <c r="E60" s="387">
        <f t="shared" si="12"/>
        <v>4.7826426947829521E-2</v>
      </c>
      <c r="F60" s="387">
        <f t="shared" si="12"/>
        <v>5.2298033208978606E-2</v>
      </c>
      <c r="G60" s="387">
        <f t="shared" si="12"/>
        <v>5.4774543818084692E-2</v>
      </c>
      <c r="H60" s="388">
        <f t="shared" si="12"/>
        <v>5.593998080216684E-2</v>
      </c>
      <c r="I60" s="389"/>
      <c r="J60" s="390">
        <f>SUM(J40:J59)</f>
        <v>5.2433932649107826E-2</v>
      </c>
      <c r="K60" s="388">
        <f>SUM(K40:K59)</f>
        <v>5.2433932649107826E-2</v>
      </c>
    </row>
    <row r="61" spans="1:11">
      <c r="B61" s="375" t="s">
        <v>556</v>
      </c>
      <c r="C61" s="376" t="s">
        <v>538</v>
      </c>
      <c r="D61" s="391">
        <f>IFERROR((Debt_performance___at_notional_gearing+Debt_performance___impact_of_actual_gearing)/Equity_RAV_based_on_actual_gearing,0)</f>
        <v>2.9370602263199649E-2</v>
      </c>
      <c r="E61" s="391">
        <f>IFERROR((Debt_performance___at_notional_gearing+Debt_performance___impact_of_actual_gearing)/Equity_RAV_based_on_actual_gearing,0)</f>
        <v>4.9369063656306118E-2</v>
      </c>
      <c r="F61" s="391">
        <f>IFERROR((Debt_performance___at_notional_gearing+Debt_performance___impact_of_actual_gearing)/Equity_RAV_based_on_actual_gearing,0)</f>
        <v>3.5125657202366753E-2</v>
      </c>
      <c r="G61" s="391">
        <f>IFERROR((Debt_performance___at_notional_gearing+Debt_performance___impact_of_actual_gearing)/Equity_RAV_based_on_actual_gearing,0)</f>
        <v>1.774249429477958E-2</v>
      </c>
      <c r="H61" s="391">
        <f>IFERROR((Debt_performance___at_notional_gearing+Debt_performance___impact_of_actual_gearing)/Equity_RAV_based_on_actual_gearing,0)</f>
        <v>2.4239417570388628E-2</v>
      </c>
      <c r="I61" s="380"/>
      <c r="J61" s="392">
        <f>IFERROR((AVERAGE(D90:INDEX(D90:H90,0,MATCH('RFPR cover'!$C$9,$D$6:$H$6,0)))+AVERAGE(D91:INDEX(D91:H91,0,MATCH('RFPR cover'!$C$9,$D$6:$H$6,0))))/AVERAGE($D$97:INDEX($D$97:$H$97,0,MATCH('RFPR cover'!$C$9,$D$6:$H$6,0))),0)</f>
        <v>3.0778543030651528E-2</v>
      </c>
      <c r="K61" s="392">
        <f>IFERROR((AVERAGE(D90:H90)+AVERAGE(D91:H91))/AVERAGE($D$97:$H$97),0)</f>
        <v>3.0778543030651528E-2</v>
      </c>
    </row>
    <row r="62" spans="1:11" ht="14" thickBot="1">
      <c r="B62" s="375" t="s">
        <v>557</v>
      </c>
      <c r="C62" s="376" t="s">
        <v>538</v>
      </c>
      <c r="D62" s="397">
        <f>IFERROR((Tax_performance___at_notional_gearing+Tax_performance___impact_of_actual_gearing)/D$97,0)</f>
        <v>-5.4765845202179491E-4</v>
      </c>
      <c r="E62" s="397">
        <f>IFERROR((Tax_performance___at_notional_gearing+Tax_performance___impact_of_actual_gearing)/E$97,0)</f>
        <v>2.6841844911793117E-3</v>
      </c>
      <c r="F62" s="397">
        <f>IFERROR((Tax_performance___at_notional_gearing+Tax_performance___impact_of_actual_gearing)/F$97,0)</f>
        <v>-4.0968372753641151E-3</v>
      </c>
      <c r="G62" s="397">
        <f>IFERROR((Tax_performance___at_notional_gearing+Tax_performance___impact_of_actual_gearing)/G$97,0)</f>
        <v>6.9421815149581852E-4</v>
      </c>
      <c r="H62" s="397">
        <f>IFERROR((Tax_performance___at_notional_gearing+Tax_performance___impact_of_actual_gearing)/H$97,0)</f>
        <v>4.6866585070009685E-4</v>
      </c>
      <c r="I62" s="380"/>
      <c r="J62" s="393">
        <f>IFERROR((AVERAGE(D92:INDEX(D92:H92,0,MATCH('RFPR cover'!$C$9,$D$6:$H$6,0)))+AVERAGE(D93:INDEX(D93:H93,0,MATCH('RFPR cover'!$C$9,$D$6:$H$6,0))))/AVERAGE($D$97:INDEX($D$97:$H$97,0,MATCH('RFPR cover'!$C$9,$D$6:$H$6,0))),0)</f>
        <v>-1.5358143274203206E-4</v>
      </c>
      <c r="K62" s="393">
        <f>IFERROR((AVERAGE(D92:H92)+AVERAGE(D93:H93))/AVERAGE($D$97:$H$97),0)</f>
        <v>-1.5358143274203206E-4</v>
      </c>
    </row>
    <row r="63" spans="1:11" ht="14" thickBot="1">
      <c r="B63" s="384" t="str">
        <f>B94</f>
        <v>RoRE - including financing and tax</v>
      </c>
      <c r="C63" s="385" t="s">
        <v>538</v>
      </c>
      <c r="D63" s="386">
        <f>SUM(D60:D62)</f>
        <v>7.9240854670638003E-2</v>
      </c>
      <c r="E63" s="387">
        <f t="shared" ref="E63:H63" si="13">SUM(E60:E62)</f>
        <v>9.9879675095314951E-2</v>
      </c>
      <c r="F63" s="387">
        <f t="shared" si="13"/>
        <v>8.3326853135981246E-2</v>
      </c>
      <c r="G63" s="387">
        <f t="shared" si="13"/>
        <v>7.3211256264360092E-2</v>
      </c>
      <c r="H63" s="388">
        <f t="shared" si="13"/>
        <v>8.0648064223255572E-2</v>
      </c>
      <c r="I63" s="389"/>
      <c r="J63" s="390">
        <f>SUM(J60:J62)</f>
        <v>8.3058894247017317E-2</v>
      </c>
      <c r="K63" s="388">
        <f>SUM(K60:K62)</f>
        <v>8.3058894247017317E-2</v>
      </c>
    </row>
    <row r="64" spans="1:11">
      <c r="B64" s="398"/>
      <c r="C64" s="385"/>
      <c r="D64" s="399"/>
      <c r="E64" s="399"/>
      <c r="F64" s="399"/>
      <c r="G64" s="399"/>
      <c r="H64" s="399"/>
      <c r="I64" s="389"/>
      <c r="J64" s="399"/>
      <c r="K64" s="399"/>
    </row>
    <row r="65" spans="1:12">
      <c r="B65" s="398"/>
      <c r="C65" s="385"/>
      <c r="D65" s="399"/>
      <c r="E65" s="399"/>
      <c r="F65" s="399"/>
      <c r="G65" s="399"/>
      <c r="H65" s="399"/>
      <c r="I65" s="389"/>
      <c r="J65" s="399"/>
      <c r="K65" s="399"/>
    </row>
    <row r="66" spans="1:12">
      <c r="B66" s="400" t="s">
        <v>558</v>
      </c>
      <c r="C66" s="401"/>
      <c r="D66" s="402"/>
      <c r="E66" s="402"/>
      <c r="F66" s="402"/>
      <c r="G66" s="402"/>
      <c r="H66" s="402"/>
      <c r="I66" s="403"/>
      <c r="J66" s="402"/>
      <c r="K66" s="402"/>
      <c r="L66" s="95"/>
    </row>
    <row r="67" spans="1:12">
      <c r="B67" s="404" t="str">
        <f>"Input values provided in "&amp;Data!C9&amp;" prices"</f>
        <v>Input values provided in £m 18/19 prices</v>
      </c>
      <c r="C67" s="405"/>
      <c r="D67" s="405"/>
      <c r="E67" s="405"/>
      <c r="F67" s="405"/>
      <c r="G67" s="405"/>
      <c r="H67" s="405"/>
      <c r="I67" s="405"/>
      <c r="J67" s="405"/>
      <c r="K67" s="405"/>
      <c r="L67" s="405"/>
    </row>
    <row r="69" spans="1:12">
      <c r="B69" s="406" t="s">
        <v>559</v>
      </c>
      <c r="C69" s="407" t="str">
        <f>Data!$C$9</f>
        <v>£m 18/19</v>
      </c>
      <c r="D69" s="408">
        <f>'R7 - RAV'!F44</f>
        <v>264.82631540325855</v>
      </c>
      <c r="E69" s="409">
        <f>'R7 - RAV'!G44</f>
        <v>271.19508544147396</v>
      </c>
      <c r="F69" s="409">
        <f>'R7 - RAV'!H44</f>
        <v>319.72440969594754</v>
      </c>
      <c r="G69" s="409">
        <f>'R7 - RAV'!I44</f>
        <v>355.65816215704916</v>
      </c>
      <c r="H69" s="409">
        <f>'R7 - RAV'!J44</f>
        <v>380.26223728990311</v>
      </c>
      <c r="I69" s="14"/>
      <c r="J69" s="410">
        <f>SUM(D69:INDEX(D69:H69,0,MATCH('RFPR cover'!$C$9,$D$6:$H$6,0)))</f>
        <v>1591.6662099876323</v>
      </c>
      <c r="K69" s="410">
        <f t="shared" ref="K69:K88" si="14">SUM(D69:H69)</f>
        <v>1591.6662099876323</v>
      </c>
      <c r="L69" s="14"/>
    </row>
    <row r="70" spans="1:12">
      <c r="B70" s="406" t="s">
        <v>560</v>
      </c>
      <c r="C70" s="407" t="str">
        <f>Data!$C$9</f>
        <v>£m 18/19</v>
      </c>
      <c r="D70" s="411">
        <f>'R3 - Totex - Reconciliation'!D104</f>
        <v>68.134791220270458</v>
      </c>
      <c r="E70" s="411">
        <f>'R3 - Totex - Reconciliation'!E104</f>
        <v>74.120298681244037</v>
      </c>
      <c r="F70" s="411">
        <f>'R3 - Totex - Reconciliation'!F104</f>
        <v>74.492869390412608</v>
      </c>
      <c r="G70" s="411">
        <f>'R3 - Totex - Reconciliation'!G104</f>
        <v>83.554693618307198</v>
      </c>
      <c r="H70" s="411">
        <f>'R3 - Totex - Reconciliation'!H104</f>
        <v>87.179688112710807</v>
      </c>
      <c r="I70" s="14"/>
      <c r="J70" s="410">
        <f>SUM(D70:INDEX(D70:H70,0,MATCH('RFPR cover'!$C$9,$D$6:$H$6,0)))</f>
        <v>387.48234102294509</v>
      </c>
      <c r="K70" s="410">
        <f t="shared" si="14"/>
        <v>387.48234102294509</v>
      </c>
      <c r="L70" s="14"/>
    </row>
    <row r="71" spans="1:12">
      <c r="A71" s="382" t="s">
        <v>539</v>
      </c>
      <c r="B71" s="406" t="s">
        <v>561</v>
      </c>
      <c r="C71" s="407" t="str">
        <f>Data!$C$9</f>
        <v>£m 18/19</v>
      </c>
      <c r="D71" s="412">
        <f>'R4 - Incentives and Other Rev'!D12</f>
        <v>-13</v>
      </c>
      <c r="E71" s="412">
        <f>'R4 - Incentives and Other Rev'!E12</f>
        <v>-13</v>
      </c>
      <c r="F71" s="412">
        <f>'R4 - Incentives and Other Rev'!F12</f>
        <v>-13</v>
      </c>
      <c r="G71" s="412">
        <f>'R4 - Incentives and Other Rev'!G12</f>
        <v>-13</v>
      </c>
      <c r="H71" s="412">
        <f>'R4 - Incentives and Other Rev'!H12</f>
        <v>-13</v>
      </c>
      <c r="I71" s="14"/>
      <c r="J71" s="410">
        <f>SUM(D71:INDEX(D71:H71,0,MATCH('RFPR cover'!$C$9,$D$6:$H$6,0)))</f>
        <v>-65</v>
      </c>
      <c r="K71" s="410">
        <f t="shared" si="14"/>
        <v>-65</v>
      </c>
      <c r="L71" s="14"/>
    </row>
    <row r="72" spans="1:12">
      <c r="A72" s="382" t="s">
        <v>540</v>
      </c>
      <c r="B72" s="413" t="str">
        <f>'R4 - Incentives and Other Rev'!B14</f>
        <v>Energy not supplied ODI - (SpC 4.2)</v>
      </c>
      <c r="C72" s="407" t="str">
        <f>Data!$C$9</f>
        <v>£m 18/19</v>
      </c>
      <c r="D72" s="412">
        <f>'R4 - Incentives and Other Rev'!D14</f>
        <v>0.83399659199999998</v>
      </c>
      <c r="E72" s="412">
        <f>'R4 - Incentives and Other Rev'!E14</f>
        <v>0.98304835200000018</v>
      </c>
      <c r="F72" s="412">
        <f>'R4 - Incentives and Other Rev'!F14</f>
        <v>1.01909808</v>
      </c>
      <c r="G72" s="412">
        <f>'R4 - Incentives and Other Rev'!G14</f>
        <v>-1.4711062079999999</v>
      </c>
      <c r="H72" s="412">
        <f>'R4 - Incentives and Other Rev'!H14</f>
        <v>0.81874478399999995</v>
      </c>
      <c r="I72" s="414"/>
      <c r="J72" s="410">
        <f>SUM(D72:INDEX(D72:H72,0,MATCH('RFPR cover'!$C$9,$D$6:$H$6,0)))</f>
        <v>2.1837816000000001</v>
      </c>
      <c r="K72" s="410">
        <f t="shared" si="14"/>
        <v>2.1837816000000001</v>
      </c>
      <c r="L72" s="14"/>
    </row>
    <row r="73" spans="1:12">
      <c r="A73" s="382" t="s">
        <v>541</v>
      </c>
      <c r="B73" s="413" t="str">
        <f>'R4 - Incentives and Other Rev'!B15</f>
        <v>Insulation And Interruption Gas emissions ODI - (SpC 4.3)</v>
      </c>
      <c r="C73" s="407" t="str">
        <f>Data!$C$9</f>
        <v>£m 18/19</v>
      </c>
      <c r="D73" s="412">
        <f>'R4 - Incentives and Other Rev'!D15</f>
        <v>1.4363531536907477</v>
      </c>
      <c r="E73" s="412">
        <f>'R4 - Incentives and Other Rev'!E15</f>
        <v>1.1102640846564948</v>
      </c>
      <c r="F73" s="412">
        <f>'R4 - Incentives and Other Rev'!F15</f>
        <v>-0.58971805601363769</v>
      </c>
      <c r="G73" s="412">
        <f>'R4 - Incentives and Other Rev'!G15</f>
        <v>1.0500235894388956</v>
      </c>
      <c r="H73" s="412">
        <f>'R4 - Incentives and Other Rev'!H15</f>
        <v>1.785506545086367</v>
      </c>
      <c r="I73" s="414"/>
      <c r="J73" s="410">
        <f>SUM(D73:INDEX(D73:H73,0,MATCH('RFPR cover'!$C$9,$D$6:$H$6,0)))</f>
        <v>4.7924293168588674</v>
      </c>
      <c r="K73" s="410">
        <f t="shared" si="14"/>
        <v>4.7924293168588674</v>
      </c>
      <c r="L73" s="14"/>
    </row>
    <row r="74" spans="1:12">
      <c r="A74" s="382" t="s">
        <v>542</v>
      </c>
      <c r="B74" s="413" t="str">
        <f>'R4 - Incentives and Other Rev'!B16</f>
        <v>Timely Connections ODI - (SpC 4.4)</v>
      </c>
      <c r="C74" s="407" t="str">
        <f>Data!$C$9</f>
        <v>£m 18/19</v>
      </c>
      <c r="D74" s="412">
        <f>'R4 - Incentives and Other Rev'!D16</f>
        <v>-0.26270833333333332</v>
      </c>
      <c r="E74" s="412">
        <f>'R4 - Incentives and Other Rev'!E16</f>
        <v>-0.17785824345146381</v>
      </c>
      <c r="F74" s="412">
        <f>'R4 - Incentives and Other Rev'!F16</f>
        <v>-1.7989090909090909E-2</v>
      </c>
      <c r="G74" s="412">
        <f>'R4 - Incentives and Other Rev'!G16</f>
        <v>-0.1057051282051282</v>
      </c>
      <c r="H74" s="412">
        <f>'R4 - Incentives and Other Rev'!H16</f>
        <v>-9.5317919075144503E-2</v>
      </c>
      <c r="I74" s="414"/>
      <c r="J74" s="410">
        <f>SUM(D74:INDEX(D74:H74,0,MATCH('RFPR cover'!$C$9,$D$6:$H$6,0)))</f>
        <v>-0.65957871497416076</v>
      </c>
      <c r="K74" s="410">
        <f t="shared" si="14"/>
        <v>-0.65957871497416076</v>
      </c>
      <c r="L74" s="14"/>
    </row>
    <row r="75" spans="1:12">
      <c r="A75" s="382" t="s">
        <v>543</v>
      </c>
      <c r="B75" s="413" t="str">
        <f>'R4 - Incentives and Other Rev'!B17</f>
        <v>Quality of connections satisfaction survey ODI - (SpC 4.5)</v>
      </c>
      <c r="C75" s="407" t="str">
        <f>Data!$C$9</f>
        <v>£m 18/19</v>
      </c>
      <c r="D75" s="412">
        <f>'R4 - Incentives and Other Rev'!D17</f>
        <v>0.2353260416666656</v>
      </c>
      <c r="E75" s="412">
        <f>'R4 - Incentives and Other Rev'!E17</f>
        <v>-3.2701118385160948</v>
      </c>
      <c r="F75" s="412">
        <f>'R4 - Incentives and Other Rev'!F17</f>
        <v>-2.987022332506208</v>
      </c>
      <c r="G75" s="412">
        <f>'R4 - Incentives and Other Rev'!G17</f>
        <v>-7.3686083916083946</v>
      </c>
      <c r="H75" s="412">
        <f>'R4 - Incentives and Other Rev'!H17</f>
        <v>-4.1304278846153855</v>
      </c>
      <c r="I75" s="414"/>
      <c r="J75" s="410">
        <f>SUM(D75:INDEX(D75:H75,0,MATCH('RFPR cover'!$C$9,$D$6:$H$6,0)))</f>
        <v>-17.520844405579417</v>
      </c>
      <c r="K75" s="410">
        <f t="shared" si="14"/>
        <v>-17.520844405579417</v>
      </c>
      <c r="L75" s="14"/>
    </row>
    <row r="76" spans="1:12">
      <c r="A76" s="382" t="s">
        <v>544</v>
      </c>
      <c r="B76" s="413" t="str">
        <f>'R4 - Incentives and Other Rev'!B18</f>
        <v>SO-TO Optimisation ODI - (SpC 4.7)</v>
      </c>
      <c r="C76" s="407" t="str">
        <f>Data!$C$9</f>
        <v>£m 18/19</v>
      </c>
      <c r="D76" s="412">
        <f>'R4 - Incentives and Other Rev'!D18</f>
        <v>5</v>
      </c>
      <c r="E76" s="412">
        <f>'R4 - Incentives and Other Rev'!E18</f>
        <v>5</v>
      </c>
      <c r="F76" s="412">
        <f>'R4 - Incentives and Other Rev'!F18</f>
        <v>5.8556288706500004</v>
      </c>
      <c r="G76" s="412">
        <f>'R4 - Incentives and Other Rev'!G18</f>
        <v>4.1777733218500774</v>
      </c>
      <c r="H76" s="412">
        <f>'R4 - Incentives and Other Rev'!H18</f>
        <v>2.9525168675512425</v>
      </c>
      <c r="I76" s="414"/>
      <c r="J76" s="410">
        <f>SUM(D76:INDEX(D76:H76,0,MATCH('RFPR cover'!$C$9,$D$6:$H$6,0)))</f>
        <v>22.985919060051319</v>
      </c>
      <c r="K76" s="410">
        <f t="shared" si="14"/>
        <v>22.985919060051319</v>
      </c>
      <c r="L76" s="14"/>
    </row>
    <row r="77" spans="1:12">
      <c r="A77" s="382" t="s">
        <v>545</v>
      </c>
      <c r="B77" s="413" t="str">
        <f>'R4 - Incentives and Other Rev'!B19</f>
        <v>Environmental scorecard ODI - (SpC 4.6)</v>
      </c>
      <c r="C77" s="407" t="str">
        <f>Data!$C$9</f>
        <v>£m 18/19</v>
      </c>
      <c r="D77" s="412">
        <f>'R4 - Incentives and Other Rev'!D19</f>
        <v>0.51351564000000005</v>
      </c>
      <c r="E77" s="412">
        <f>'R4 - Incentives and Other Rev'!E19</f>
        <v>0.99994537500000014</v>
      </c>
      <c r="F77" s="412">
        <f>'R4 - Incentives and Other Rev'!F19</f>
        <v>0.97957051500000025</v>
      </c>
      <c r="G77" s="412">
        <f>'R4 - Incentives and Other Rev'!G19</f>
        <v>1.1201003550000002</v>
      </c>
      <c r="H77" s="412">
        <f>'R4 - Incentives and Other Rev'!H19</f>
        <v>1.0746636449999991</v>
      </c>
      <c r="I77" s="414"/>
      <c r="J77" s="410">
        <f>SUM(D77:INDEX(D77:H77,0,MATCH('RFPR cover'!$C$9,$D$6:$H$6,0)))</f>
        <v>4.6877955299999998</v>
      </c>
      <c r="K77" s="410">
        <f t="shared" si="14"/>
        <v>4.6877955299999998</v>
      </c>
      <c r="L77" s="14"/>
    </row>
    <row r="78" spans="1:12">
      <c r="A78" s="382" t="s">
        <v>546</v>
      </c>
      <c r="B78" s="413" t="str">
        <f>'R4 - Incentives and Other Rev'!B20</f>
        <v/>
      </c>
      <c r="C78" s="407" t="str">
        <f>Data!$C$9</f>
        <v>£m 18/19</v>
      </c>
      <c r="D78" s="412">
        <f>'R4 - Incentives and Other Rev'!D20</f>
        <v>0</v>
      </c>
      <c r="E78" s="412">
        <f>'R4 - Incentives and Other Rev'!E20</f>
        <v>0</v>
      </c>
      <c r="F78" s="412">
        <f>'R4 - Incentives and Other Rev'!F20</f>
        <v>0</v>
      </c>
      <c r="G78" s="412">
        <f>'R4 - Incentives and Other Rev'!G20</f>
        <v>0</v>
      </c>
      <c r="H78" s="412">
        <f>'R4 - Incentives and Other Rev'!H20</f>
        <v>0</v>
      </c>
      <c r="I78" s="380"/>
      <c r="J78" s="410">
        <f>SUM(D78:INDEX(D78:H78,0,MATCH('RFPR cover'!$C$9,$D$6:$H$6,0)))</f>
        <v>0</v>
      </c>
      <c r="K78" s="410">
        <f t="shared" si="14"/>
        <v>0</v>
      </c>
      <c r="L78" s="14"/>
    </row>
    <row r="79" spans="1:12">
      <c r="A79" s="382" t="s">
        <v>547</v>
      </c>
      <c r="B79" s="413" t="str">
        <f>'R4 - Incentives and Other Rev'!B21</f>
        <v/>
      </c>
      <c r="C79" s="407" t="str">
        <f>Data!$C$9</f>
        <v>£m 18/19</v>
      </c>
      <c r="D79" s="412">
        <f>'R4 - Incentives and Other Rev'!D21</f>
        <v>0</v>
      </c>
      <c r="E79" s="412">
        <f>'R4 - Incentives and Other Rev'!E21</f>
        <v>0</v>
      </c>
      <c r="F79" s="412">
        <f>'R4 - Incentives and Other Rev'!F21</f>
        <v>0</v>
      </c>
      <c r="G79" s="412">
        <f>'R4 - Incentives and Other Rev'!G21</f>
        <v>0</v>
      </c>
      <c r="H79" s="412">
        <f>'R4 - Incentives and Other Rev'!H21</f>
        <v>0</v>
      </c>
      <c r="I79" s="380"/>
      <c r="J79" s="410">
        <f>SUM(D79:INDEX(D79:H79,0,MATCH('RFPR cover'!$C$9,$D$6:$H$6,0)))</f>
        <v>0</v>
      </c>
      <c r="K79" s="410">
        <f t="shared" si="14"/>
        <v>0</v>
      </c>
      <c r="L79" s="14"/>
    </row>
    <row r="80" spans="1:12">
      <c r="A80" s="382" t="s">
        <v>547</v>
      </c>
      <c r="B80" s="413" t="str">
        <f>'R4 - Incentives and Other Rev'!B45</f>
        <v>Network innovation input for RORE</v>
      </c>
      <c r="C80" s="407" t="str">
        <f>Data!$C$9</f>
        <v>£m 18/19</v>
      </c>
      <c r="D80" s="412">
        <f>-'R4 - Incentives and Other Rev'!D45</f>
        <v>-0.23619919814420759</v>
      </c>
      <c r="E80" s="412">
        <f>-'R4 - Incentives and Other Rev'!E45</f>
        <v>-0.5578267788157264</v>
      </c>
      <c r="F80" s="412">
        <f>-'R4 - Incentives and Other Rev'!F45</f>
        <v>-0.96967406002749768</v>
      </c>
      <c r="G80" s="412">
        <f>-'R4 - Incentives and Other Rev'!G45</f>
        <v>-1.4182127549673735</v>
      </c>
      <c r="H80" s="412">
        <f>-'R4 - Incentives and Other Rev'!H45</f>
        <v>-1.445257251650431</v>
      </c>
      <c r="I80" s="14"/>
      <c r="J80" s="410">
        <f>SUM(D80:INDEX(D80:H80,0,MATCH('RFPR cover'!$C$9,$D$6:$H$6,0)))</f>
        <v>-4.6271700436052363</v>
      </c>
      <c r="K80" s="410">
        <f t="shared" si="14"/>
        <v>-4.6271700436052363</v>
      </c>
      <c r="L80" s="14"/>
    </row>
    <row r="81" spans="1:12">
      <c r="A81" s="382" t="s">
        <v>548</v>
      </c>
      <c r="B81" s="413" t="str">
        <f>'R4 - Incentives and Other Rev'!B52</f>
        <v>Carry-over Network innovation input for RORE</v>
      </c>
      <c r="C81" s="407" t="str">
        <f>Data!$C$9</f>
        <v>£m 18/19</v>
      </c>
      <c r="D81" s="412">
        <f>-'R4 - Incentives and Other Rev'!D52</f>
        <v>-7.2570238952118102E-2</v>
      </c>
      <c r="E81" s="412">
        <f>-'R4 - Incentives and Other Rev'!E52</f>
        <v>0</v>
      </c>
      <c r="F81" s="412">
        <f>-'R4 - Incentives and Other Rev'!F52</f>
        <v>0</v>
      </c>
      <c r="G81" s="412">
        <f>-'R4 - Incentives and Other Rev'!G52</f>
        <v>0</v>
      </c>
      <c r="H81" s="412">
        <f>-'R4 - Incentives and Other Rev'!H52</f>
        <v>0</v>
      </c>
      <c r="I81" s="14"/>
      <c r="J81" s="410">
        <f>SUM(D81:INDEX(D81:H81,0,MATCH('RFPR cover'!$C$9,$D$6:$H$6,0)))</f>
        <v>-7.2570238952118102E-2</v>
      </c>
      <c r="K81" s="410">
        <f t="shared" si="14"/>
        <v>-7.2570238952118102E-2</v>
      </c>
      <c r="L81" s="14"/>
    </row>
    <row r="82" spans="1:12">
      <c r="A82" s="382" t="s">
        <v>549</v>
      </c>
      <c r="B82" s="413" t="str">
        <f>'R4 - Incentives and Other Rev'!B59</f>
        <v>Strategic innovation input for RORE</v>
      </c>
      <c r="C82" s="407" t="str">
        <f>Data!$C$9</f>
        <v>£m 18/19</v>
      </c>
      <c r="D82" s="412">
        <f>-'R4 - Incentives and Other Rev'!D59</f>
        <v>0</v>
      </c>
      <c r="E82" s="412">
        <f>-'R4 - Incentives and Other Rev'!E59</f>
        <v>-9.4277E-2</v>
      </c>
      <c r="F82" s="412">
        <f>-'R4 - Incentives and Other Rev'!F59</f>
        <v>-0.16978264367816093</v>
      </c>
      <c r="G82" s="412">
        <f>-'R4 - Incentives and Other Rev'!G59</f>
        <v>-6.6411085831519431E-2</v>
      </c>
      <c r="H82" s="412">
        <f>-'R4 - Incentives and Other Rev'!H59</f>
        <v>-1.4505938566972163</v>
      </c>
      <c r="I82" s="14"/>
      <c r="J82" s="410">
        <f>SUM(D82:INDEX(D82:H82,0,MATCH('RFPR cover'!$C$9,$D$6:$H$6,0)))</f>
        <v>-1.7810645862068966</v>
      </c>
      <c r="K82" s="410">
        <f t="shared" si="14"/>
        <v>-1.7810645862068966</v>
      </c>
      <c r="L82" s="14"/>
    </row>
    <row r="83" spans="1:12">
      <c r="A83" s="382" t="s">
        <v>550</v>
      </c>
      <c r="B83" s="413" t="str">
        <f>'R4 - Incentives and Other Rev'!B66</f>
        <v/>
      </c>
      <c r="C83" s="407" t="str">
        <f>Data!$C$9</f>
        <v>£m 18/19</v>
      </c>
      <c r="D83" s="415">
        <f>'R4 - Incentives and Other Rev'!D66</f>
        <v>0</v>
      </c>
      <c r="E83" s="415">
        <f>'R4 - Incentives and Other Rev'!E66</f>
        <v>0</v>
      </c>
      <c r="F83" s="415">
        <f>'R4 - Incentives and Other Rev'!F66</f>
        <v>0</v>
      </c>
      <c r="G83" s="415">
        <f>'R4 - Incentives and Other Rev'!G66</f>
        <v>0</v>
      </c>
      <c r="H83" s="415">
        <f>'R4 - Incentives and Other Rev'!H66</f>
        <v>0</v>
      </c>
      <c r="I83" s="14"/>
      <c r="J83" s="410">
        <f>SUM(D83:INDEX(D83:H83,0,MATCH('RFPR cover'!$C$9,$D$6:$H$6,0)))</f>
        <v>0</v>
      </c>
      <c r="K83" s="410">
        <f t="shared" si="14"/>
        <v>0</v>
      </c>
      <c r="L83" s="14"/>
    </row>
    <row r="84" spans="1:12">
      <c r="A84" s="382" t="s">
        <v>551</v>
      </c>
      <c r="B84" s="413" t="str">
        <f>'R4 - Incentives and Other Rev'!B67</f>
        <v/>
      </c>
      <c r="C84" s="407" t="str">
        <f>Data!$C$9</f>
        <v>£m 18/19</v>
      </c>
      <c r="D84" s="415">
        <f>'R4 - Incentives and Other Rev'!D67</f>
        <v>0</v>
      </c>
      <c r="E84" s="415">
        <f>'R4 - Incentives and Other Rev'!E67</f>
        <v>0</v>
      </c>
      <c r="F84" s="415">
        <f>'R4 - Incentives and Other Rev'!F67</f>
        <v>0</v>
      </c>
      <c r="G84" s="415">
        <f>'R4 - Incentives and Other Rev'!G67</f>
        <v>0</v>
      </c>
      <c r="H84" s="415">
        <f>'R4 - Incentives and Other Rev'!H67</f>
        <v>0</v>
      </c>
      <c r="I84" s="14"/>
      <c r="J84" s="410">
        <f>SUM(D84:INDEX(D84:H84,0,MATCH('RFPR cover'!$C$9,$D$6:$H$6,0)))</f>
        <v>0</v>
      </c>
      <c r="K84" s="410">
        <f t="shared" si="14"/>
        <v>0</v>
      </c>
      <c r="L84" s="14"/>
    </row>
    <row r="85" spans="1:12">
      <c r="A85" s="382" t="s">
        <v>552</v>
      </c>
      <c r="B85" s="413" t="str">
        <f>'R4 - Incentives and Other Rev'!B68</f>
        <v/>
      </c>
      <c r="C85" s="407" t="str">
        <f>Data!$C$9</f>
        <v>£m 18/19</v>
      </c>
      <c r="D85" s="415">
        <f>'R4 - Incentives and Other Rev'!D68</f>
        <v>0</v>
      </c>
      <c r="E85" s="415">
        <f>'R4 - Incentives and Other Rev'!E68</f>
        <v>0</v>
      </c>
      <c r="F85" s="415">
        <f>'R4 - Incentives and Other Rev'!F68</f>
        <v>0</v>
      </c>
      <c r="G85" s="415">
        <f>'R4 - Incentives and Other Rev'!G68</f>
        <v>0</v>
      </c>
      <c r="H85" s="415">
        <f>'R4 - Incentives and Other Rev'!H68</f>
        <v>0</v>
      </c>
      <c r="I85" s="14"/>
      <c r="J85" s="410">
        <f>SUM(D85:INDEX(D85:H85,0,MATCH('RFPR cover'!$C$9,$D$6:$H$6,0)))</f>
        <v>0</v>
      </c>
      <c r="K85" s="410">
        <f t="shared" si="14"/>
        <v>0</v>
      </c>
      <c r="L85" s="14"/>
    </row>
    <row r="86" spans="1:12">
      <c r="A86" s="382" t="s">
        <v>553</v>
      </c>
      <c r="B86" s="413" t="str">
        <f>'R4 - Incentives and Other Rev'!B69</f>
        <v/>
      </c>
      <c r="C86" s="407" t="str">
        <f>Data!$C$9</f>
        <v>£m 18/19</v>
      </c>
      <c r="D86" s="415">
        <f>'R4 - Incentives and Other Rev'!D69</f>
        <v>0</v>
      </c>
      <c r="E86" s="415">
        <f>'R4 - Incentives and Other Rev'!E69</f>
        <v>0</v>
      </c>
      <c r="F86" s="415">
        <f>'R4 - Incentives and Other Rev'!F69</f>
        <v>0</v>
      </c>
      <c r="G86" s="415">
        <f>'R4 - Incentives and Other Rev'!G69</f>
        <v>0</v>
      </c>
      <c r="H86" s="415">
        <f>'R4 - Incentives and Other Rev'!H69</f>
        <v>0</v>
      </c>
      <c r="I86" s="14"/>
      <c r="J86" s="410">
        <f>SUM(D86:INDEX(D86:H86,0,MATCH('RFPR cover'!$C$9,$D$6:$H$6,0)))</f>
        <v>0</v>
      </c>
      <c r="K86" s="410">
        <f>SUM(D86:H86)</f>
        <v>0</v>
      </c>
      <c r="L86" s="14"/>
    </row>
    <row r="87" spans="1:12">
      <c r="A87" s="382" t="s">
        <v>554</v>
      </c>
      <c r="B87" s="413" t="str">
        <f>'R4 - Incentives and Other Rev'!B70</f>
        <v/>
      </c>
      <c r="C87" s="407" t="str">
        <f>Data!$C$9</f>
        <v>£m 18/19</v>
      </c>
      <c r="D87" s="415">
        <f>'R4 - Incentives and Other Rev'!D70</f>
        <v>0</v>
      </c>
      <c r="E87" s="415">
        <f>'R4 - Incentives and Other Rev'!E70</f>
        <v>0</v>
      </c>
      <c r="F87" s="415">
        <f>'R4 - Incentives and Other Rev'!F70</f>
        <v>0</v>
      </c>
      <c r="G87" s="415">
        <f>'R4 - Incentives and Other Rev'!G70</f>
        <v>0</v>
      </c>
      <c r="H87" s="415">
        <f>'R4 - Incentives and Other Rev'!H70</f>
        <v>0</v>
      </c>
      <c r="I87" s="14"/>
      <c r="J87" s="410">
        <f>SUM(D87:INDEX(D87:H87,0,MATCH('RFPR cover'!$C$9,$D$6:$H$6,0)))</f>
        <v>0</v>
      </c>
      <c r="K87" s="410">
        <f>SUM(D87:H87)</f>
        <v>0</v>
      </c>
      <c r="L87" s="14"/>
    </row>
    <row r="88" spans="1:12" ht="14" thickBot="1">
      <c r="B88" s="406" t="s">
        <v>562</v>
      </c>
      <c r="C88" s="407" t="str">
        <f>Data!$C$9</f>
        <v>£m 18/19</v>
      </c>
      <c r="D88" s="415">
        <f>-'R10 - Pensions &amp; Oth Activities'!D54</f>
        <v>0</v>
      </c>
      <c r="E88" s="415">
        <f>-'R10 - Pensions &amp; Oth Activities'!E54</f>
        <v>0</v>
      </c>
      <c r="F88" s="415">
        <f>-'R10 - Pensions &amp; Oth Activities'!F54</f>
        <v>0</v>
      </c>
      <c r="G88" s="415">
        <f>-'R10 - Pensions &amp; Oth Activities'!G54</f>
        <v>0</v>
      </c>
      <c r="H88" s="415">
        <f>-'R10 - Pensions &amp; Oth Activities'!H54</f>
        <v>0</v>
      </c>
      <c r="I88" s="14"/>
      <c r="J88" s="416">
        <f>SUM(D88:INDEX(D88:H88,0,MATCH('RFPR cover'!$C$9,$D$6:$H$6,0)))</f>
        <v>0</v>
      </c>
      <c r="K88" s="416">
        <f t="shared" si="14"/>
        <v>0</v>
      </c>
      <c r="L88" s="14"/>
    </row>
    <row r="89" spans="1:12" ht="14" thickBot="1">
      <c r="B89" s="417" t="s">
        <v>563</v>
      </c>
      <c r="C89" s="418" t="str">
        <f>Data!$C$9</f>
        <v>£m 18/19</v>
      </c>
      <c r="D89" s="419">
        <f>SUM(D69:D88)</f>
        <v>327.40882028045678</v>
      </c>
      <c r="E89" s="420">
        <f>SUM(E69:E88)</f>
        <v>336.30856807359123</v>
      </c>
      <c r="F89" s="420">
        <f>SUM(F69:F88)</f>
        <v>384.33739036887545</v>
      </c>
      <c r="G89" s="420">
        <f>SUM(G69:G88)</f>
        <v>422.13070947303294</v>
      </c>
      <c r="H89" s="421">
        <f>SUM(H69:H88)</f>
        <v>453.95176033221338</v>
      </c>
      <c r="I89" s="289"/>
      <c r="J89" s="419">
        <f>SUM(J69:J88)</f>
        <v>1924.1372485281697</v>
      </c>
      <c r="K89" s="421">
        <f>SUM(K69:K88)</f>
        <v>1924.1372485281697</v>
      </c>
      <c r="L89" s="14"/>
    </row>
    <row r="90" spans="1:12">
      <c r="B90" s="406" t="s">
        <v>564</v>
      </c>
      <c r="C90" s="407" t="str">
        <f>Data!$C$9</f>
        <v>£m 18/19</v>
      </c>
      <c r="D90" s="415">
        <f>IFERROR('R5 - Financing'!D85,0)</f>
        <v>191.91321249817275</v>
      </c>
      <c r="E90" s="415">
        <f>IFERROR('R5 - Financing'!E85,0)</f>
        <v>365.89404551452907</v>
      </c>
      <c r="F90" s="415">
        <f>IFERROR('R5 - Financing'!F85,0)</f>
        <v>270.51277691223066</v>
      </c>
      <c r="G90" s="415">
        <f>IFERROR('R5 - Financing'!G85,0)</f>
        <v>132.14172301039463</v>
      </c>
      <c r="H90" s="415">
        <f>IFERROR('R5 - Financing'!H85,0)</f>
        <v>195.97319928166038</v>
      </c>
      <c r="I90" s="14"/>
      <c r="J90" s="422">
        <f>SUM(D90:INDEX(D90:H90,0,MATCH('RFPR cover'!$C$9,$D$6:$H$6,0)))</f>
        <v>1156.4349572169874</v>
      </c>
      <c r="K90" s="422">
        <f>SUM(D90:H90)</f>
        <v>1156.4349572169874</v>
      </c>
      <c r="L90" s="14"/>
    </row>
    <row r="91" spans="1:12">
      <c r="B91" s="406" t="s">
        <v>565</v>
      </c>
      <c r="C91" s="407" t="str">
        <f>Data!$C$9</f>
        <v>£m 18/19</v>
      </c>
      <c r="D91" s="415">
        <f>IFERROR('R5 - Financing'!D87,0)</f>
        <v>-1.1834881998805713</v>
      </c>
      <c r="E91" s="415">
        <f>IFERROR('R5 - Financing'!E87,0)</f>
        <v>-18.737877576297137</v>
      </c>
      <c r="F91" s="415">
        <f>IFERROR('R5 - Financing'!F87,0)</f>
        <v>-12.374896846950946</v>
      </c>
      <c r="G91" s="415">
        <f>IFERROR('R5 - Financing'!G87,0)</f>
        <v>4.5942711651281343</v>
      </c>
      <c r="H91" s="415">
        <f>IFERROR('R5 - Financing'!H87,0)</f>
        <v>0.72916131477509794</v>
      </c>
      <c r="I91" s="14"/>
      <c r="J91" s="410">
        <f>SUM(D91:INDEX(D91:H91,0,MATCH('RFPR cover'!$C$9,$D$6:$H$6,0)))</f>
        <v>-26.972830143225423</v>
      </c>
      <c r="K91" s="410">
        <f>SUM(D91:H91)</f>
        <v>-26.972830143225423</v>
      </c>
      <c r="L91" s="14"/>
    </row>
    <row r="92" spans="1:12">
      <c r="B92" s="406" t="s">
        <v>566</v>
      </c>
      <c r="C92" s="407" t="str">
        <f>Data!$C$9</f>
        <v>£m 18/19</v>
      </c>
      <c r="D92" s="415">
        <f>IFERROR('R8 - Tax'!E62,0)</f>
        <v>-3.7813014250394588</v>
      </c>
      <c r="E92" s="415">
        <f>IFERROR('R8 - Tax'!F62,0)</f>
        <v>15.3146032462638</v>
      </c>
      <c r="F92" s="415">
        <f>IFERROR('R8 - Tax'!G62,0)</f>
        <v>-33.201314317230548</v>
      </c>
      <c r="G92" s="415">
        <f>IFERROR('R8 - Tax'!H62,0)</f>
        <v>6.4986954307427585</v>
      </c>
      <c r="H92" s="415">
        <f>IFERROR('R8 - Tax'!I62,0)</f>
        <v>3.985503788585814</v>
      </c>
      <c r="I92" s="14"/>
      <c r="J92" s="410">
        <f>SUM(D92:INDEX(D92:H92,0,MATCH('RFPR cover'!$C$9,$D$6:$H$6,0)))</f>
        <v>-11.183813276677633</v>
      </c>
      <c r="K92" s="410">
        <f>SUM(D92:H92)</f>
        <v>-11.183813276677633</v>
      </c>
      <c r="L92" s="14"/>
    </row>
    <row r="93" spans="1:12" ht="14" thickBot="1">
      <c r="B93" s="406" t="s">
        <v>567</v>
      </c>
      <c r="C93" s="407" t="str">
        <f>Data!$C$9</f>
        <v>£m 18/19</v>
      </c>
      <c r="D93" s="415">
        <f>IFERROR('R8 - Tax'!E64,0)</f>
        <v>0.22486275797730571</v>
      </c>
      <c r="E93" s="415">
        <f>IFERROR('R8 - Tax'!F64,0)</f>
        <v>3.5601967394964333</v>
      </c>
      <c r="F93" s="415">
        <f>IFERROR('R8 - Tax'!G64,0)</f>
        <v>3.0937242117377437</v>
      </c>
      <c r="G93" s="415">
        <f>IFERROR('R8 - Tax'!H64,0)</f>
        <v>-1.1485677912820353</v>
      </c>
      <c r="H93" s="415">
        <f>IFERROR('R8 - Tax'!I64,0)</f>
        <v>-0.1822903286937736</v>
      </c>
      <c r="I93" s="14"/>
      <c r="J93" s="416">
        <f>SUM(D93:INDEX(D93:H93,0,MATCH('RFPR cover'!$C$9,$D$6:$H$6,0)))</f>
        <v>5.5479255892356738</v>
      </c>
      <c r="K93" s="416">
        <f>SUM(D93:H93)</f>
        <v>5.5479255892356738</v>
      </c>
      <c r="L93" s="14"/>
    </row>
    <row r="94" spans="1:12" ht="14" thickBot="1">
      <c r="B94" s="417" t="s">
        <v>568</v>
      </c>
      <c r="C94" s="418" t="str">
        <f>Data!$C$9</f>
        <v>£m 18/19</v>
      </c>
      <c r="D94" s="423">
        <f>IF(OR(Licensee=Data!$B$86,Licensee=Data!$B$89),"N/A",SUM(D89:D93))</f>
        <v>514.58210591168688</v>
      </c>
      <c r="E94" s="423">
        <f>IF(OR(Licensee=Data!$B$86,Licensee=Data!$B$89),"N/A",SUM(E89:E93))</f>
        <v>702.33953599758343</v>
      </c>
      <c r="F94" s="423">
        <f>IF(OR(Licensee=Data!$B$86,Licensee=Data!$B$89),"N/A",SUM(F89:F93))</f>
        <v>612.36768032866235</v>
      </c>
      <c r="G94" s="423">
        <f>IF(OR(Licensee=Data!$B$86,Licensee=Data!$B$89),"N/A",SUM(G89:G93))</f>
        <v>564.21683128801635</v>
      </c>
      <c r="H94" s="423">
        <f>IF(OR(Licensee=Data!$B$86,Licensee=Data!$B$89),"N/A",SUM(H89:H93))</f>
        <v>654.45733438854086</v>
      </c>
      <c r="I94" s="289"/>
      <c r="J94" s="419">
        <f>SUM(J89:J93)</f>
        <v>3047.9634879144896</v>
      </c>
      <c r="K94" s="421">
        <f>SUM(K89:K93)</f>
        <v>3047.9634879144896</v>
      </c>
      <c r="L94" s="14"/>
    </row>
    <row r="95" spans="1:12">
      <c r="D95" s="285"/>
      <c r="I95" s="14"/>
      <c r="L95" s="14"/>
    </row>
    <row r="96" spans="1:12">
      <c r="B96" s="424" t="s">
        <v>569</v>
      </c>
      <c r="C96" s="407" t="str">
        <f>Data!$C$9</f>
        <v>£m 18/19</v>
      </c>
      <c r="D96" s="425">
        <f>'R7 - RAV'!F40</f>
        <v>6240.0977578631882</v>
      </c>
      <c r="E96" s="409">
        <f>'R7 - RAV'!G40</f>
        <v>6363.6777618316164</v>
      </c>
      <c r="F96" s="409">
        <f>'R7 - RAV'!H40</f>
        <v>6512.117999539214</v>
      </c>
      <c r="G96" s="409">
        <f>'R7 - RAV'!I40</f>
        <v>6838.0653807773697</v>
      </c>
      <c r="H96" s="409">
        <f>'R7 - RAV'!J40</f>
        <v>7465.8300258717409</v>
      </c>
      <c r="I96" s="14"/>
      <c r="L96" s="14"/>
    </row>
    <row r="97" spans="2:23">
      <c r="B97" s="406" t="s">
        <v>570</v>
      </c>
      <c r="C97" s="407" t="str">
        <f>Data!$C$9</f>
        <v>£m 18/19</v>
      </c>
      <c r="D97" s="426">
        <f>IFERROR('R6 - Net Debt'!D73,0)</f>
        <v>6493.8989874671361</v>
      </c>
      <c r="E97" s="426">
        <f>IFERROR('R6 - Net Debt'!E73,0)</f>
        <v>7031.8564345282703</v>
      </c>
      <c r="F97" s="426">
        <f>IFERROR('R6 - Net Debt'!F73,0)</f>
        <v>7348.9836383157126</v>
      </c>
      <c r="G97" s="426">
        <f>IFERROR('R6 - Net Debt'!G73,0)</f>
        <v>7706.6951187215509</v>
      </c>
      <c r="H97" s="426">
        <f>IFERROR('R6 - Net Debt'!H73,0)</f>
        <v>8114.9788366503963</v>
      </c>
      <c r="I97" s="14"/>
      <c r="L97" s="14"/>
    </row>
    <row r="98" spans="2:23">
      <c r="L98" s="14"/>
    </row>
    <row r="99" spans="2:23">
      <c r="L99" s="14"/>
    </row>
    <row r="100" spans="2:23">
      <c r="L100" s="14"/>
      <c r="S100" s="427"/>
      <c r="T100" s="427"/>
      <c r="U100" s="427"/>
      <c r="V100" s="427"/>
      <c r="W100" s="427"/>
    </row>
    <row r="101" spans="2:23">
      <c r="S101" s="427"/>
      <c r="T101" s="427"/>
      <c r="U101" s="427"/>
      <c r="V101" s="427"/>
      <c r="W101" s="427"/>
    </row>
    <row r="105" spans="2:23">
      <c r="M105" s="427"/>
      <c r="N105" s="427"/>
      <c r="O105" s="427"/>
      <c r="P105" s="427"/>
      <c r="Q105" s="427"/>
    </row>
    <row r="107" spans="2:23">
      <c r="M107" s="427"/>
      <c r="N107" s="427"/>
      <c r="O107" s="427"/>
      <c r="P107" s="427"/>
      <c r="Q107" s="427"/>
    </row>
  </sheetData>
  <sheetProtection sort="0" autoFilter="0" pivotTables="0"/>
  <conditionalFormatting sqref="D6:G6">
    <cfRule type="expression" dxfId="83" priority="2">
      <formula>AND(D$5="Actuals",E$5="Forecast")</formula>
    </cfRule>
  </conditionalFormatting>
  <conditionalFormatting sqref="D7:H7">
    <cfRule type="expression" dxfId="82" priority="1">
      <formula>AND(D$5="Actuals",E$5="Forecast")</formula>
    </cfRule>
  </conditionalFormatting>
  <conditionalFormatting sqref="H6">
    <cfRule type="expression" dxfId="81" priority="3">
      <formula>AND(H$5="Actuals",#REF!="Forecast")</formula>
    </cfRule>
  </conditionalFormatting>
  <pageMargins left="0.70866141732283472" right="0.70866141732283472" top="0.74803149606299213" bottom="0.74803149606299213" header="0.31496062992125984" footer="0.31496062992125984"/>
  <pageSetup paperSize="8" scale="79" orientation="landscape" r:id="rId1"/>
  <headerFooter>
    <oddFooter>&amp;C_x000D_&amp;1#&amp;"Calibri"&amp;10&amp;K000000 OFFICIAL-InternalOnly</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2C3A7-7EBB-4081-A972-EDC9C180CD32}">
  <sheetPr>
    <tabColor rgb="FFFFFFCC"/>
    <pageSetUpPr fitToPage="1"/>
  </sheetPr>
  <dimension ref="A1:T144"/>
  <sheetViews>
    <sheetView topLeftCell="B1" zoomScale="80" zoomScaleNormal="80" workbookViewId="0">
      <selection activeCell="E18" sqref="E18"/>
    </sheetView>
  </sheetViews>
  <sheetFormatPr defaultColWidth="9" defaultRowHeight="13.5" outlineLevelCol="1"/>
  <cols>
    <col min="1" max="1" width="9.765625" style="427" customWidth="1"/>
    <col min="2" max="2" width="67.4609375" style="456" customWidth="1"/>
    <col min="3" max="3" width="50.23046875" style="456" customWidth="1"/>
    <col min="4" max="4" width="14.4609375" style="444" customWidth="1"/>
    <col min="5" max="5" width="10.3828125" style="427" customWidth="1"/>
    <col min="6" max="9" width="11.15234375" style="427" customWidth="1"/>
    <col min="10" max="10" width="5" style="427" customWidth="1"/>
    <col min="11" max="20" width="9.23046875" style="427" customWidth="1" outlineLevel="1"/>
    <col min="21" max="16384" width="9" style="427"/>
  </cols>
  <sheetData>
    <row r="1" spans="1:14" ht="20">
      <c r="A1" s="428" t="s">
        <v>571</v>
      </c>
      <c r="B1" s="429"/>
      <c r="C1" s="429"/>
      <c r="D1" s="430"/>
      <c r="E1" s="431"/>
      <c r="F1" s="431"/>
      <c r="G1" s="431"/>
      <c r="H1" s="431"/>
      <c r="I1" s="431"/>
      <c r="J1" s="432"/>
    </row>
    <row r="2" spans="1:14" ht="20">
      <c r="A2" s="433" t="str">
        <f t="shared" ref="A2" si="0">Licensee</f>
        <v>NGET (TO)</v>
      </c>
      <c r="B2" s="434"/>
      <c r="C2" s="434"/>
      <c r="D2" s="435"/>
      <c r="E2" s="436"/>
      <c r="F2" s="436"/>
      <c r="G2" s="436"/>
      <c r="H2" s="436"/>
      <c r="I2" s="436"/>
      <c r="J2" s="437"/>
    </row>
    <row r="3" spans="1:14" ht="20">
      <c r="A3" s="438">
        <f>Reporting_Year</f>
        <v>2026</v>
      </c>
      <c r="B3" s="439"/>
      <c r="C3" s="439"/>
      <c r="D3" s="440"/>
      <c r="E3" s="441"/>
      <c r="F3" s="441"/>
      <c r="G3" s="441"/>
      <c r="H3" s="441"/>
      <c r="I3" s="441"/>
      <c r="J3" s="442"/>
    </row>
    <row r="4" spans="1:14" s="83" customFormat="1" ht="12.75" customHeight="1">
      <c r="B4" s="443"/>
      <c r="C4" s="443"/>
      <c r="D4" s="444"/>
    </row>
    <row r="5" spans="1:14" s="83" customFormat="1">
      <c r="B5" s="443"/>
      <c r="C5" s="443"/>
      <c r="D5" s="444"/>
      <c r="E5" s="445" t="str">
        <f>IF(E6&lt;=Reporting_Year,"Actuals","Forecast")</f>
        <v>Actuals</v>
      </c>
      <c r="F5" s="445" t="str">
        <f>IF(F6&lt;=Reporting_Year,"Actuals","Forecast")</f>
        <v>Actuals</v>
      </c>
      <c r="G5" s="445" t="str">
        <f>IF(G6&lt;=Reporting_Year,"Actuals","Forecast")</f>
        <v>Actuals</v>
      </c>
      <c r="H5" s="445" t="str">
        <f>IF(H6&lt;=Reporting_Year,"Actuals","Forecast")</f>
        <v>Actuals</v>
      </c>
      <c r="I5" s="445" t="str">
        <f>IF(I6&lt;=Reporting_Year,"Actuals","Forecast")</f>
        <v>Actuals</v>
      </c>
    </row>
    <row r="6" spans="1:14" s="83" customFormat="1">
      <c r="B6" s="443"/>
      <c r="C6" s="443"/>
      <c r="D6" s="444"/>
      <c r="E6" s="446">
        <f>RIIO_2_start_date</f>
        <v>2022</v>
      </c>
      <c r="F6" s="446">
        <f>E6+1</f>
        <v>2023</v>
      </c>
      <c r="G6" s="446">
        <f>F6+1</f>
        <v>2024</v>
      </c>
      <c r="H6" s="446">
        <f t="shared" ref="H6:I6" si="1">G6+1</f>
        <v>2025</v>
      </c>
      <c r="I6" s="446">
        <f t="shared" si="1"/>
        <v>2026</v>
      </c>
    </row>
    <row r="7" spans="1:14" s="83" customFormat="1">
      <c r="B7" s="447"/>
      <c r="C7" s="447"/>
      <c r="D7" s="444"/>
      <c r="E7" s="448" t="str">
        <f>RIIO_2_start_date-1&amp;"/"&amp;RIGHT(RIIO_2_start_date,2)</f>
        <v>2021/22</v>
      </c>
      <c r="F7" s="448" t="str">
        <f>RIIO_2_start_date&amp;"/"&amp;RIGHT(RIIO_2_start_date+1,2)</f>
        <v>2022/23</v>
      </c>
      <c r="G7" s="448" t="str">
        <f>RIIO_2_start_date+1&amp;"/"&amp;RIGHT(RIIO_2_start_date+2,2)</f>
        <v>2023/24</v>
      </c>
      <c r="H7" s="448" t="str">
        <f>RIIO_2_start_date+2&amp;"/"&amp;RIGHT(RIIO_2_start_date+3,2)</f>
        <v>2024/25</v>
      </c>
      <c r="I7" s="448" t="str">
        <f>RIIO_2_start_date+3&amp;"/"&amp;RIGHT(RIIO_2_start_date+4,2)</f>
        <v>2025/26</v>
      </c>
    </row>
    <row r="8" spans="1:14" s="83" customFormat="1">
      <c r="B8" s="447"/>
      <c r="C8" s="447"/>
      <c r="D8" s="444"/>
      <c r="E8" s="449"/>
      <c r="F8" s="449"/>
      <c r="G8" s="449"/>
      <c r="H8" s="449"/>
      <c r="I8" s="449"/>
    </row>
    <row r="9" spans="1:14" s="83" customFormat="1">
      <c r="B9" s="450" t="s">
        <v>572</v>
      </c>
      <c r="C9" s="450"/>
      <c r="D9" s="451"/>
      <c r="E9" s="452"/>
      <c r="F9" s="452"/>
      <c r="G9" s="452"/>
      <c r="H9" s="452"/>
      <c r="I9" s="452"/>
      <c r="J9" s="453"/>
    </row>
    <row r="10" spans="1:14" s="83" customFormat="1">
      <c r="B10" s="447"/>
      <c r="C10" s="447"/>
      <c r="D10" s="444"/>
      <c r="E10" s="449"/>
      <c r="F10" s="449"/>
      <c r="G10" s="449"/>
      <c r="H10" s="449"/>
      <c r="I10" s="449"/>
    </row>
    <row r="11" spans="1:14" s="83" customFormat="1">
      <c r="B11" s="454" t="s">
        <v>573</v>
      </c>
      <c r="C11" s="447"/>
      <c r="D11" s="444"/>
    </row>
    <row r="12" spans="1:14" s="83" customFormat="1">
      <c r="B12" s="455"/>
      <c r="C12" s="447"/>
      <c r="D12" s="444"/>
    </row>
    <row r="13" spans="1:14" s="83" customFormat="1">
      <c r="B13" s="456" t="s">
        <v>574</v>
      </c>
      <c r="C13" s="457" t="str">
        <f>IF(Licensee="NGGT (SO)","SORt* x  PIt* / PI2018/19",IF(Sector="ED2","Rt* x  PIt* / PI2020/21","Rt* x  PIt* / PI2018/19"))</f>
        <v>Rt* x  PIt* / PI2018/19</v>
      </c>
      <c r="D13" s="458" t="s">
        <v>575</v>
      </c>
      <c r="E13" s="459">
        <v>1808.3990191529267</v>
      </c>
      <c r="F13" s="459">
        <v>1872.7853776437555</v>
      </c>
      <c r="G13" s="459">
        <v>2288.3357751767671</v>
      </c>
      <c r="H13" s="459">
        <v>2310.6741757807017</v>
      </c>
      <c r="I13" s="459">
        <v>2539.250020863753</v>
      </c>
      <c r="N13" s="457"/>
    </row>
    <row r="14" spans="1:14" s="83" customFormat="1">
      <c r="B14" s="456" t="s">
        <v>576</v>
      </c>
      <c r="C14" s="427" t="str">
        <f>IF(Licensee="NGGT (SO)","SOADJt*","ADJt*")</f>
        <v>ADJt*</v>
      </c>
      <c r="D14" s="458" t="s">
        <v>575</v>
      </c>
      <c r="E14" s="459">
        <v>0</v>
      </c>
      <c r="F14" s="459">
        <v>102.96048989806536</v>
      </c>
      <c r="G14" s="459">
        <v>56.059330020556601</v>
      </c>
      <c r="H14" s="459">
        <v>-216.14247546928189</v>
      </c>
      <c r="I14" s="459">
        <v>-69.174117491850396</v>
      </c>
    </row>
    <row r="15" spans="1:14" s="83" customFormat="1">
      <c r="B15" s="456" t="str">
        <f>IF(Sector="ED2","Calculated revenue","Adjusted revenue (as published)")</f>
        <v>Adjusted revenue (as published)</v>
      </c>
      <c r="C15" s="427" t="str">
        <f>IF(Licensee="NGGT (SO)","SOADJRt*",IF(Sector="ED2"," ","ADJRt*"))</f>
        <v>ADJRt*</v>
      </c>
      <c r="D15" s="458" t="s">
        <v>575</v>
      </c>
      <c r="E15" s="294">
        <f>SUM(E13:E14)</f>
        <v>1808.3990191529267</v>
      </c>
      <c r="F15" s="294">
        <f t="shared" ref="F15:I15" si="2">SUM(F13:F14)</f>
        <v>1975.7458675418209</v>
      </c>
      <c r="G15" s="294">
        <f t="shared" si="2"/>
        <v>2344.3951051973236</v>
      </c>
      <c r="H15" s="294">
        <f t="shared" si="2"/>
        <v>2094.5317003114196</v>
      </c>
      <c r="I15" s="294">
        <f t="shared" si="2"/>
        <v>2470.0759033719028</v>
      </c>
    </row>
    <row r="16" spans="1:14" s="83" customFormat="1">
      <c r="B16" s="456" t="s">
        <v>577</v>
      </c>
      <c r="C16" s="427" t="str">
        <f>IF(OR(Licensee="ESO",Licensee="NGGT (SO)"),"SOLARt","LARt")</f>
        <v>LARt</v>
      </c>
      <c r="D16" s="458" t="s">
        <v>575</v>
      </c>
      <c r="E16" s="459">
        <v>-43.756082405753453</v>
      </c>
      <c r="F16" s="459">
        <v>-173.18900026297163</v>
      </c>
      <c r="G16" s="459">
        <v>-57.100034768499498</v>
      </c>
      <c r="H16" s="459">
        <v>-71.260635965545603</v>
      </c>
      <c r="I16" s="459">
        <v>-63.499393854186536</v>
      </c>
    </row>
    <row r="17" spans="2:10" s="83" customFormat="1">
      <c r="B17" s="456" t="s">
        <v>578</v>
      </c>
      <c r="C17" s="427" t="str">
        <f>IF(Licensee="NGGT (SO)","SOKt","Kt")</f>
        <v>Kt</v>
      </c>
      <c r="D17" s="458" t="s">
        <v>575</v>
      </c>
      <c r="E17" s="459">
        <v>-15.416465335266759</v>
      </c>
      <c r="F17" s="459">
        <v>-39.140783351949352</v>
      </c>
      <c r="G17" s="459">
        <v>75.450259424013453</v>
      </c>
      <c r="H17" s="459">
        <v>-21.632112688587654</v>
      </c>
      <c r="I17" s="459">
        <v>-27.487450798167131</v>
      </c>
    </row>
    <row r="18" spans="2:10" s="83" customFormat="1">
      <c r="B18" s="456" t="s">
        <v>579</v>
      </c>
      <c r="C18" s="427" t="s">
        <v>580</v>
      </c>
      <c r="D18" s="458" t="s">
        <v>575</v>
      </c>
      <c r="E18" s="459">
        <v>0</v>
      </c>
      <c r="F18" s="459">
        <v>0</v>
      </c>
      <c r="G18" s="459">
        <v>0</v>
      </c>
      <c r="H18" s="459">
        <v>0</v>
      </c>
      <c r="I18" s="459">
        <v>0</v>
      </c>
    </row>
    <row r="19" spans="2:10" s="83" customFormat="1">
      <c r="B19" s="447" t="s">
        <v>581</v>
      </c>
      <c r="C19" s="447" t="str">
        <f>IF(Licensee="ESO","SOIARt",IF(Licensee="NGGT (SO)","SOARt","ARt"))</f>
        <v>ARt</v>
      </c>
      <c r="D19" s="444" t="s">
        <v>575</v>
      </c>
      <c r="E19" s="460">
        <f>SUM(E15:E18)</f>
        <v>1749.2264714119065</v>
      </c>
      <c r="F19" s="460">
        <f t="shared" ref="F19:I19" si="3">SUM(F15:F18)</f>
        <v>1763.4160839269</v>
      </c>
      <c r="G19" s="460">
        <f t="shared" si="3"/>
        <v>2362.7453298528376</v>
      </c>
      <c r="H19" s="460">
        <f t="shared" si="3"/>
        <v>2001.6389516572863</v>
      </c>
      <c r="I19" s="460">
        <f t="shared" si="3"/>
        <v>2379.089058719549</v>
      </c>
    </row>
    <row r="20" spans="2:10" s="83" customFormat="1">
      <c r="B20" s="443"/>
      <c r="C20" s="443"/>
      <c r="D20" s="444"/>
      <c r="E20" s="461"/>
      <c r="F20" s="461"/>
      <c r="G20" s="461"/>
      <c r="H20" s="462"/>
      <c r="I20" s="462"/>
    </row>
    <row r="21" spans="2:10" s="83" customFormat="1">
      <c r="B21" s="443" t="s">
        <v>582</v>
      </c>
      <c r="C21" s="455"/>
      <c r="D21" s="444" t="s">
        <v>575</v>
      </c>
      <c r="E21" s="460">
        <f>IF(ISBLANK(E25),0,E25-E19)</f>
        <v>38.641416508093471</v>
      </c>
      <c r="F21" s="460">
        <f t="shared" ref="F21:I21" si="4">IF(ISBLANK(F25),0,F25-F19)</f>
        <v>-72.960056536899856</v>
      </c>
      <c r="G21" s="460">
        <f t="shared" si="4"/>
        <v>20.384354547162729</v>
      </c>
      <c r="H21" s="460">
        <f t="shared" si="4"/>
        <v>25.919701432713964</v>
      </c>
      <c r="I21" s="460">
        <f t="shared" si="4"/>
        <v>6.6245397704506104</v>
      </c>
    </row>
    <row r="22" spans="2:10" s="83" customFormat="1">
      <c r="B22" s="443"/>
      <c r="C22" s="443"/>
      <c r="D22" s="444"/>
    </row>
    <row r="23" spans="2:10" s="83" customFormat="1">
      <c r="B23" s="443"/>
      <c r="C23" s="443"/>
      <c r="D23" s="444"/>
    </row>
    <row r="24" spans="2:10" s="83" customFormat="1">
      <c r="B24" s="443"/>
      <c r="C24" s="443"/>
      <c r="D24" s="444"/>
    </row>
    <row r="25" spans="2:10" s="83" customFormat="1">
      <c r="B25" s="455" t="s">
        <v>583</v>
      </c>
      <c r="C25" s="455" t="s">
        <v>584</v>
      </c>
      <c r="D25" s="444" t="s">
        <v>575</v>
      </c>
      <c r="E25" s="459">
        <v>1787.8678879199999</v>
      </c>
      <c r="F25" s="459">
        <v>1690.4560273900001</v>
      </c>
      <c r="G25" s="459">
        <v>2383.1296844000003</v>
      </c>
      <c r="H25" s="459">
        <v>2027.5586530900002</v>
      </c>
      <c r="I25" s="459">
        <v>2385.7135984899996</v>
      </c>
    </row>
    <row r="26" spans="2:10" s="83" customFormat="1">
      <c r="B26" s="443"/>
      <c r="C26" s="443"/>
      <c r="D26" s="444"/>
    </row>
    <row r="27" spans="2:10" s="83" customFormat="1">
      <c r="B27" s="455" t="s">
        <v>585</v>
      </c>
      <c r="C27" s="455"/>
      <c r="D27" s="444"/>
      <c r="E27" s="444"/>
      <c r="F27" s="444"/>
      <c r="G27" s="444"/>
      <c r="H27" s="444"/>
      <c r="I27" s="444"/>
      <c r="J27" s="444"/>
    </row>
    <row r="28" spans="2:10" s="83" customFormat="1">
      <c r="B28" s="463" t="s">
        <v>586</v>
      </c>
      <c r="C28" s="464"/>
      <c r="D28" s="444" t="s">
        <v>575</v>
      </c>
      <c r="E28" s="465">
        <v>0</v>
      </c>
      <c r="F28" s="465">
        <v>0</v>
      </c>
      <c r="G28" s="465">
        <v>0</v>
      </c>
      <c r="H28" s="465">
        <v>0</v>
      </c>
      <c r="I28" s="465">
        <v>0</v>
      </c>
    </row>
    <row r="29" spans="2:10" s="83" customFormat="1">
      <c r="B29" s="463" t="s">
        <v>587</v>
      </c>
      <c r="C29" s="464"/>
      <c r="D29" s="444" t="s">
        <v>575</v>
      </c>
      <c r="E29" s="465">
        <v>0</v>
      </c>
      <c r="F29" s="465">
        <v>0</v>
      </c>
      <c r="G29" s="465">
        <v>0</v>
      </c>
      <c r="H29" s="465">
        <v>0</v>
      </c>
      <c r="I29" s="465">
        <v>0</v>
      </c>
    </row>
    <row r="30" spans="2:10" s="83" customFormat="1">
      <c r="B30" s="463" t="s">
        <v>588</v>
      </c>
      <c r="C30" s="464"/>
      <c r="D30" s="444" t="s">
        <v>575</v>
      </c>
      <c r="E30" s="465">
        <v>188.89030765000027</v>
      </c>
      <c r="F30" s="465">
        <v>178.68992515000002</v>
      </c>
      <c r="G30" s="465">
        <v>214.93779095538076</v>
      </c>
      <c r="H30" s="465">
        <v>220.65317494869419</v>
      </c>
      <c r="I30" s="465">
        <v>224.95203574000004</v>
      </c>
    </row>
    <row r="31" spans="2:10" s="83" customFormat="1">
      <c r="B31" s="463" t="s">
        <v>589</v>
      </c>
      <c r="C31" s="464"/>
      <c r="D31" s="444" t="s">
        <v>575</v>
      </c>
      <c r="E31" s="465">
        <v>0</v>
      </c>
      <c r="F31" s="465">
        <v>0</v>
      </c>
      <c r="G31" s="465">
        <v>0</v>
      </c>
      <c r="H31" s="465">
        <v>0</v>
      </c>
      <c r="I31" s="465">
        <v>0</v>
      </c>
    </row>
    <row r="32" spans="2:10" s="83" customFormat="1">
      <c r="B32" s="463" t="s">
        <v>590</v>
      </c>
      <c r="C32" s="464"/>
      <c r="D32" s="444" t="s">
        <v>575</v>
      </c>
      <c r="E32" s="465">
        <v>0</v>
      </c>
      <c r="F32" s="465">
        <v>0</v>
      </c>
      <c r="G32" s="465">
        <v>0</v>
      </c>
      <c r="H32" s="465">
        <v>0</v>
      </c>
      <c r="I32" s="465">
        <v>0</v>
      </c>
    </row>
    <row r="33" spans="2:9" s="83" customFormat="1">
      <c r="B33" s="463" t="s">
        <v>591</v>
      </c>
      <c r="C33" s="464"/>
      <c r="D33" s="444" t="s">
        <v>575</v>
      </c>
      <c r="E33" s="465">
        <v>15.112179589999995</v>
      </c>
      <c r="F33" s="465">
        <v>17.695825920177505</v>
      </c>
      <c r="G33" s="465">
        <v>15.622013742392056</v>
      </c>
      <c r="H33" s="465">
        <v>15.46581031091829</v>
      </c>
      <c r="I33" s="465">
        <v>56.440407330262829</v>
      </c>
    </row>
    <row r="34" spans="2:9" s="83" customFormat="1">
      <c r="B34" s="463" t="s">
        <v>592</v>
      </c>
      <c r="C34" s="464"/>
      <c r="D34" s="444" t="s">
        <v>575</v>
      </c>
      <c r="E34" s="465">
        <v>19.829861469999994</v>
      </c>
      <c r="F34" s="465">
        <v>48.23756308982248</v>
      </c>
      <c r="G34" s="465">
        <v>108.09378722760806</v>
      </c>
      <c r="H34" s="465">
        <v>331.77776447327699</v>
      </c>
      <c r="I34" s="465">
        <v>216.37239208973713</v>
      </c>
    </row>
    <row r="35" spans="2:9" s="83" customFormat="1">
      <c r="B35" s="463" t="s">
        <v>593</v>
      </c>
      <c r="C35" s="466"/>
      <c r="D35" s="444" t="s">
        <v>575</v>
      </c>
      <c r="E35" s="465">
        <v>0</v>
      </c>
      <c r="F35" s="465">
        <v>0</v>
      </c>
      <c r="G35" s="465">
        <v>0</v>
      </c>
      <c r="H35" s="465">
        <v>0</v>
      </c>
      <c r="I35" s="465">
        <v>0</v>
      </c>
    </row>
    <row r="36" spans="2:9" s="83" customFormat="1">
      <c r="B36" s="463" t="s">
        <v>594</v>
      </c>
      <c r="C36" s="467"/>
      <c r="D36" s="444" t="s">
        <v>575</v>
      </c>
      <c r="E36" s="465">
        <v>0</v>
      </c>
      <c r="F36" s="465">
        <v>0</v>
      </c>
      <c r="G36" s="465">
        <v>0</v>
      </c>
      <c r="H36" s="465">
        <v>0</v>
      </c>
      <c r="I36" s="465">
        <v>0</v>
      </c>
    </row>
    <row r="37" spans="2:9" s="83" customFormat="1">
      <c r="B37" s="455" t="s">
        <v>595</v>
      </c>
      <c r="C37" s="455"/>
      <c r="D37" s="444" t="s">
        <v>575</v>
      </c>
      <c r="E37" s="460">
        <f>SUM(E28:E36)</f>
        <v>223.83234871000025</v>
      </c>
      <c r="F37" s="460">
        <f t="shared" ref="F37:I37" si="5">SUM(F28:F36)</f>
        <v>244.62331416000001</v>
      </c>
      <c r="G37" s="460">
        <f t="shared" si="5"/>
        <v>338.65359192538085</v>
      </c>
      <c r="H37" s="460">
        <f t="shared" si="5"/>
        <v>567.89674973288948</v>
      </c>
      <c r="I37" s="460">
        <f t="shared" si="5"/>
        <v>497.76483515999996</v>
      </c>
    </row>
    <row r="38" spans="2:9" s="83" customFormat="1">
      <c r="B38" s="443"/>
      <c r="C38" s="443"/>
      <c r="D38" s="444"/>
    </row>
    <row r="39" spans="2:9" s="83" customFormat="1">
      <c r="B39" s="455" t="s">
        <v>596</v>
      </c>
      <c r="D39" s="455"/>
      <c r="E39" s="468"/>
    </row>
    <row r="40" spans="2:9" s="83" customFormat="1">
      <c r="B40" s="463" t="s">
        <v>597</v>
      </c>
      <c r="C40" s="463"/>
      <c r="D40" s="444" t="s">
        <v>575</v>
      </c>
      <c r="E40" s="465">
        <v>10.86031959</v>
      </c>
      <c r="F40" s="465">
        <v>0</v>
      </c>
      <c r="G40" s="465">
        <v>0</v>
      </c>
      <c r="H40" s="465">
        <v>0</v>
      </c>
      <c r="I40" s="465">
        <v>0</v>
      </c>
    </row>
    <row r="41" spans="2:9" s="83" customFormat="1">
      <c r="B41" s="463" t="s">
        <v>598</v>
      </c>
      <c r="C41" s="463"/>
      <c r="D41" s="444" t="s">
        <v>575</v>
      </c>
      <c r="E41" s="465">
        <v>10.07886536</v>
      </c>
      <c r="F41" s="465">
        <v>12.560791800000001</v>
      </c>
      <c r="G41" s="465">
        <v>13.324924279999999</v>
      </c>
      <c r="H41" s="465">
        <v>22.06490947</v>
      </c>
      <c r="I41" s="465">
        <v>12.962060379999999</v>
      </c>
    </row>
    <row r="42" spans="2:9" s="83" customFormat="1">
      <c r="B42" s="463" t="s">
        <v>599</v>
      </c>
      <c r="C42" s="463"/>
      <c r="D42" s="444" t="s">
        <v>575</v>
      </c>
      <c r="E42" s="465">
        <v>1.8994631899999994</v>
      </c>
      <c r="F42" s="465">
        <v>2.6434342200000001</v>
      </c>
      <c r="G42" s="465">
        <v>0</v>
      </c>
      <c r="H42" s="465">
        <v>0</v>
      </c>
      <c r="I42" s="465">
        <v>0</v>
      </c>
    </row>
    <row r="43" spans="2:9" s="83" customFormat="1">
      <c r="B43" s="463" t="s">
        <v>600</v>
      </c>
      <c r="C43" s="463"/>
      <c r="D43" s="444" t="s">
        <v>575</v>
      </c>
      <c r="E43" s="465">
        <v>0.69026924999999995</v>
      </c>
      <c r="F43" s="465">
        <v>2.8759512200000001</v>
      </c>
      <c r="G43" s="465">
        <v>0</v>
      </c>
      <c r="H43" s="465">
        <v>0</v>
      </c>
      <c r="I43" s="465">
        <v>0</v>
      </c>
    </row>
    <row r="44" spans="2:9" s="83" customFormat="1">
      <c r="B44" s="463" t="s">
        <v>216</v>
      </c>
      <c r="C44" s="463"/>
      <c r="D44" s="444" t="s">
        <v>575</v>
      </c>
      <c r="E44" s="465">
        <v>1.227619670000037</v>
      </c>
      <c r="F44" s="465">
        <v>2.6086270173937853</v>
      </c>
      <c r="G44" s="465">
        <v>-1.8151306000000076</v>
      </c>
      <c r="H44" s="465">
        <v>0.66457571957538797</v>
      </c>
      <c r="I44" s="465">
        <v>0.271829069999448</v>
      </c>
    </row>
    <row r="45" spans="2:9" s="83" customFormat="1">
      <c r="B45" s="463" t="s">
        <v>601</v>
      </c>
      <c r="C45" s="463"/>
      <c r="D45" s="444" t="s">
        <v>575</v>
      </c>
      <c r="E45" s="465">
        <v>0</v>
      </c>
      <c r="F45" s="465">
        <v>28.084504760000002</v>
      </c>
      <c r="G45" s="465">
        <v>0</v>
      </c>
      <c r="H45" s="465">
        <v>0</v>
      </c>
      <c r="I45" s="465">
        <v>-11.36267</v>
      </c>
    </row>
    <row r="46" spans="2:9" s="83" customFormat="1">
      <c r="B46" s="463" t="s">
        <v>602</v>
      </c>
      <c r="C46" s="463"/>
      <c r="D46" s="444" t="s">
        <v>575</v>
      </c>
      <c r="E46" s="465">
        <v>0</v>
      </c>
      <c r="F46" s="465">
        <v>1.3831248300000001</v>
      </c>
      <c r="G46" s="465">
        <v>0.39790638</v>
      </c>
      <c r="H46" s="465">
        <v>-9.0203200000000001E-3</v>
      </c>
      <c r="I46" s="465">
        <v>0</v>
      </c>
    </row>
    <row r="47" spans="2:9" s="83" customFormat="1">
      <c r="B47" s="463" t="s">
        <v>603</v>
      </c>
      <c r="C47" s="463"/>
      <c r="D47" s="444" t="s">
        <v>575</v>
      </c>
      <c r="E47" s="465">
        <v>0</v>
      </c>
      <c r="F47" s="465">
        <v>2.0224021400000005</v>
      </c>
      <c r="G47" s="465">
        <v>1.0823021799999921</v>
      </c>
      <c r="H47" s="465">
        <v>0.95105835072761935</v>
      </c>
      <c r="I47" s="465">
        <v>-4.04221962</v>
      </c>
    </row>
    <row r="48" spans="2:9" s="83" customFormat="1">
      <c r="B48" s="463" t="s">
        <v>604</v>
      </c>
      <c r="C48" s="463"/>
      <c r="D48" s="444" t="s">
        <v>575</v>
      </c>
      <c r="E48" s="465">
        <v>0</v>
      </c>
      <c r="F48" s="465">
        <v>0</v>
      </c>
      <c r="G48" s="465">
        <v>0.12672143461895757</v>
      </c>
      <c r="H48" s="465">
        <v>0</v>
      </c>
      <c r="I48" s="465">
        <v>-23.16</v>
      </c>
    </row>
    <row r="49" spans="2:10" s="83" customFormat="1">
      <c r="B49" s="463" t="s">
        <v>605</v>
      </c>
      <c r="C49" s="463"/>
      <c r="D49" s="444" t="s">
        <v>575</v>
      </c>
      <c r="E49" s="465">
        <v>0</v>
      </c>
      <c r="F49" s="465">
        <v>0</v>
      </c>
      <c r="G49" s="465">
        <v>0</v>
      </c>
      <c r="H49" s="465">
        <v>0</v>
      </c>
      <c r="I49" s="465">
        <v>38.54</v>
      </c>
    </row>
    <row r="50" spans="2:10" s="83" customFormat="1">
      <c r="B50" s="463" t="s">
        <v>606</v>
      </c>
      <c r="C50" s="463"/>
      <c r="D50" s="444" t="s">
        <v>575</v>
      </c>
      <c r="E50" s="465">
        <v>0</v>
      </c>
      <c r="F50" s="465">
        <v>0</v>
      </c>
      <c r="G50" s="465">
        <v>0</v>
      </c>
      <c r="H50" s="465">
        <v>0</v>
      </c>
      <c r="I50" s="465">
        <v>0</v>
      </c>
    </row>
    <row r="51" spans="2:10" s="83" customFormat="1">
      <c r="B51" s="463" t="s">
        <v>606</v>
      </c>
      <c r="C51" s="463"/>
      <c r="D51" s="444" t="s">
        <v>575</v>
      </c>
      <c r="E51" s="465">
        <v>0</v>
      </c>
      <c r="F51" s="465">
        <v>0</v>
      </c>
      <c r="G51" s="465">
        <v>0</v>
      </c>
      <c r="H51" s="465">
        <v>0</v>
      </c>
      <c r="I51" s="465">
        <v>0</v>
      </c>
    </row>
    <row r="52" spans="2:10" s="83" customFormat="1">
      <c r="B52" s="463" t="s">
        <v>606</v>
      </c>
      <c r="C52" s="463"/>
      <c r="D52" s="444" t="s">
        <v>575</v>
      </c>
      <c r="E52" s="465">
        <v>0</v>
      </c>
      <c r="F52" s="465">
        <v>0</v>
      </c>
      <c r="G52" s="465">
        <v>0</v>
      </c>
      <c r="H52" s="465">
        <v>0</v>
      </c>
      <c r="I52" s="465">
        <v>0</v>
      </c>
    </row>
    <row r="53" spans="2:10" s="83" customFormat="1">
      <c r="B53" s="463" t="s">
        <v>606</v>
      </c>
      <c r="C53" s="463"/>
      <c r="D53" s="444" t="s">
        <v>575</v>
      </c>
      <c r="E53" s="465">
        <v>0</v>
      </c>
      <c r="F53" s="465">
        <v>0</v>
      </c>
      <c r="G53" s="465">
        <v>0</v>
      </c>
      <c r="H53" s="465">
        <v>0</v>
      </c>
      <c r="I53" s="465">
        <v>0</v>
      </c>
    </row>
    <row r="54" spans="2:10" s="83" customFormat="1">
      <c r="B54" s="463" t="s">
        <v>606</v>
      </c>
      <c r="C54" s="463"/>
      <c r="D54" s="444" t="s">
        <v>575</v>
      </c>
      <c r="E54" s="465">
        <v>0</v>
      </c>
      <c r="F54" s="465">
        <v>0</v>
      </c>
      <c r="G54" s="465">
        <v>0</v>
      </c>
      <c r="H54" s="465">
        <v>0</v>
      </c>
      <c r="I54" s="465">
        <v>0</v>
      </c>
    </row>
    <row r="55" spans="2:10" s="83" customFormat="1">
      <c r="B55" s="463" t="s">
        <v>606</v>
      </c>
      <c r="C55" s="463"/>
      <c r="D55" s="444" t="s">
        <v>575</v>
      </c>
      <c r="E55" s="465">
        <v>0</v>
      </c>
      <c r="F55" s="465">
        <v>0</v>
      </c>
      <c r="G55" s="465">
        <v>0</v>
      </c>
      <c r="H55" s="465">
        <v>0</v>
      </c>
      <c r="I55" s="465">
        <v>0</v>
      </c>
    </row>
    <row r="56" spans="2:10" s="83" customFormat="1">
      <c r="B56" s="455" t="s">
        <v>607</v>
      </c>
      <c r="C56" s="455"/>
      <c r="D56" s="444" t="s">
        <v>575</v>
      </c>
      <c r="E56" s="460">
        <f t="shared" ref="E56:I56" si="6">SUM(E40:E55)</f>
        <v>24.756537060000035</v>
      </c>
      <c r="F56" s="460">
        <f t="shared" si="6"/>
        <v>52.178835987393782</v>
      </c>
      <c r="G56" s="460">
        <f t="shared" si="6"/>
        <v>13.116723674618942</v>
      </c>
      <c r="H56" s="460">
        <f t="shared" si="6"/>
        <v>23.671523220303008</v>
      </c>
      <c r="I56" s="460">
        <f t="shared" si="6"/>
        <v>13.208999829999446</v>
      </c>
    </row>
    <row r="57" spans="2:10" s="83" customFormat="1">
      <c r="B57" s="443"/>
      <c r="C57" s="443"/>
      <c r="D57" s="444"/>
      <c r="E57" s="469"/>
      <c r="F57" s="469"/>
      <c r="G57" s="469"/>
      <c r="H57" s="469"/>
      <c r="I57" s="469"/>
    </row>
    <row r="58" spans="2:10" s="83" customFormat="1">
      <c r="B58" s="470" t="s">
        <v>608</v>
      </c>
      <c r="C58" s="470"/>
      <c r="D58" s="444" t="s">
        <v>575</v>
      </c>
      <c r="E58" s="460">
        <f>E25+E37+E56</f>
        <v>2036.4567736900003</v>
      </c>
      <c r="F58" s="460">
        <f t="shared" ref="F58:I58" si="7">F25+F37+F56</f>
        <v>1987.258177537394</v>
      </c>
      <c r="G58" s="460">
        <f t="shared" si="7"/>
        <v>2734.9</v>
      </c>
      <c r="H58" s="460">
        <f t="shared" si="7"/>
        <v>2619.1269260431923</v>
      </c>
      <c r="I58" s="460">
        <f t="shared" si="7"/>
        <v>2896.6874334799991</v>
      </c>
    </row>
    <row r="59" spans="2:10" s="83" customFormat="1">
      <c r="B59" s="471" t="s">
        <v>609</v>
      </c>
      <c r="C59" s="471"/>
      <c r="D59" s="444" t="s">
        <v>575</v>
      </c>
      <c r="E59" s="465">
        <v>2036.5</v>
      </c>
      <c r="F59" s="465">
        <v>1987.3</v>
      </c>
      <c r="G59" s="465">
        <v>2734.9</v>
      </c>
      <c r="H59" s="465">
        <v>2619.1269428199989</v>
      </c>
      <c r="I59" s="465">
        <v>2896.67395377</v>
      </c>
    </row>
    <row r="60" spans="2:10" s="83" customFormat="1">
      <c r="B60" s="443" t="s">
        <v>610</v>
      </c>
      <c r="C60" s="443"/>
      <c r="D60" s="444"/>
      <c r="E60" s="472" t="str">
        <f>IF(ABS(E58-E59)&lt;Data!$F$7,"OK","Error")</f>
        <v>OK</v>
      </c>
      <c r="F60" s="472" t="str">
        <f>IF(ABS(F58-F59)&lt;Data!$F$7,"OK","Error")</f>
        <v>OK</v>
      </c>
      <c r="G60" s="472" t="str">
        <f>IF(ABS(G58-G59)&lt;Data!$F$7,"OK","Error")</f>
        <v>OK</v>
      </c>
      <c r="H60" s="472" t="str">
        <f>IF(ABS(H58-H59)&lt;Data!$F$7,"OK","Error")</f>
        <v>OK</v>
      </c>
      <c r="I60" s="472" t="str">
        <f>IF(ABS(I58-I59)&lt;Data!$F$7,"OK","Error")</f>
        <v>OK</v>
      </c>
    </row>
    <row r="61" spans="2:10" s="83" customFormat="1">
      <c r="B61" s="443"/>
      <c r="C61" s="443"/>
      <c r="D61" s="444"/>
      <c r="E61" s="473"/>
      <c r="F61" s="473"/>
      <c r="G61" s="473"/>
      <c r="H61" s="473"/>
      <c r="I61" s="473"/>
    </row>
    <row r="62" spans="2:10" s="83" customFormat="1">
      <c r="B62" s="443"/>
      <c r="C62" s="443"/>
      <c r="D62" s="444"/>
    </row>
    <row r="63" spans="2:10" s="83" customFormat="1">
      <c r="B63" s="443"/>
      <c r="C63" s="443"/>
      <c r="D63" s="444"/>
    </row>
    <row r="64" spans="2:10" s="83" customFormat="1">
      <c r="B64" s="450" t="s">
        <v>611</v>
      </c>
      <c r="C64" s="450"/>
      <c r="D64" s="451"/>
      <c r="E64" s="452"/>
      <c r="F64" s="452"/>
      <c r="G64" s="452"/>
      <c r="H64" s="452"/>
      <c r="I64" s="452"/>
      <c r="J64" s="453"/>
    </row>
    <row r="65" spans="1:14" s="83" customFormat="1">
      <c r="A65" s="427"/>
      <c r="B65" s="456"/>
      <c r="C65" s="456"/>
      <c r="D65" s="444"/>
      <c r="E65" s="427"/>
      <c r="F65" s="427"/>
      <c r="G65" s="427"/>
      <c r="H65" s="427"/>
      <c r="I65" s="427"/>
      <c r="J65" s="427"/>
      <c r="K65" s="427"/>
      <c r="L65" s="427"/>
      <c r="M65" s="427"/>
      <c r="N65" s="427"/>
    </row>
    <row r="66" spans="1:14" s="83" customFormat="1">
      <c r="A66" s="427"/>
      <c r="B66" s="456"/>
      <c r="C66" s="456"/>
      <c r="D66" s="444"/>
      <c r="E66" s="445" t="str">
        <f>IF(E$6&lt;=Reporting_Year,"Actuals","N/A")</f>
        <v>Actuals</v>
      </c>
      <c r="F66" s="445" t="str">
        <f>IF(F$6&lt;=Reporting_Year,"Actuals","N/A")</f>
        <v>Actuals</v>
      </c>
      <c r="G66" s="445" t="str">
        <f>IF(G$6&lt;=Reporting_Year,"Actuals","N/A")</f>
        <v>Actuals</v>
      </c>
      <c r="H66" s="445" t="str">
        <f>IF(H$6&lt;=Reporting_Year,"Actuals","N/A")</f>
        <v>Actuals</v>
      </c>
      <c r="I66" s="445" t="str">
        <f>IF(I$6&lt;=Reporting_Year,"Actuals","N/A")</f>
        <v>Actuals</v>
      </c>
      <c r="J66" s="427"/>
      <c r="K66" s="427"/>
      <c r="L66" s="427"/>
      <c r="M66" s="427"/>
      <c r="N66" s="427"/>
    </row>
    <row r="67" spans="1:14" s="83" customFormat="1">
      <c r="A67" s="427"/>
      <c r="B67" s="456"/>
      <c r="C67" s="456"/>
      <c r="D67" s="444"/>
      <c r="E67" s="427"/>
      <c r="F67" s="427"/>
      <c r="G67" s="427"/>
      <c r="H67" s="427"/>
      <c r="I67" s="427"/>
      <c r="J67" s="427"/>
      <c r="K67" s="427"/>
      <c r="L67" s="427"/>
      <c r="M67" s="427"/>
      <c r="N67" s="427"/>
    </row>
    <row r="68" spans="1:14" s="83" customFormat="1">
      <c r="A68" s="427"/>
      <c r="B68" s="474" t="s">
        <v>612</v>
      </c>
      <c r="C68" s="456"/>
      <c r="D68" s="444" t="s">
        <v>575</v>
      </c>
      <c r="E68" s="475">
        <f t="shared" ref="E68:I68" si="8">E59</f>
        <v>2036.5</v>
      </c>
      <c r="F68" s="475">
        <f t="shared" si="8"/>
        <v>1987.3</v>
      </c>
      <c r="G68" s="475">
        <f t="shared" si="8"/>
        <v>2734.9</v>
      </c>
      <c r="H68" s="475">
        <f t="shared" si="8"/>
        <v>2619.1269428199989</v>
      </c>
      <c r="I68" s="475">
        <f t="shared" si="8"/>
        <v>2896.67395377</v>
      </c>
      <c r="J68" s="427"/>
      <c r="K68" s="427"/>
      <c r="L68" s="427"/>
      <c r="M68" s="427"/>
      <c r="N68" s="427"/>
    </row>
    <row r="69" spans="1:14" s="83" customFormat="1">
      <c r="A69" s="427"/>
      <c r="B69" s="83" t="s">
        <v>613</v>
      </c>
      <c r="C69" s="456"/>
      <c r="D69" s="444" t="s">
        <v>575</v>
      </c>
      <c r="E69" s="475">
        <f>E25</f>
        <v>1787.8678879199999</v>
      </c>
      <c r="F69" s="475">
        <f>F25</f>
        <v>1690.4560273900001</v>
      </c>
      <c r="G69" s="475">
        <f t="shared" ref="G69:I69" si="9">G25</f>
        <v>2383.1296844000003</v>
      </c>
      <c r="H69" s="475">
        <f t="shared" si="9"/>
        <v>2027.5586530900002</v>
      </c>
      <c r="I69" s="475">
        <f t="shared" si="9"/>
        <v>2385.7135984899996</v>
      </c>
      <c r="J69" s="427" t="s">
        <v>614</v>
      </c>
      <c r="K69" s="427"/>
      <c r="L69" s="427"/>
      <c r="M69" s="427"/>
      <c r="N69" s="427"/>
    </row>
    <row r="70" spans="1:14" s="83" customFormat="1">
      <c r="A70" s="427"/>
      <c r="B70" s="471"/>
      <c r="C70" s="456"/>
      <c r="D70" s="444"/>
      <c r="E70" s="476"/>
      <c r="F70" s="476"/>
      <c r="G70" s="476"/>
      <c r="H70" s="427"/>
      <c r="I70" s="427"/>
      <c r="J70" s="427"/>
      <c r="K70" s="427"/>
      <c r="L70" s="427"/>
      <c r="M70" s="427"/>
      <c r="N70" s="427"/>
    </row>
    <row r="71" spans="1:14">
      <c r="B71" s="477"/>
    </row>
    <row r="72" spans="1:14">
      <c r="B72" s="474" t="s">
        <v>615</v>
      </c>
      <c r="D72" s="444" t="s">
        <v>575</v>
      </c>
      <c r="E72" s="475">
        <f>'R3 - Totex - Reconciliation'!D130</f>
        <v>475.93311740000001</v>
      </c>
      <c r="F72" s="475">
        <f>'R3 - Totex - Reconciliation'!E130</f>
        <v>487.91083688000049</v>
      </c>
      <c r="G72" s="475">
        <f>'R3 - Totex - Reconciliation'!F130</f>
        <v>562</v>
      </c>
      <c r="H72" s="475">
        <f>'R3 - Totex - Reconciliation'!G130</f>
        <v>834</v>
      </c>
      <c r="I72" s="475">
        <f>'R3 - Totex - Reconciliation'!H130</f>
        <v>771</v>
      </c>
    </row>
    <row r="73" spans="1:14">
      <c r="B73" s="478" t="s">
        <v>616</v>
      </c>
      <c r="D73" s="427"/>
    </row>
    <row r="74" spans="1:14" ht="8.25" customHeight="1">
      <c r="B74" s="427"/>
      <c r="D74" s="427"/>
    </row>
    <row r="75" spans="1:14" ht="12.75" customHeight="1">
      <c r="B75" s="83" t="s">
        <v>617</v>
      </c>
      <c r="D75" s="444" t="s">
        <v>575</v>
      </c>
      <c r="E75" s="479">
        <f>'R3 - Totex - Reconciliation'!D158</f>
        <v>16.825059763304377</v>
      </c>
      <c r="F75" s="479">
        <f>'R3 - Totex - Reconciliation'!E158</f>
        <v>22.121326789784256</v>
      </c>
      <c r="G75" s="479">
        <f>'R3 - Totex - Reconciliation'!F158</f>
        <v>-88.61617464184971</v>
      </c>
      <c r="H75" s="479">
        <f>'R3 - Totex - Reconciliation'!G158</f>
        <v>-373.76646483474207</v>
      </c>
      <c r="I75" s="479">
        <f>'R3 - Totex - Reconciliation'!H158</f>
        <v>-231.13594538982795</v>
      </c>
      <c r="K75" s="480"/>
    </row>
    <row r="76" spans="1:14">
      <c r="B76" s="427" t="s">
        <v>618</v>
      </c>
      <c r="D76" s="444" t="s">
        <v>575</v>
      </c>
      <c r="E76" s="465">
        <v>0</v>
      </c>
      <c r="F76" s="465">
        <v>0</v>
      </c>
      <c r="G76" s="465">
        <v>0</v>
      </c>
      <c r="H76" s="465">
        <v>0</v>
      </c>
      <c r="I76" s="465">
        <v>0</v>
      </c>
    </row>
    <row r="77" spans="1:14" ht="5.25" customHeight="1">
      <c r="B77" s="427"/>
      <c r="D77" s="456"/>
      <c r="E77" s="456"/>
      <c r="F77" s="456"/>
      <c r="G77" s="456"/>
      <c r="H77" s="456"/>
      <c r="I77" s="456"/>
    </row>
    <row r="78" spans="1:14">
      <c r="B78" s="83" t="s">
        <v>619</v>
      </c>
      <c r="D78" s="444" t="s">
        <v>575</v>
      </c>
      <c r="E78" s="475">
        <f>'R3 - Totex - Reconciliation'!D130+'R3 - Totex - Reconciliation'!D158+E76</f>
        <v>492.75817716330437</v>
      </c>
      <c r="F78" s="481">
        <f>'R3 - Totex - Reconciliation'!E130+'R3 - Totex - Reconciliation'!E158+F76</f>
        <v>510.03216366978472</v>
      </c>
      <c r="G78" s="481">
        <f>'R3 - Totex - Reconciliation'!F130+'R3 - Totex - Reconciliation'!F158+G76</f>
        <v>473.38382535815026</v>
      </c>
      <c r="H78" s="481">
        <f>'R3 - Totex - Reconciliation'!G130+'R3 - Totex - Reconciliation'!G158+H76</f>
        <v>460.23353516525793</v>
      </c>
      <c r="I78" s="481">
        <f>'R3 - Totex - Reconciliation'!H130+'R3 - Totex - Reconciliation'!H158+I76</f>
        <v>539.86405461017205</v>
      </c>
      <c r="K78" s="456"/>
      <c r="N78" s="456"/>
    </row>
    <row r="79" spans="1:14">
      <c r="B79" s="478" t="s">
        <v>620</v>
      </c>
      <c r="D79" s="444" t="s">
        <v>575</v>
      </c>
      <c r="E79" s="482" t="str">
        <f>IF(ABS(E78-SUM(E72,E75,E76))&lt;=materiality_threshold,"ok","error")</f>
        <v>ok</v>
      </c>
      <c r="F79" s="482" t="str">
        <f>IF(ABS(F78-SUM(F72,F75,F76))&lt;=materiality_threshold,"ok","error")</f>
        <v>ok</v>
      </c>
      <c r="G79" s="482" t="str">
        <f>IF(ABS(G78-SUM(G72,G75,G76))&lt;=materiality_threshold,"ok","error")</f>
        <v>ok</v>
      </c>
      <c r="H79" s="482" t="str">
        <f>IF(ABS(H78-SUM(H72,H75,H76))&lt;=materiality_threshold,"ok","error")</f>
        <v>ok</v>
      </c>
      <c r="I79" s="482" t="str">
        <f>IF(ABS(I78-SUM(I72,I75,I76))&lt;=materiality_threshold,"ok","error")</f>
        <v>ok</v>
      </c>
    </row>
    <row r="80" spans="1:14">
      <c r="B80" s="427"/>
      <c r="E80" s="444"/>
      <c r="F80" s="444"/>
      <c r="G80" s="444"/>
      <c r="H80" s="444"/>
      <c r="I80" s="444"/>
    </row>
    <row r="81" spans="2:13">
      <c r="B81" s="474" t="s">
        <v>621</v>
      </c>
      <c r="D81" s="444" t="s">
        <v>575</v>
      </c>
      <c r="E81" s="483">
        <f>E68-E72</f>
        <v>1560.5668826000001</v>
      </c>
      <c r="F81" s="483">
        <f>F68-F72</f>
        <v>1499.3891631199995</v>
      </c>
      <c r="G81" s="483">
        <f>G68-G72</f>
        <v>2172.9</v>
      </c>
      <c r="H81" s="483">
        <f>H68-H72</f>
        <v>1785.1269428199989</v>
      </c>
      <c r="I81" s="483">
        <f>I68-I72</f>
        <v>2125.67395377</v>
      </c>
    </row>
    <row r="82" spans="2:13">
      <c r="B82" s="484" t="s">
        <v>622</v>
      </c>
      <c r="D82" s="444" t="s">
        <v>575</v>
      </c>
      <c r="E82" s="483">
        <f>E69-E78</f>
        <v>1295.1097107566957</v>
      </c>
      <c r="F82" s="483">
        <f>F69-F78</f>
        <v>1180.4238637202154</v>
      </c>
      <c r="G82" s="483">
        <f>G69-G78</f>
        <v>1909.7458590418501</v>
      </c>
      <c r="H82" s="483">
        <f>H69-H78</f>
        <v>1567.3251179247422</v>
      </c>
      <c r="I82" s="483">
        <f>I69-I78</f>
        <v>1845.8495438798277</v>
      </c>
      <c r="K82" s="485"/>
    </row>
    <row r="84" spans="2:13">
      <c r="B84" s="474" t="s">
        <v>623</v>
      </c>
      <c r="D84" s="444" t="s">
        <v>575</v>
      </c>
      <c r="E84" s="481">
        <f>'R3 - Totex - Reconciliation'!D125</f>
        <v>514</v>
      </c>
      <c r="F84" s="481">
        <f>'R3 - Totex - Reconciliation'!E125</f>
        <v>490</v>
      </c>
      <c r="G84" s="481">
        <f>'R3 - Totex - Reconciliation'!F125</f>
        <v>525</v>
      </c>
      <c r="H84" s="481">
        <f>'R3 - Totex - Reconciliation'!G125</f>
        <v>544</v>
      </c>
      <c r="I84" s="481">
        <f>'R3 - Totex - Reconciliation'!H125</f>
        <v>552</v>
      </c>
    </row>
    <row r="85" spans="2:13" ht="16.399999999999999" customHeight="1">
      <c r="B85" s="478" t="s">
        <v>616</v>
      </c>
    </row>
    <row r="86" spans="2:13" ht="22.4" customHeight="1">
      <c r="B86" s="427" t="s">
        <v>624</v>
      </c>
      <c r="D86" s="427"/>
    </row>
    <row r="87" spans="2:13">
      <c r="B87" s="443" t="s">
        <v>625</v>
      </c>
      <c r="D87" s="444" t="s">
        <v>575</v>
      </c>
      <c r="E87" s="465">
        <v>0</v>
      </c>
      <c r="F87" s="465">
        <v>0</v>
      </c>
      <c r="G87" s="465">
        <v>0</v>
      </c>
      <c r="H87" s="465">
        <v>0</v>
      </c>
      <c r="I87" s="465">
        <v>0</v>
      </c>
    </row>
    <row r="88" spans="2:13">
      <c r="B88" s="463" t="s">
        <v>626</v>
      </c>
      <c r="C88" s="463"/>
      <c r="D88" s="444" t="s">
        <v>575</v>
      </c>
      <c r="E88" s="465">
        <v>0</v>
      </c>
      <c r="F88" s="465">
        <v>0</v>
      </c>
      <c r="G88" s="465">
        <v>0</v>
      </c>
      <c r="H88" s="465">
        <v>0</v>
      </c>
      <c r="I88" s="465">
        <v>0</v>
      </c>
    </row>
    <row r="89" spans="2:13">
      <c r="B89" s="443" t="s">
        <v>627</v>
      </c>
      <c r="D89" s="444" t="s">
        <v>575</v>
      </c>
      <c r="E89" s="486">
        <f>SUM(E87:E88)</f>
        <v>0</v>
      </c>
      <c r="F89" s="486">
        <f t="shared" ref="F89:I89" si="10">SUM(F87:F88)</f>
        <v>0</v>
      </c>
      <c r="G89" s="486">
        <f t="shared" si="10"/>
        <v>0</v>
      </c>
      <c r="H89" s="486">
        <f t="shared" si="10"/>
        <v>0</v>
      </c>
      <c r="I89" s="486">
        <f t="shared" si="10"/>
        <v>0</v>
      </c>
    </row>
    <row r="90" spans="2:13" ht="5.25" customHeight="1">
      <c r="B90" s="443"/>
      <c r="D90" s="456"/>
      <c r="E90" s="456"/>
      <c r="F90" s="456"/>
      <c r="G90" s="456"/>
      <c r="H90" s="456"/>
      <c r="I90" s="456"/>
      <c r="J90" s="456"/>
      <c r="K90" s="456"/>
      <c r="L90" s="456"/>
      <c r="M90" s="456"/>
    </row>
    <row r="91" spans="2:13">
      <c r="B91" s="83" t="s">
        <v>628</v>
      </c>
      <c r="D91" s="444" t="s">
        <v>575</v>
      </c>
      <c r="E91" s="487">
        <f>SUM(E84,E89)</f>
        <v>514</v>
      </c>
      <c r="F91" s="487">
        <f t="shared" ref="F91:I91" si="11">SUM(F84,F89)</f>
        <v>490</v>
      </c>
      <c r="G91" s="487">
        <f t="shared" si="11"/>
        <v>525</v>
      </c>
      <c r="H91" s="487">
        <f t="shared" si="11"/>
        <v>544</v>
      </c>
      <c r="I91" s="487">
        <f t="shared" si="11"/>
        <v>552</v>
      </c>
    </row>
    <row r="92" spans="2:13">
      <c r="B92" s="427"/>
      <c r="C92" s="427"/>
      <c r="D92" s="427"/>
    </row>
    <row r="93" spans="2:13">
      <c r="B93" s="488" t="s">
        <v>629</v>
      </c>
      <c r="C93" s="489"/>
      <c r="D93" s="490" t="s">
        <v>575</v>
      </c>
      <c r="E93" s="294">
        <f>E81-E84</f>
        <v>1046.5668826000001</v>
      </c>
      <c r="F93" s="294">
        <f t="shared" ref="F93:I93" si="12">F81-F84</f>
        <v>1009.3891631199995</v>
      </c>
      <c r="G93" s="294">
        <f t="shared" si="12"/>
        <v>1647.9</v>
      </c>
      <c r="H93" s="294">
        <f t="shared" si="12"/>
        <v>1241.1269428199989</v>
      </c>
      <c r="I93" s="294">
        <f t="shared" si="12"/>
        <v>1573.67395377</v>
      </c>
    </row>
    <row r="94" spans="2:13">
      <c r="B94" s="491" t="s">
        <v>630</v>
      </c>
      <c r="D94" s="444" t="s">
        <v>575</v>
      </c>
      <c r="E94" s="487">
        <f>E82-E91</f>
        <v>781.10971075669568</v>
      </c>
      <c r="F94" s="487">
        <f t="shared" ref="F94:I94" si="13">F82-F91</f>
        <v>690.42386372021542</v>
      </c>
      <c r="G94" s="487">
        <f t="shared" si="13"/>
        <v>1384.7458590418501</v>
      </c>
      <c r="H94" s="487">
        <f t="shared" si="13"/>
        <v>1023.3251179247422</v>
      </c>
      <c r="I94" s="487">
        <f t="shared" si="13"/>
        <v>1293.8495438798277</v>
      </c>
    </row>
    <row r="95" spans="2:13">
      <c r="B95" s="491"/>
      <c r="E95" s="492"/>
      <c r="F95" s="492"/>
      <c r="G95" s="492"/>
      <c r="H95" s="492"/>
      <c r="I95" s="493"/>
    </row>
    <row r="96" spans="2:13">
      <c r="B96" s="494" t="s">
        <v>631</v>
      </c>
      <c r="D96" s="444" t="s">
        <v>575</v>
      </c>
      <c r="E96" s="495">
        <f>'R5 - Financing'!D9</f>
        <v>243.3971789166601</v>
      </c>
      <c r="F96" s="495">
        <f>'R5 - Financing'!E9</f>
        <v>315.60579724643401</v>
      </c>
      <c r="G96" s="495">
        <f>'R5 - Financing'!F9</f>
        <v>241.99008056775813</v>
      </c>
      <c r="H96" s="495">
        <f>'R5 - Financing'!G9</f>
        <v>225.85626319293689</v>
      </c>
      <c r="I96" s="495">
        <f>'R5 - Financing'!H9</f>
        <v>183.68348842195539</v>
      </c>
    </row>
    <row r="97" spans="2:11">
      <c r="B97" s="496" t="s">
        <v>632</v>
      </c>
      <c r="D97" s="444" t="s">
        <v>575</v>
      </c>
      <c r="E97" s="465">
        <v>0</v>
      </c>
      <c r="F97" s="465">
        <v>0</v>
      </c>
      <c r="G97" s="465">
        <v>0</v>
      </c>
      <c r="H97" s="465">
        <v>0</v>
      </c>
      <c r="I97" s="465">
        <v>0</v>
      </c>
      <c r="J97" s="427" t="s">
        <v>633</v>
      </c>
    </row>
    <row r="98" spans="2:11">
      <c r="B98" s="496" t="s">
        <v>634</v>
      </c>
      <c r="D98" s="444" t="s">
        <v>575</v>
      </c>
      <c r="E98" s="465">
        <v>0</v>
      </c>
      <c r="F98" s="465">
        <v>0</v>
      </c>
      <c r="G98" s="465">
        <v>0</v>
      </c>
      <c r="H98" s="465">
        <v>0</v>
      </c>
      <c r="I98" s="465">
        <v>0</v>
      </c>
      <c r="J98" s="427" t="s">
        <v>633</v>
      </c>
    </row>
    <row r="99" spans="2:11">
      <c r="B99" s="497" t="s">
        <v>635</v>
      </c>
      <c r="D99" s="444" t="s">
        <v>575</v>
      </c>
      <c r="E99" s="495">
        <f>'R5 - Financing'!D29</f>
        <v>334.09657104324458</v>
      </c>
      <c r="F99" s="495">
        <f>'R5 - Financing'!E29</f>
        <v>539.93889474643402</v>
      </c>
      <c r="G99" s="495">
        <f>'R5 - Financing'!F29</f>
        <v>399.66299728117372</v>
      </c>
      <c r="H99" s="495">
        <f>'R5 - Financing'!G29</f>
        <v>376.65044768401066</v>
      </c>
      <c r="I99" s="495">
        <f>'R5 - Financing'!H29</f>
        <v>460.48443854264434</v>
      </c>
    </row>
    <row r="100" spans="2:11">
      <c r="B100" s="498" t="s">
        <v>636</v>
      </c>
      <c r="D100" s="444" t="s">
        <v>575</v>
      </c>
      <c r="E100" s="487">
        <f>E96-E99</f>
        <v>-90.699392126584485</v>
      </c>
      <c r="F100" s="487">
        <f>F96-F99</f>
        <v>-224.33309750000001</v>
      </c>
      <c r="G100" s="487">
        <f>G96-G99</f>
        <v>-157.67291671341559</v>
      </c>
      <c r="H100" s="487">
        <f>H96-H99</f>
        <v>-150.79418449107376</v>
      </c>
      <c r="I100" s="499">
        <f>I96-I99</f>
        <v>-276.80095012068898</v>
      </c>
      <c r="K100" s="480"/>
    </row>
    <row r="101" spans="2:11">
      <c r="B101" s="491"/>
      <c r="E101" s="492"/>
      <c r="F101" s="492"/>
      <c r="G101" s="492"/>
      <c r="H101" s="492"/>
      <c r="I101" s="493"/>
    </row>
    <row r="102" spans="2:11">
      <c r="B102" s="494" t="s">
        <v>637</v>
      </c>
      <c r="D102" s="444" t="s">
        <v>575</v>
      </c>
      <c r="E102" s="465">
        <v>514</v>
      </c>
      <c r="F102" s="465">
        <v>160</v>
      </c>
      <c r="G102" s="465">
        <v>364</v>
      </c>
      <c r="H102" s="465">
        <v>263</v>
      </c>
      <c r="I102" s="465">
        <v>372</v>
      </c>
    </row>
    <row r="103" spans="2:11">
      <c r="B103" s="494" t="s">
        <v>638</v>
      </c>
      <c r="D103" s="444" t="s">
        <v>575</v>
      </c>
      <c r="E103" s="465">
        <v>-407</v>
      </c>
      <c r="F103" s="465">
        <v>-90</v>
      </c>
      <c r="G103" s="465">
        <v>-191</v>
      </c>
      <c r="H103" s="465">
        <v>-323</v>
      </c>
      <c r="I103" s="465">
        <v>-464</v>
      </c>
    </row>
    <row r="104" spans="2:11">
      <c r="B104" s="494" t="s">
        <v>639</v>
      </c>
      <c r="D104" s="444" t="s">
        <v>575</v>
      </c>
      <c r="E104" s="294">
        <f>SUM(E102:E103)</f>
        <v>107</v>
      </c>
      <c r="F104" s="294">
        <f t="shared" ref="F104:I104" si="14">SUM(F102:F103)</f>
        <v>70</v>
      </c>
      <c r="G104" s="294">
        <f t="shared" si="14"/>
        <v>173</v>
      </c>
      <c r="H104" s="294">
        <f t="shared" si="14"/>
        <v>-60</v>
      </c>
      <c r="I104" s="294">
        <f t="shared" si="14"/>
        <v>-92</v>
      </c>
    </row>
    <row r="105" spans="2:11">
      <c r="B105" s="497" t="s">
        <v>640</v>
      </c>
      <c r="D105" s="444" t="s">
        <v>575</v>
      </c>
      <c r="E105" s="495">
        <f>Adjusted_regulated_tax_liability</f>
        <v>137.43723285282064</v>
      </c>
      <c r="F105" s="495">
        <f>Adjusted_regulated_tax_liability</f>
        <v>92.407976043608571</v>
      </c>
      <c r="G105" s="495">
        <f>Adjusted_regulated_tax_liability</f>
        <v>79.398223886034572</v>
      </c>
      <c r="H105" s="495">
        <f>Adjusted_regulated_tax_liability</f>
        <v>-8.8817841970012523E-16</v>
      </c>
      <c r="I105" s="495">
        <f>Adjusted_regulated_tax_liability</f>
        <v>1.9548212160966614</v>
      </c>
    </row>
    <row r="106" spans="2:11">
      <c r="B106" s="498" t="s">
        <v>636</v>
      </c>
      <c r="D106" s="444" t="s">
        <v>575</v>
      </c>
      <c r="E106" s="500">
        <f>E104-E105</f>
        <v>-30.437232852820642</v>
      </c>
      <c r="F106" s="500">
        <f t="shared" ref="F106:I106" si="15">F104-F105</f>
        <v>-22.407976043608571</v>
      </c>
      <c r="G106" s="500">
        <f t="shared" si="15"/>
        <v>93.601776113965428</v>
      </c>
      <c r="H106" s="500">
        <f t="shared" si="15"/>
        <v>-60</v>
      </c>
      <c r="I106" s="500">
        <f t="shared" si="15"/>
        <v>-93.954821216096661</v>
      </c>
    </row>
    <row r="107" spans="2:11">
      <c r="B107" s="501"/>
      <c r="E107" s="492"/>
      <c r="F107" s="492"/>
      <c r="G107" s="492"/>
      <c r="H107" s="492"/>
      <c r="I107" s="493"/>
    </row>
    <row r="108" spans="2:11">
      <c r="B108" s="502" t="s">
        <v>641</v>
      </c>
      <c r="D108" s="444" t="s">
        <v>575</v>
      </c>
      <c r="E108" s="294">
        <f>IFERROR(E93-E96-E102,0)</f>
        <v>289.16970368334</v>
      </c>
      <c r="F108" s="294">
        <f>IFERROR(F93-F96-F102,0)</f>
        <v>533.78336587356546</v>
      </c>
      <c r="G108" s="294">
        <f>IFERROR(G93-G96-G102,0)</f>
        <v>1041.9099194322421</v>
      </c>
      <c r="H108" s="294">
        <f>IFERROR(H93-H96-H102,0)</f>
        <v>752.27067962706201</v>
      </c>
      <c r="I108" s="294">
        <f>IFERROR(I93-I96-I102,0)</f>
        <v>1017.9904653480446</v>
      </c>
    </row>
    <row r="109" spans="2:11">
      <c r="B109" s="503" t="s">
        <v>642</v>
      </c>
      <c r="D109" s="444" t="s">
        <v>575</v>
      </c>
      <c r="E109" s="294">
        <f>IFERROR(E94-E99-E105,0)</f>
        <v>309.57590686063043</v>
      </c>
      <c r="F109" s="294">
        <f>IFERROR(F94-F99-F105,0)</f>
        <v>58.076992930172835</v>
      </c>
      <c r="G109" s="294">
        <f>IFERROR(G94-G99-G105,0)</f>
        <v>905.68463787464179</v>
      </c>
      <c r="H109" s="294">
        <f>IFERROR(H94-H99-H105,0)</f>
        <v>646.67467024073153</v>
      </c>
      <c r="I109" s="294">
        <f>IFERROR(I94-I99-I105,0)</f>
        <v>831.41028412108676</v>
      </c>
    </row>
    <row r="110" spans="2:11">
      <c r="B110" s="498" t="s">
        <v>636</v>
      </c>
      <c r="D110" s="444" t="s">
        <v>575</v>
      </c>
      <c r="E110" s="487">
        <f>IFERROR(E108-E109,0)</f>
        <v>-20.406203177290422</v>
      </c>
      <c r="F110" s="487">
        <f>IFERROR(F108-F109,0)</f>
        <v>475.70637294339264</v>
      </c>
      <c r="G110" s="487">
        <f>IFERROR(G108-G109,0)</f>
        <v>136.22528155760028</v>
      </c>
      <c r="H110" s="487">
        <f>IFERROR(H108-H109,0)</f>
        <v>105.59600938633048</v>
      </c>
      <c r="I110" s="487">
        <f>IFERROR(I108-I109,0)</f>
        <v>186.58018122695785</v>
      </c>
    </row>
    <row r="111" spans="2:11">
      <c r="B111" s="501"/>
      <c r="C111" s="427"/>
      <c r="D111" s="427"/>
      <c r="I111" s="504"/>
    </row>
    <row r="112" spans="2:11">
      <c r="B112" s="505"/>
      <c r="C112" s="506"/>
      <c r="D112" s="507"/>
      <c r="E112" s="508"/>
      <c r="F112" s="507"/>
      <c r="G112" s="507"/>
      <c r="H112" s="507"/>
      <c r="I112" s="509"/>
    </row>
    <row r="113" spans="2:9">
      <c r="B113" s="427"/>
      <c r="D113" s="427"/>
    </row>
    <row r="114" spans="2:9">
      <c r="B114" s="427"/>
      <c r="C114" s="427"/>
      <c r="D114" s="427"/>
    </row>
    <row r="115" spans="2:9">
      <c r="B115" s="510"/>
      <c r="D115" s="427"/>
    </row>
    <row r="116" spans="2:9">
      <c r="B116" s="511" t="s">
        <v>643</v>
      </c>
      <c r="C116" s="427"/>
      <c r="D116" s="427"/>
    </row>
    <row r="117" spans="2:9">
      <c r="B117" s="512"/>
      <c r="C117" s="513"/>
      <c r="D117" s="513"/>
      <c r="E117" s="513"/>
      <c r="F117" s="513"/>
      <c r="G117" s="514"/>
      <c r="H117" s="514"/>
      <c r="I117" s="515"/>
    </row>
    <row r="118" spans="2:9">
      <c r="B118" s="516"/>
      <c r="C118" s="517"/>
      <c r="D118" s="518"/>
      <c r="E118" s="519"/>
      <c r="F118" s="519"/>
      <c r="G118" s="519"/>
      <c r="H118" s="519"/>
      <c r="I118" s="520"/>
    </row>
    <row r="119" spans="2:9">
      <c r="B119" s="516"/>
      <c r="C119" s="517"/>
      <c r="D119" s="518"/>
      <c r="E119" s="519"/>
      <c r="F119" s="519"/>
      <c r="G119" s="519"/>
      <c r="H119" s="519"/>
      <c r="I119" s="520"/>
    </row>
    <row r="120" spans="2:9">
      <c r="B120" s="516"/>
      <c r="C120" s="517"/>
      <c r="D120" s="518"/>
      <c r="E120" s="519"/>
      <c r="F120" s="519"/>
      <c r="G120" s="519"/>
      <c r="H120" s="519"/>
      <c r="I120" s="520"/>
    </row>
    <row r="121" spans="2:9">
      <c r="B121" s="516"/>
      <c r="C121" s="517"/>
      <c r="D121" s="518"/>
      <c r="E121" s="519"/>
      <c r="F121" s="519"/>
      <c r="G121" s="519"/>
      <c r="H121" s="519"/>
      <c r="I121" s="520"/>
    </row>
    <row r="122" spans="2:9">
      <c r="B122" s="521"/>
      <c r="C122" s="522"/>
      <c r="D122" s="523"/>
      <c r="E122" s="524"/>
      <c r="F122" s="524"/>
      <c r="G122" s="524"/>
      <c r="H122" s="524"/>
      <c r="I122" s="525"/>
    </row>
    <row r="124" spans="2:9" ht="13.5" customHeight="1"/>
    <row r="130" ht="15" customHeight="1"/>
    <row r="144" ht="91.5" customHeight="1"/>
  </sheetData>
  <sheetProtection insertRows="0" autoFilter="0" pivotTables="0"/>
  <conditionalFormatting sqref="C36">
    <cfRule type="expression" dxfId="80" priority="22">
      <formula>C$5="Forecast"</formula>
    </cfRule>
  </conditionalFormatting>
  <conditionalFormatting sqref="E6:H6">
    <cfRule type="expression" dxfId="79" priority="17">
      <formula>AND(E$5="Actuals",F$5="Forecast")</formula>
    </cfRule>
  </conditionalFormatting>
  <conditionalFormatting sqref="E66:H66">
    <cfRule type="expression" dxfId="78" priority="20">
      <formula>AND(E$5="Actuals",F$5="N/A")</formula>
    </cfRule>
  </conditionalFormatting>
  <conditionalFormatting sqref="E7:I7">
    <cfRule type="expression" dxfId="77" priority="19">
      <formula>AND(E$5="Actuals",F$5="Forecast")</formula>
    </cfRule>
  </conditionalFormatting>
  <conditionalFormatting sqref="E13:I19 E21:I21 E25:I25 E28:I37 E40:I56 E58:I60 E66:I66 E68:I69 E72:I72 E91:I91 E93:I94">
    <cfRule type="expression" dxfId="76" priority="14">
      <formula>E$5="Forecast"</formula>
    </cfRule>
  </conditionalFormatting>
  <conditionalFormatting sqref="E25:I25">
    <cfRule type="expression" priority="10">
      <formula>E$5="Forecast"</formula>
    </cfRule>
    <cfRule type="expression" priority="11">
      <formula>$E3="Forecast"</formula>
    </cfRule>
  </conditionalFormatting>
  <conditionalFormatting sqref="E28:I36 E40:I55">
    <cfRule type="expression" priority="15">
      <formula>E$5="Forecast"</formula>
    </cfRule>
  </conditionalFormatting>
  <conditionalFormatting sqref="E28:I36">
    <cfRule type="expression" priority="16">
      <formula>$E6="Forecast"</formula>
    </cfRule>
  </conditionalFormatting>
  <conditionalFormatting sqref="E40:I55">
    <cfRule type="expression" priority="5">
      <formula>$E18="Forecast"</formula>
    </cfRule>
  </conditionalFormatting>
  <conditionalFormatting sqref="E60:I60">
    <cfRule type="expression" dxfId="74" priority="23">
      <formula>E$5="Forecast"</formula>
    </cfRule>
  </conditionalFormatting>
  <conditionalFormatting sqref="E68:I70 E72:I72">
    <cfRule type="expression" dxfId="73" priority="21">
      <formula>D$12="N/A"</formula>
    </cfRule>
  </conditionalFormatting>
  <conditionalFormatting sqref="E75:I76">
    <cfRule type="expression" dxfId="72" priority="4">
      <formula>E$5="Forecast"</formula>
    </cfRule>
  </conditionalFormatting>
  <conditionalFormatting sqref="E78:I78">
    <cfRule type="expression" dxfId="71" priority="9">
      <formula>D$12="N/A"</formula>
    </cfRule>
  </conditionalFormatting>
  <conditionalFormatting sqref="E78:I79">
    <cfRule type="expression" dxfId="70" priority="8">
      <formula>E$5="Forecast"</formula>
    </cfRule>
  </conditionalFormatting>
  <conditionalFormatting sqref="E84:I84">
    <cfRule type="expression" dxfId="69" priority="6">
      <formula>E$5="Forecast"</formula>
    </cfRule>
    <cfRule type="expression" dxfId="68" priority="7">
      <formula>D$12="N/A"</formula>
    </cfRule>
  </conditionalFormatting>
  <conditionalFormatting sqref="E87:I89">
    <cfRule type="expression" dxfId="67" priority="3">
      <formula>E$5="Forecast"</formula>
    </cfRule>
  </conditionalFormatting>
  <conditionalFormatting sqref="E96:I100">
    <cfRule type="expression" dxfId="66" priority="2">
      <formula>E$5="Forecast"</formula>
    </cfRule>
  </conditionalFormatting>
  <conditionalFormatting sqref="E102:I106">
    <cfRule type="expression" dxfId="65" priority="1">
      <formula>E$5="Forecast"</formula>
    </cfRule>
  </conditionalFormatting>
  <conditionalFormatting sqref="E108:I110">
    <cfRule type="expression" dxfId="64" priority="13">
      <formula>E$5="Forecast"</formula>
    </cfRule>
  </conditionalFormatting>
  <conditionalFormatting sqref="I6">
    <cfRule type="expression" dxfId="63" priority="18">
      <formula>AND(I$5="Actuals",#REF!="Forecast")</formula>
    </cfRule>
  </conditionalFormatting>
  <conditionalFormatting sqref="I66">
    <cfRule type="expression" dxfId="62" priority="24">
      <formula>AND(I$5="Actuals",#REF!="N/A")</formula>
    </cfRule>
  </conditionalFormatting>
  <pageMargins left="0.70866141732283472" right="0.70866141732283472" top="0.74803149606299213" bottom="0.74803149606299213" header="0.31496062992125984" footer="0.31496062992125984"/>
  <pageSetup paperSize="8" fitToHeight="2" orientation="landscape" r:id="rId1"/>
  <headerFooter>
    <oddFooter>&amp;C_x000D_&amp;1#&amp;"Calibri"&amp;10&amp;K000000 OFFICIAL-InternalOnly</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12" id="{E70C9409-3449-42E6-A204-560C9E26E0BF}">
            <xm:f>'RFPR cover'!$C$7="ESO"</xm:f>
            <x14:dxf>
              <fill>
                <patternFill>
                  <fgColor auto="1"/>
                  <bgColor theme="7" tint="0.79998168889431442"/>
                </patternFill>
              </fill>
            </x14:dxf>
          </x14:cfRule>
          <xm:sqref>E25:I25</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89E92-1020-4C0D-96E7-CDAEB9A03E85}">
  <sheetPr>
    <tabColor rgb="FFFFFFCC"/>
    <pageSetUpPr fitToPage="1"/>
  </sheetPr>
  <dimension ref="A1:T257"/>
  <sheetViews>
    <sheetView topLeftCell="A29" zoomScale="80" zoomScaleNormal="80" workbookViewId="0">
      <selection activeCell="E18" sqref="E18"/>
    </sheetView>
  </sheetViews>
  <sheetFormatPr defaultColWidth="9.15234375" defaultRowHeight="13.5"/>
  <cols>
    <col min="1" max="1" width="8.3828125" style="83" customWidth="1"/>
    <col min="2" max="2" width="64.4609375" style="443" customWidth="1"/>
    <col min="3" max="3" width="13.3828125" style="444" customWidth="1"/>
    <col min="4" max="8" width="11.15234375" style="83" customWidth="1"/>
    <col min="9" max="10" width="12.84375" style="83" customWidth="1"/>
    <col min="11" max="16384" width="9.15234375" style="83"/>
  </cols>
  <sheetData>
    <row r="1" spans="1:19" s="427" customFormat="1" ht="20">
      <c r="A1" s="428" t="s">
        <v>644</v>
      </c>
      <c r="B1" s="526"/>
      <c r="C1" s="527"/>
      <c r="D1" s="528"/>
      <c r="E1" s="528"/>
      <c r="F1" s="528"/>
      <c r="G1" s="528"/>
      <c r="H1" s="528"/>
      <c r="I1" s="529"/>
      <c r="J1" s="529"/>
      <c r="K1" s="530"/>
    </row>
    <row r="2" spans="1:19" s="427" customFormat="1" ht="20">
      <c r="A2" s="433" t="str">
        <f>Licensee</f>
        <v>NGET (TO)</v>
      </c>
      <c r="B2" s="434"/>
      <c r="C2" s="435"/>
      <c r="D2" s="436"/>
      <c r="E2" s="436"/>
      <c r="F2" s="436"/>
      <c r="G2" s="436"/>
      <c r="H2" s="436"/>
      <c r="I2" s="531"/>
      <c r="J2" s="531"/>
      <c r="K2" s="437"/>
    </row>
    <row r="3" spans="1:19" s="427" customFormat="1" ht="20">
      <c r="A3" s="438">
        <f>Reporting_Year</f>
        <v>2026</v>
      </c>
      <c r="B3" s="439"/>
      <c r="C3" s="440"/>
      <c r="D3" s="441"/>
      <c r="E3" s="441"/>
      <c r="F3" s="441"/>
      <c r="G3" s="441"/>
      <c r="H3" s="441"/>
      <c r="I3" s="532"/>
      <c r="J3" s="532"/>
      <c r="K3" s="442"/>
    </row>
    <row r="4" spans="1:19" ht="12.75" customHeight="1"/>
    <row r="5" spans="1:19" ht="30" customHeight="1">
      <c r="D5" s="445" t="str">
        <f>IF(D6&lt;=Reporting_Year,"Actuals","Forecast")</f>
        <v>Actuals</v>
      </c>
      <c r="E5" s="445" t="str">
        <f t="shared" ref="E5:H5" si="0">IF(E6&lt;=Reporting_Year,"Actuals","Forecast")</f>
        <v>Actuals</v>
      </c>
      <c r="F5" s="445" t="str">
        <f t="shared" si="0"/>
        <v>Actuals</v>
      </c>
      <c r="G5" s="445" t="str">
        <f t="shared" si="0"/>
        <v>Actuals</v>
      </c>
      <c r="H5" s="445" t="str">
        <f t="shared" si="0"/>
        <v>Actuals</v>
      </c>
    </row>
    <row r="6" spans="1:19" ht="27.75" customHeight="1">
      <c r="D6" s="533">
        <f>'RFPR cover'!$C$6</f>
        <v>2022</v>
      </c>
      <c r="E6" s="534">
        <f>D6+1</f>
        <v>2023</v>
      </c>
      <c r="F6" s="534">
        <f t="shared" ref="F6:H6" si="1">E6+1</f>
        <v>2024</v>
      </c>
      <c r="G6" s="534">
        <f t="shared" si="1"/>
        <v>2025</v>
      </c>
      <c r="H6" s="534">
        <f t="shared" si="1"/>
        <v>2026</v>
      </c>
      <c r="I6" s="535" t="str">
        <f>"Cumulative to "&amp;'RFPR cover'!$C$9</f>
        <v>Cumulative to 2026</v>
      </c>
      <c r="J6" s="536" t="s">
        <v>535</v>
      </c>
    </row>
    <row r="7" spans="1:19">
      <c r="D7" s="448" t="str">
        <f>RIIO_2_start_date-1&amp;"/"&amp;RIGHT(RIIO_2_start_date,2)</f>
        <v>2021/22</v>
      </c>
      <c r="E7" s="448" t="str">
        <f>RIIO_2_start_date&amp;"/"&amp;RIGHT(RIIO_2_start_date+1,2)</f>
        <v>2022/23</v>
      </c>
      <c r="F7" s="448" t="str">
        <f>RIIO_2_start_date+1&amp;"/"&amp;RIGHT(RIIO_2_start_date+2,2)</f>
        <v>2023/24</v>
      </c>
      <c r="G7" s="448" t="str">
        <f>RIIO_2_start_date+2&amp;"/"&amp;RIGHT(RIIO_2_start_date+3,2)</f>
        <v>2024/25</v>
      </c>
      <c r="H7" s="448" t="str">
        <f>RIIO_2_start_date+3&amp;"/"&amp;RIGHT(RIIO_2_start_date+4,2)</f>
        <v>2025/26</v>
      </c>
    </row>
    <row r="8" spans="1:19">
      <c r="B8" s="537" t="s">
        <v>645</v>
      </c>
      <c r="C8" s="538"/>
      <c r="D8" s="538"/>
      <c r="E8" s="538"/>
      <c r="F8" s="538"/>
      <c r="G8" s="538"/>
      <c r="H8" s="539"/>
      <c r="I8" s="539"/>
      <c r="J8" s="539"/>
      <c r="K8" s="443"/>
    </row>
    <row r="9" spans="1:19">
      <c r="B9" s="540" t="s">
        <v>646</v>
      </c>
      <c r="C9" s="541"/>
      <c r="D9" s="541"/>
      <c r="E9" s="541"/>
      <c r="F9" s="541"/>
      <c r="G9" s="541"/>
      <c r="H9" s="541"/>
      <c r="I9" s="541"/>
      <c r="J9" s="541"/>
      <c r="K9" s="443"/>
      <c r="L9" s="443"/>
    </row>
    <row r="11" spans="1:19">
      <c r="B11" s="542" t="str">
        <f>IF(Sector="GD2","Capitalisation 1 totex (excluding repex)","Capitalisation 1 totex")</f>
        <v>Capitalisation 1 totex</v>
      </c>
      <c r="C11" s="543"/>
      <c r="D11" s="453"/>
      <c r="E11" s="453"/>
      <c r="F11" s="453"/>
      <c r="G11" s="453"/>
      <c r="H11" s="453"/>
      <c r="I11" s="453"/>
      <c r="J11" s="453"/>
      <c r="K11" s="443"/>
    </row>
    <row r="12" spans="1:19">
      <c r="B12" s="455"/>
      <c r="D12" s="544"/>
      <c r="E12" s="544"/>
      <c r="F12" s="544"/>
      <c r="G12" s="544"/>
      <c r="H12" s="544"/>
      <c r="I12" s="544"/>
      <c r="J12" s="544"/>
      <c r="K12" s="443"/>
    </row>
    <row r="13" spans="1:19">
      <c r="B13" s="456" t="s">
        <v>647</v>
      </c>
      <c r="C13" s="545" t="str">
        <f>Data!$C$9</f>
        <v>£m 18/19</v>
      </c>
      <c r="D13" s="546">
        <v>1042.9805598852399</v>
      </c>
      <c r="E13" s="546">
        <v>978.92992152134946</v>
      </c>
      <c r="F13" s="546">
        <v>1007.1061256271039</v>
      </c>
      <c r="G13" s="546">
        <v>1009.6890697664015</v>
      </c>
      <c r="H13" s="546">
        <v>1018.2997646401354</v>
      </c>
      <c r="I13" s="547">
        <f>SUM(D13:INDEX(D13:H13,0,MATCH('RFPR cover'!$C$9,$D$6:$H$6,0)))</f>
        <v>5057.0054414402312</v>
      </c>
      <c r="J13" s="548">
        <f>SUM(D13:H13)</f>
        <v>5057.0054414402312</v>
      </c>
      <c r="K13" s="443"/>
    </row>
    <row r="14" spans="1:19" ht="17.25" customHeight="1">
      <c r="B14" s="549" t="s">
        <v>648</v>
      </c>
      <c r="C14" s="545" t="str">
        <f>Data!$C$9</f>
        <v>£m 18/19</v>
      </c>
      <c r="D14" s="546">
        <v>1650.6230919093944</v>
      </c>
      <c r="E14" s="546">
        <v>1446.2524234493669</v>
      </c>
      <c r="F14" s="546">
        <v>1156.519342856591</v>
      </c>
      <c r="G14" s="546">
        <v>1069.9616132049457</v>
      </c>
      <c r="H14" s="546">
        <v>993.86073575135117</v>
      </c>
      <c r="I14" s="550">
        <f>SUM(D14:INDEX(D14:H14,0,MATCH('RFPR cover'!$C$9,$D$6:$H$6,0)))</f>
        <v>6317.2172071716495</v>
      </c>
      <c r="J14" s="551">
        <f>SUM(D14:H14)</f>
        <v>6317.2172071716495</v>
      </c>
      <c r="K14" s="552"/>
    </row>
    <row r="15" spans="1:19">
      <c r="B15" s="447" t="s">
        <v>649</v>
      </c>
      <c r="C15" s="545" t="str">
        <f>Data!$C$9</f>
        <v>£m 18/19</v>
      </c>
      <c r="D15" s="553">
        <f>D14-D13</f>
        <v>607.64253202415443</v>
      </c>
      <c r="E15" s="553">
        <f>E14-E13</f>
        <v>467.32250192801746</v>
      </c>
      <c r="F15" s="553">
        <f t="shared" ref="F15:J15" si="2">F14-F13</f>
        <v>149.41321722948715</v>
      </c>
      <c r="G15" s="553">
        <f t="shared" si="2"/>
        <v>60.272543438544176</v>
      </c>
      <c r="H15" s="553">
        <f t="shared" si="2"/>
        <v>-24.439028888784264</v>
      </c>
      <c r="I15" s="554">
        <f t="shared" si="2"/>
        <v>1260.2117657314184</v>
      </c>
      <c r="J15" s="555">
        <f t="shared" si="2"/>
        <v>1260.2117657314184</v>
      </c>
      <c r="K15" s="556"/>
      <c r="L15" s="556"/>
      <c r="M15" s="556"/>
      <c r="N15" s="557"/>
      <c r="O15" s="557"/>
      <c r="P15" s="557"/>
      <c r="Q15" s="427"/>
      <c r="R15" s="427"/>
      <c r="S15" s="427"/>
    </row>
    <row r="16" spans="1:19">
      <c r="B16" s="447"/>
      <c r="C16" s="545"/>
      <c r="D16" s="558"/>
      <c r="E16" s="558"/>
      <c r="F16" s="558"/>
      <c r="G16" s="558"/>
      <c r="H16" s="558"/>
      <c r="I16" s="558"/>
      <c r="J16" s="558"/>
      <c r="K16" s="559"/>
      <c r="L16" s="559"/>
      <c r="M16" s="559"/>
      <c r="N16" s="559"/>
      <c r="O16" s="559"/>
      <c r="P16" s="559"/>
      <c r="Q16" s="427"/>
      <c r="R16" s="427"/>
      <c r="S16" s="427"/>
    </row>
    <row r="17" spans="2:19">
      <c r="B17" s="443" t="s">
        <v>650</v>
      </c>
      <c r="C17" s="444" t="s">
        <v>538</v>
      </c>
      <c r="D17" s="560">
        <f>INDEX(Data!$C$63:$C$91,MATCH('RFPR cover'!$C$7,Data!$B$63:$B$91,0),0)</f>
        <v>0.67</v>
      </c>
      <c r="E17" s="560">
        <f>INDEX(Data!$C$63:$C$91,MATCH('RFPR cover'!$C$7,Data!$B$63:$B$91,0),0)</f>
        <v>0.67</v>
      </c>
      <c r="F17" s="560">
        <f>INDEX(Data!$C$63:$C$91,MATCH('RFPR cover'!$C$7,Data!$B$63:$B$91,0),0)</f>
        <v>0.67</v>
      </c>
      <c r="G17" s="560">
        <f>INDEX(Data!$C$63:$C$91,MATCH('RFPR cover'!$C$7,Data!$B$63:$B$91,0),0)</f>
        <v>0.67</v>
      </c>
      <c r="H17" s="560">
        <f>INDEX(Data!$C$63:$C$91,MATCH('RFPR cover'!$C$7,Data!$B$63:$B$91,0),0)</f>
        <v>0.67</v>
      </c>
      <c r="I17" s="561"/>
      <c r="J17" s="561"/>
      <c r="K17" s="427"/>
      <c r="L17" s="427"/>
      <c r="M17" s="427"/>
      <c r="N17" s="427"/>
      <c r="O17" s="427"/>
      <c r="P17" s="427"/>
      <c r="Q17" s="427"/>
      <c r="R17" s="427"/>
      <c r="S17" s="427"/>
    </row>
    <row r="18" spans="2:19">
      <c r="K18" s="427"/>
      <c r="L18" s="427"/>
      <c r="M18" s="427"/>
      <c r="N18" s="427"/>
      <c r="O18" s="427"/>
      <c r="P18" s="427"/>
      <c r="Q18" s="427"/>
      <c r="R18" s="427"/>
      <c r="S18" s="427"/>
    </row>
    <row r="19" spans="2:19">
      <c r="B19" s="443" t="s">
        <v>651</v>
      </c>
      <c r="C19" s="545" t="str">
        <f>Data!$C$9</f>
        <v>£m 18/19</v>
      </c>
      <c r="D19" s="553">
        <f>D15*D17</f>
        <v>407.1204964561835</v>
      </c>
      <c r="E19" s="553">
        <f t="shared" ref="E19:H19" si="3">E15*E17</f>
        <v>313.10607629177173</v>
      </c>
      <c r="F19" s="553">
        <f t="shared" si="3"/>
        <v>100.1068555437564</v>
      </c>
      <c r="G19" s="553">
        <f t="shared" si="3"/>
        <v>40.382604103824598</v>
      </c>
      <c r="H19" s="553">
        <f t="shared" si="3"/>
        <v>-16.374149355485457</v>
      </c>
      <c r="I19" s="410">
        <f>SUM(D19:INDEX(D19:H19,0,MATCH('RFPR cover'!$C$9,$D$6:$H$6,0)))</f>
        <v>844.3418830400509</v>
      </c>
      <c r="J19" s="562">
        <f>SUM(D19:H19)</f>
        <v>844.3418830400509</v>
      </c>
      <c r="K19" s="427"/>
      <c r="L19" s="427"/>
      <c r="M19" s="427"/>
      <c r="N19" s="427"/>
      <c r="O19" s="427"/>
      <c r="P19" s="427"/>
      <c r="Q19" s="427"/>
      <c r="R19" s="427"/>
      <c r="S19" s="427"/>
    </row>
    <row r="20" spans="2:19">
      <c r="B20" s="443" t="s">
        <v>652</v>
      </c>
      <c r="C20" s="545" t="str">
        <f>Data!$C$9</f>
        <v>£m 18/19</v>
      </c>
      <c r="D20" s="553">
        <f>D15*(1-D17)</f>
        <v>200.52203556797093</v>
      </c>
      <c r="E20" s="553">
        <f t="shared" ref="E20:H20" si="4">E15*(1-E17)</f>
        <v>154.21642563624573</v>
      </c>
      <c r="F20" s="553">
        <f t="shared" si="4"/>
        <v>49.306361685730749</v>
      </c>
      <c r="G20" s="553">
        <f t="shared" si="4"/>
        <v>19.889939334719575</v>
      </c>
      <c r="H20" s="553">
        <f t="shared" si="4"/>
        <v>-8.0648795332988055</v>
      </c>
      <c r="I20" s="563">
        <f>SUM(D20:INDEX(D20:H20,0,MATCH('RFPR cover'!$C$9,$D$6:$H$6,0)))</f>
        <v>415.86988269136822</v>
      </c>
      <c r="J20" s="564">
        <f>SUM(D20:H20)</f>
        <v>415.86988269136822</v>
      </c>
      <c r="L20" s="427"/>
      <c r="M20" s="427"/>
      <c r="N20" s="427"/>
      <c r="O20" s="427"/>
      <c r="P20" s="427"/>
      <c r="Q20" s="427"/>
      <c r="R20" s="427"/>
      <c r="S20" s="427"/>
    </row>
    <row r="21" spans="2:19">
      <c r="C21" s="443"/>
      <c r="D21" s="443"/>
      <c r="E21" s="443"/>
      <c r="F21" s="443"/>
      <c r="G21" s="443"/>
      <c r="H21" s="443"/>
      <c r="I21" s="443"/>
      <c r="J21" s="443"/>
      <c r="L21" s="427"/>
      <c r="M21" s="427"/>
      <c r="N21" s="427"/>
      <c r="O21" s="427"/>
      <c r="P21" s="427"/>
      <c r="Q21" s="427"/>
      <c r="R21" s="427"/>
      <c r="S21" s="427"/>
    </row>
    <row r="22" spans="2:19">
      <c r="B22" s="455" t="s">
        <v>653</v>
      </c>
      <c r="L22" s="427"/>
      <c r="M22" s="427"/>
      <c r="N22" s="427"/>
      <c r="O22" s="427"/>
      <c r="P22" s="427"/>
    </row>
    <row r="23" spans="2:19">
      <c r="B23" s="463" t="s">
        <v>654</v>
      </c>
      <c r="C23" s="545" t="str">
        <f>Data!$C$9</f>
        <v>£m 18/19</v>
      </c>
      <c r="D23" s="565">
        <v>65.304843984396484</v>
      </c>
      <c r="E23" s="565">
        <v>145.06563483822083</v>
      </c>
      <c r="F23" s="565">
        <v>10.46994587238332</v>
      </c>
      <c r="G23" s="565">
        <v>40.537804942086822</v>
      </c>
      <c r="H23" s="565">
        <v>8.1124583909635817</v>
      </c>
      <c r="I23" s="563">
        <f>SUM(D23:INDEX(D23:H23,0,MATCH('RFPR cover'!$C$9,$D$6:$H$6,0)))</f>
        <v>269.49068802805107</v>
      </c>
      <c r="J23" s="564">
        <f t="shared" ref="J23:J30" si="5">SUM(D23:H23)</f>
        <v>269.49068802805107</v>
      </c>
      <c r="L23" s="427"/>
      <c r="M23" s="427"/>
      <c r="N23" s="427"/>
      <c r="O23" s="427"/>
      <c r="P23" s="427"/>
      <c r="Q23" s="427"/>
      <c r="R23" s="427"/>
      <c r="S23" s="427"/>
    </row>
    <row r="24" spans="2:19">
      <c r="B24" s="463" t="s">
        <v>655</v>
      </c>
      <c r="C24" s="545" t="str">
        <f>Data!$C$9</f>
        <v>£m 18/19</v>
      </c>
      <c r="D24" s="565">
        <v>223.67400434204518</v>
      </c>
      <c r="E24" s="565">
        <v>92.227924087970052</v>
      </c>
      <c r="F24" s="565">
        <v>28.827055972462482</v>
      </c>
      <c r="G24" s="565">
        <v>19.586654904714102</v>
      </c>
      <c r="H24" s="565">
        <v>12.321454666422715</v>
      </c>
      <c r="I24" s="563">
        <f>SUM(D24:INDEX(D24:H24,0,MATCH('RFPR cover'!$C$9,$D$6:$H$6,0)))</f>
        <v>376.63709397361453</v>
      </c>
      <c r="J24" s="564">
        <f t="shared" si="5"/>
        <v>376.63709397361453</v>
      </c>
      <c r="L24" s="427"/>
      <c r="M24" s="427"/>
      <c r="N24" s="427"/>
      <c r="O24" s="427"/>
      <c r="P24" s="427"/>
      <c r="Q24" s="427"/>
      <c r="R24" s="427"/>
      <c r="S24" s="427"/>
    </row>
    <row r="25" spans="2:19">
      <c r="B25" s="463" t="s">
        <v>656</v>
      </c>
      <c r="C25" s="545" t="str">
        <f>Data!$C$9</f>
        <v>£m 18/19</v>
      </c>
      <c r="D25" s="565">
        <v>31.534032308313769</v>
      </c>
      <c r="E25" s="565">
        <v>12.775934763657816</v>
      </c>
      <c r="F25" s="565">
        <v>-1.231757133186463</v>
      </c>
      <c r="G25" s="565">
        <v>2.936970117609607</v>
      </c>
      <c r="H25" s="565">
        <v>0</v>
      </c>
      <c r="I25" s="563">
        <f>SUM(D25:INDEX(D25:H25,0,MATCH('RFPR cover'!$C$9,$D$6:$H$6,0)))</f>
        <v>46.015180056394726</v>
      </c>
      <c r="J25" s="564">
        <f t="shared" si="5"/>
        <v>46.015180056394726</v>
      </c>
      <c r="L25" s="427"/>
      <c r="M25" s="427"/>
      <c r="N25" s="427"/>
      <c r="O25" s="427"/>
      <c r="P25" s="427"/>
      <c r="Q25" s="427"/>
      <c r="R25" s="427"/>
      <c r="S25" s="427"/>
    </row>
    <row r="26" spans="2:19">
      <c r="B26" s="463" t="s">
        <v>657</v>
      </c>
      <c r="C26" s="545" t="str">
        <f>Data!$C$9</f>
        <v>£m 18/19</v>
      </c>
      <c r="D26" s="565">
        <v>15.687999999999999</v>
      </c>
      <c r="E26" s="565">
        <v>15.687999999999999</v>
      </c>
      <c r="F26" s="565">
        <v>15.687999999999999</v>
      </c>
      <c r="G26" s="565">
        <v>15.687999999999999</v>
      </c>
      <c r="H26" s="565">
        <v>15.687999999999999</v>
      </c>
      <c r="I26" s="563">
        <f>SUM(D26:INDEX(D26:H26,0,MATCH('RFPR cover'!$C$9,$D$6:$H$6,0)))</f>
        <v>78.44</v>
      </c>
      <c r="J26" s="564">
        <f t="shared" si="5"/>
        <v>78.44</v>
      </c>
      <c r="L26" s="427"/>
      <c r="M26" s="427"/>
      <c r="N26" s="427"/>
      <c r="O26" s="427"/>
      <c r="P26" s="427"/>
      <c r="Q26" s="427"/>
      <c r="R26" s="427"/>
      <c r="S26" s="427"/>
    </row>
    <row r="27" spans="2:19">
      <c r="B27" s="463" t="s">
        <v>658</v>
      </c>
      <c r="C27" s="545" t="str">
        <f>Data!$C$9</f>
        <v>£m 18/19</v>
      </c>
      <c r="D27" s="565">
        <v>-42.933374066879495</v>
      </c>
      <c r="E27" s="565">
        <v>-21.686455856154659</v>
      </c>
      <c r="F27" s="565">
        <v>-17.93231890377082</v>
      </c>
      <c r="G27" s="565">
        <v>-19.578415609869946</v>
      </c>
      <c r="H27" s="565">
        <v>-90.082373426421299</v>
      </c>
      <c r="I27" s="563">
        <f>SUM(D27:INDEX(D27:H27,0,MATCH('RFPR cover'!$C$9,$D$6:$H$6,0)))</f>
        <v>-192.21293786309622</v>
      </c>
      <c r="J27" s="564">
        <f t="shared" si="5"/>
        <v>-192.21293786309622</v>
      </c>
      <c r="L27" s="427"/>
      <c r="M27" s="427"/>
      <c r="N27" s="427"/>
      <c r="O27" s="427"/>
      <c r="P27" s="427"/>
      <c r="Q27" s="427"/>
      <c r="R27" s="427"/>
      <c r="S27" s="427"/>
    </row>
    <row r="28" spans="2:19">
      <c r="B28" s="463" t="s">
        <v>659</v>
      </c>
      <c r="C28" s="545" t="str">
        <f>Data!$C$9</f>
        <v>£m 18/19</v>
      </c>
      <c r="D28" s="565">
        <v>1.5206248252273213</v>
      </c>
      <c r="E28" s="565">
        <v>-8.7348547119423916</v>
      </c>
      <c r="F28" s="565">
        <v>-23.053677816139899</v>
      </c>
      <c r="G28" s="565">
        <v>-106.67098530278199</v>
      </c>
      <c r="H28" s="565">
        <v>-111.60736876408765</v>
      </c>
      <c r="I28" s="563">
        <f>SUM(D28:INDEX(D28:H28,0,MATCH('RFPR cover'!$C$9,$D$6:$H$6,0)))</f>
        <v>-248.54626176972459</v>
      </c>
      <c r="J28" s="564">
        <f t="shared" si="5"/>
        <v>-248.54626176972459</v>
      </c>
      <c r="L28" s="427"/>
      <c r="M28" s="427"/>
      <c r="N28" s="427"/>
      <c r="O28" s="427"/>
      <c r="P28" s="427"/>
      <c r="Q28" s="427"/>
      <c r="R28" s="427"/>
      <c r="S28" s="427"/>
    </row>
    <row r="29" spans="2:19">
      <c r="B29" s="463" t="s">
        <v>660</v>
      </c>
      <c r="C29" s="545" t="str">
        <f>Data!$C$9</f>
        <v>£m 18/19</v>
      </c>
      <c r="D29" s="565">
        <v>-97.415603521600417</v>
      </c>
      <c r="E29" s="565">
        <v>-111.11106357152582</v>
      </c>
      <c r="F29" s="565">
        <v>-112.19649761371267</v>
      </c>
      <c r="G29" s="565">
        <v>-87.228656349102494</v>
      </c>
      <c r="H29" s="565">
        <v>-70.494975871635646</v>
      </c>
      <c r="I29" s="563">
        <f>SUM(D29:INDEX(D29:H29,0,MATCH('RFPR cover'!$C$9,$D$6:$H$6,0)))</f>
        <v>-478.44679692757705</v>
      </c>
      <c r="J29" s="564">
        <f t="shared" si="5"/>
        <v>-478.44679692757705</v>
      </c>
      <c r="L29" s="427"/>
      <c r="M29" s="427"/>
      <c r="N29" s="427"/>
      <c r="O29" s="427"/>
      <c r="P29" s="427"/>
      <c r="Q29" s="427"/>
      <c r="R29" s="427"/>
      <c r="S29" s="427"/>
    </row>
    <row r="30" spans="2:19">
      <c r="B30" s="463" t="s">
        <v>661</v>
      </c>
      <c r="C30" s="545" t="str">
        <f>Data!$C$9</f>
        <v>£m 18/19</v>
      </c>
      <c r="D30" s="565">
        <v>0</v>
      </c>
      <c r="E30" s="565">
        <v>0</v>
      </c>
      <c r="F30" s="565">
        <v>0</v>
      </c>
      <c r="G30" s="565">
        <v>0</v>
      </c>
      <c r="H30" s="565">
        <v>-11.36267</v>
      </c>
      <c r="I30" s="563">
        <f>SUM(D30:INDEX(D30:H30,0,MATCH('RFPR cover'!$C$9,$D$6:$H$6,0)))</f>
        <v>-11.36267</v>
      </c>
      <c r="J30" s="564">
        <f t="shared" si="5"/>
        <v>-11.36267</v>
      </c>
      <c r="L30" s="427"/>
      <c r="M30" s="427"/>
      <c r="N30" s="427"/>
      <c r="O30" s="427"/>
      <c r="P30" s="427"/>
      <c r="Q30" s="427"/>
      <c r="R30" s="427"/>
      <c r="S30" s="427"/>
    </row>
    <row r="31" spans="2:19">
      <c r="B31" s="463" t="s">
        <v>662</v>
      </c>
      <c r="C31" s="545" t="str">
        <f>Data!$C$9</f>
        <v>£m 18/19</v>
      </c>
      <c r="D31" s="565">
        <v>-350</v>
      </c>
      <c r="E31" s="565">
        <v>-245</v>
      </c>
      <c r="F31" s="565">
        <v>-70</v>
      </c>
      <c r="G31" s="565">
        <v>280</v>
      </c>
      <c r="H31" s="565">
        <v>385</v>
      </c>
      <c r="I31" s="563">
        <f>SUM(D31:INDEX(D31:H31,0,MATCH('RFPR cover'!$C$9,$D$6:$H$6,0)))</f>
        <v>0</v>
      </c>
      <c r="J31" s="566">
        <f>SUM(D31:H31)</f>
        <v>0</v>
      </c>
      <c r="L31" s="427"/>
      <c r="M31" s="427"/>
      <c r="N31" s="427"/>
      <c r="O31" s="427"/>
      <c r="P31" s="427"/>
      <c r="Q31" s="427"/>
      <c r="R31" s="427"/>
      <c r="S31" s="427"/>
    </row>
    <row r="32" spans="2:19">
      <c r="B32" s="455" t="s">
        <v>663</v>
      </c>
      <c r="C32" s="545" t="str">
        <f>Data!$C$9</f>
        <v>£m 18/19</v>
      </c>
      <c r="D32" s="553">
        <f>SUM(D23:D31)</f>
        <v>-152.62747212849712</v>
      </c>
      <c r="E32" s="553">
        <f>SUM(E23:E31)</f>
        <v>-120.7748804497742</v>
      </c>
      <c r="F32" s="553">
        <f>SUM(F23:F31)</f>
        <v>-169.42924962196406</v>
      </c>
      <c r="G32" s="553">
        <f>SUM(G23:G31)</f>
        <v>145.27137270265609</v>
      </c>
      <c r="H32" s="553">
        <f>SUM(H23:H31)</f>
        <v>137.57452499524172</v>
      </c>
      <c r="I32" s="563">
        <f>SUM(D32:INDEX(D32:H32,0,MATCH('RFPR cover'!$C$9,$D$6:$H$6,0)))</f>
        <v>-159.9857045023376</v>
      </c>
      <c r="J32" s="564">
        <f t="shared" ref="J32" si="6">SUM(D32:H32)</f>
        <v>-159.9857045023376</v>
      </c>
      <c r="L32" s="427"/>
      <c r="M32" s="427"/>
      <c r="N32" s="427"/>
      <c r="O32" s="427"/>
      <c r="P32" s="427"/>
      <c r="Q32" s="427"/>
      <c r="R32" s="427"/>
      <c r="S32" s="427"/>
    </row>
    <row r="33" spans="2:19">
      <c r="B33" s="455"/>
      <c r="L33" s="427"/>
      <c r="M33" s="427"/>
      <c r="N33" s="427"/>
      <c r="O33" s="427"/>
      <c r="P33" s="427"/>
      <c r="Q33" s="427"/>
      <c r="R33" s="427"/>
      <c r="S33" s="427"/>
    </row>
    <row r="34" spans="2:19">
      <c r="B34" s="455" t="s">
        <v>664</v>
      </c>
      <c r="L34" s="427"/>
      <c r="M34" s="427"/>
      <c r="N34" s="427"/>
      <c r="O34" s="427"/>
      <c r="P34" s="427"/>
      <c r="Q34" s="427"/>
      <c r="R34" s="427"/>
      <c r="S34" s="427"/>
    </row>
    <row r="35" spans="2:19">
      <c r="B35" s="463" t="s">
        <v>665</v>
      </c>
      <c r="C35" s="545" t="str">
        <f>Data!$C$9</f>
        <v>£m 18/19</v>
      </c>
      <c r="D35" s="565">
        <v>0</v>
      </c>
      <c r="E35" s="565">
        <v>0</v>
      </c>
      <c r="F35" s="565">
        <v>0</v>
      </c>
      <c r="G35" s="565">
        <v>0</v>
      </c>
      <c r="H35" s="565">
        <v>0</v>
      </c>
      <c r="I35" s="563">
        <f>SUM(D35:INDEX(D35:H35,0,MATCH('RFPR cover'!$C$9,$D$6:$H$6,0)))</f>
        <v>0</v>
      </c>
      <c r="J35" s="564">
        <f>SUM(D35:H35)</f>
        <v>0</v>
      </c>
      <c r="L35" s="427"/>
      <c r="M35" s="427"/>
      <c r="N35" s="427"/>
      <c r="O35" s="427"/>
      <c r="P35" s="427"/>
      <c r="Q35" s="427"/>
      <c r="R35" s="427"/>
      <c r="S35" s="427"/>
    </row>
    <row r="36" spans="2:19">
      <c r="B36" s="463" t="s">
        <v>666</v>
      </c>
      <c r="C36" s="545" t="str">
        <f>Data!$C$9</f>
        <v>£m 18/19</v>
      </c>
      <c r="D36" s="565">
        <v>0</v>
      </c>
      <c r="E36" s="565">
        <v>0</v>
      </c>
      <c r="F36" s="565">
        <v>0</v>
      </c>
      <c r="G36" s="565">
        <v>0</v>
      </c>
      <c r="H36" s="565">
        <v>0</v>
      </c>
      <c r="I36" s="563">
        <f>SUM(D36:INDEX(D36:H36,0,MATCH('RFPR cover'!$C$9,$D$6:$H$6,0)))</f>
        <v>0</v>
      </c>
      <c r="J36" s="564">
        <f t="shared" ref="J36:J37" si="7">SUM(D36:H36)</f>
        <v>0</v>
      </c>
      <c r="L36" s="427"/>
      <c r="M36" s="427"/>
      <c r="N36" s="427"/>
      <c r="O36" s="427"/>
      <c r="P36" s="427"/>
      <c r="Q36" s="427"/>
      <c r="R36" s="427"/>
      <c r="S36" s="427"/>
    </row>
    <row r="37" spans="2:19">
      <c r="B37" s="455" t="s">
        <v>663</v>
      </c>
      <c r="C37" s="545" t="str">
        <f>Data!$C$9</f>
        <v>£m 18/19</v>
      </c>
      <c r="D37" s="553">
        <f>SUM(D35:D36)</f>
        <v>0</v>
      </c>
      <c r="E37" s="553">
        <f t="shared" ref="E37:H37" si="8">SUM(E35:E36)</f>
        <v>0</v>
      </c>
      <c r="F37" s="553">
        <f t="shared" si="8"/>
        <v>0</v>
      </c>
      <c r="G37" s="553">
        <f t="shared" si="8"/>
        <v>0</v>
      </c>
      <c r="H37" s="553">
        <f t="shared" si="8"/>
        <v>0</v>
      </c>
      <c r="I37" s="563">
        <f>SUM(D37:INDEX(D37:H37,0,MATCH('RFPR cover'!$C$9,$D$6:$H$6,0)))</f>
        <v>0</v>
      </c>
      <c r="J37" s="564">
        <f t="shared" si="7"/>
        <v>0</v>
      </c>
      <c r="L37" s="427"/>
      <c r="M37" s="427"/>
      <c r="N37" s="427"/>
      <c r="O37" s="427"/>
      <c r="P37" s="427"/>
      <c r="Q37" s="427"/>
      <c r="R37" s="427"/>
      <c r="S37" s="427"/>
    </row>
    <row r="38" spans="2:19">
      <c r="B38" s="455"/>
      <c r="L38" s="427"/>
      <c r="M38" s="427"/>
      <c r="N38" s="427"/>
      <c r="O38" s="427"/>
      <c r="P38" s="427"/>
      <c r="Q38" s="427"/>
      <c r="R38" s="427"/>
      <c r="S38" s="427"/>
    </row>
    <row r="39" spans="2:19">
      <c r="B39" s="443" t="s">
        <v>667</v>
      </c>
      <c r="C39" s="545" t="str">
        <f>Data!$C$9</f>
        <v>£m 18/19</v>
      </c>
      <c r="D39" s="553">
        <f>D32*D17</f>
        <v>-102.26040632609308</v>
      </c>
      <c r="E39" s="553">
        <f>E32*E17</f>
        <v>-80.919169901348724</v>
      </c>
      <c r="F39" s="553">
        <f>F32*F17</f>
        <v>-113.51759724671592</v>
      </c>
      <c r="G39" s="553">
        <f>G32*G17</f>
        <v>97.331819710779584</v>
      </c>
      <c r="H39" s="553">
        <f>H32*H17</f>
        <v>92.17493174681195</v>
      </c>
      <c r="I39" s="410">
        <f>SUM(D39:INDEX(D39:H39,0,MATCH('RFPR cover'!$C$9,$D$6:$H$6,0)))</f>
        <v>-107.19042201656615</v>
      </c>
      <c r="J39" s="562">
        <f>SUM(D39:H39)</f>
        <v>-107.19042201656615</v>
      </c>
      <c r="L39" s="427"/>
      <c r="M39" s="427"/>
      <c r="N39" s="427"/>
      <c r="O39" s="427"/>
      <c r="P39" s="427"/>
      <c r="Q39" s="427"/>
      <c r="R39" s="427"/>
      <c r="S39" s="427"/>
    </row>
    <row r="40" spans="2:19">
      <c r="B40" s="443" t="s">
        <v>668</v>
      </c>
      <c r="C40" s="545" t="str">
        <f>Data!$C$9</f>
        <v>£m 18/19</v>
      </c>
      <c r="D40" s="553">
        <f>D32*(1-D17)+D37</f>
        <v>-50.367065802404042</v>
      </c>
      <c r="E40" s="553">
        <f>E32*(1-E17)+E37</f>
        <v>-39.855710548425485</v>
      </c>
      <c r="F40" s="553">
        <f>F32*(1-F17)+F37</f>
        <v>-55.911652375248131</v>
      </c>
      <c r="G40" s="553">
        <f>G32*(1-G17)+G37</f>
        <v>47.939552991876504</v>
      </c>
      <c r="H40" s="553">
        <f>H32*(1-H17)+H37</f>
        <v>45.39959324842976</v>
      </c>
      <c r="I40" s="410">
        <f>SUM(D40:INDEX(D40:H40,0,MATCH('RFPR cover'!$C$9,$D$6:$H$6,0)))</f>
        <v>-52.795282485771402</v>
      </c>
      <c r="J40" s="564">
        <f>SUM(D40:H40)</f>
        <v>-52.795282485771402</v>
      </c>
      <c r="L40" s="427"/>
      <c r="M40" s="427"/>
      <c r="N40" s="427"/>
      <c r="O40" s="427"/>
      <c r="P40" s="427"/>
      <c r="Q40" s="427"/>
      <c r="R40" s="427"/>
      <c r="S40" s="427"/>
    </row>
    <row r="41" spans="2:19">
      <c r="B41" s="455"/>
      <c r="L41" s="427"/>
      <c r="M41" s="427"/>
      <c r="N41" s="427"/>
      <c r="O41" s="427"/>
      <c r="P41" s="427"/>
      <c r="Q41" s="427"/>
      <c r="R41" s="427"/>
      <c r="S41" s="427"/>
    </row>
    <row r="42" spans="2:19">
      <c r="B42" s="455" t="s">
        <v>669</v>
      </c>
      <c r="L42" s="427"/>
      <c r="M42" s="427"/>
      <c r="N42" s="427"/>
      <c r="O42" s="427"/>
      <c r="P42" s="427"/>
      <c r="Q42" s="427"/>
      <c r="R42" s="427"/>
      <c r="S42" s="427"/>
    </row>
    <row r="43" spans="2:19">
      <c r="B43" s="443" t="s">
        <v>651</v>
      </c>
      <c r="C43" s="545" t="str">
        <f>Data!$C$9</f>
        <v>£m 18/19</v>
      </c>
      <c r="D43" s="553">
        <f t="shared" ref="D43:H44" si="9">D19+D39</f>
        <v>304.86009013009044</v>
      </c>
      <c r="E43" s="553">
        <f t="shared" si="9"/>
        <v>232.18690639042302</v>
      </c>
      <c r="F43" s="553">
        <f t="shared" si="9"/>
        <v>-13.410741702959527</v>
      </c>
      <c r="G43" s="553">
        <f t="shared" si="9"/>
        <v>137.71442381460417</v>
      </c>
      <c r="H43" s="553">
        <f t="shared" si="9"/>
        <v>75.800782391326493</v>
      </c>
      <c r="I43" s="410">
        <f>SUM(D43:INDEX(D43:H43,0,MATCH('RFPR cover'!$C$9,$D$6:$H$6,0)))</f>
        <v>737.15146102348456</v>
      </c>
      <c r="J43" s="562">
        <f>SUM(D43:H43)</f>
        <v>737.15146102348456</v>
      </c>
      <c r="L43" s="427"/>
      <c r="M43" s="427"/>
      <c r="N43" s="427"/>
      <c r="O43" s="427"/>
      <c r="P43" s="427"/>
      <c r="Q43" s="427"/>
      <c r="R43" s="427"/>
      <c r="S43" s="427"/>
    </row>
    <row r="44" spans="2:19">
      <c r="B44" s="443" t="s">
        <v>652</v>
      </c>
      <c r="C44" s="545" t="str">
        <f>Data!$C$9</f>
        <v>£m 18/19</v>
      </c>
      <c r="D44" s="553">
        <f t="shared" si="9"/>
        <v>150.15496976556688</v>
      </c>
      <c r="E44" s="553">
        <f t="shared" si="9"/>
        <v>114.36071508782024</v>
      </c>
      <c r="F44" s="553">
        <f t="shared" si="9"/>
        <v>-6.605290689517382</v>
      </c>
      <c r="G44" s="553">
        <f t="shared" si="9"/>
        <v>67.829492326596082</v>
      </c>
      <c r="H44" s="553">
        <f t="shared" si="9"/>
        <v>37.334713715130952</v>
      </c>
      <c r="I44" s="410">
        <f>SUM(D44:INDEX(D44:H44,0,MATCH('RFPR cover'!$C$9,$D$6:$H$6,0)))</f>
        <v>363.07460020559677</v>
      </c>
      <c r="J44" s="564">
        <f t="shared" ref="J44:J45" si="10">SUM(D44:H44)</f>
        <v>363.07460020559677</v>
      </c>
      <c r="L44" s="427"/>
      <c r="M44" s="427"/>
      <c r="N44" s="427"/>
      <c r="O44" s="427"/>
      <c r="P44" s="427"/>
      <c r="Q44" s="427"/>
      <c r="R44" s="427"/>
      <c r="S44" s="427"/>
    </row>
    <row r="45" spans="2:19">
      <c r="B45" s="455" t="s">
        <v>670</v>
      </c>
      <c r="C45" s="567" t="str">
        <f>Data!$C$9</f>
        <v>£m 18/19</v>
      </c>
      <c r="D45" s="553">
        <f>SUM(D43:D44)</f>
        <v>455.01505989565732</v>
      </c>
      <c r="E45" s="553">
        <f t="shared" ref="E45:H45" si="11">SUM(E43:E44)</f>
        <v>346.54762147824329</v>
      </c>
      <c r="F45" s="553">
        <f t="shared" si="11"/>
        <v>-20.016032392476909</v>
      </c>
      <c r="G45" s="553">
        <f t="shared" si="11"/>
        <v>205.54391614120027</v>
      </c>
      <c r="H45" s="553">
        <f t="shared" si="11"/>
        <v>113.13549610645745</v>
      </c>
      <c r="I45" s="563">
        <f>SUM(D45:INDEX(D45:H45,0,MATCH('RFPR cover'!$C$9,$D$6:$H$6,0)))</f>
        <v>1100.2260612290816</v>
      </c>
      <c r="J45" s="564">
        <f t="shared" si="10"/>
        <v>1100.2260612290816</v>
      </c>
      <c r="L45" s="427"/>
      <c r="M45" s="427"/>
      <c r="N45" s="427"/>
      <c r="O45" s="427"/>
      <c r="P45" s="427"/>
      <c r="Q45" s="427"/>
      <c r="R45" s="427"/>
      <c r="S45" s="427"/>
    </row>
    <row r="46" spans="2:19">
      <c r="B46" s="455"/>
      <c r="L46" s="427"/>
      <c r="M46" s="427"/>
      <c r="N46" s="427"/>
      <c r="O46" s="427"/>
      <c r="P46" s="427"/>
      <c r="Q46" s="427"/>
      <c r="R46" s="427"/>
      <c r="S46" s="427"/>
    </row>
    <row r="47" spans="2:19">
      <c r="B47" s="542" t="str">
        <f>IF(Sector="GD2","Capitalisation 2 totex (excluding repex)","Capitalisation 2 totex")</f>
        <v>Capitalisation 2 totex</v>
      </c>
      <c r="C47" s="451"/>
      <c r="D47" s="453"/>
      <c r="E47" s="453"/>
      <c r="F47" s="453"/>
      <c r="G47" s="453"/>
      <c r="H47" s="453"/>
      <c r="I47" s="453"/>
      <c r="J47" s="453"/>
    </row>
    <row r="48" spans="2:19">
      <c r="D48" s="544"/>
      <c r="E48" s="544"/>
      <c r="F48" s="544"/>
      <c r="G48" s="544"/>
      <c r="H48" s="544"/>
      <c r="I48" s="544"/>
      <c r="J48" s="544"/>
    </row>
    <row r="49" spans="2:19">
      <c r="B49" s="456" t="s">
        <v>647</v>
      </c>
      <c r="C49" s="545" t="str">
        <f>Data!$C$9</f>
        <v>£m 18/19</v>
      </c>
      <c r="D49" s="546">
        <v>247.73108806220151</v>
      </c>
      <c r="E49" s="546">
        <v>273.0513839506113</v>
      </c>
      <c r="F49" s="546">
        <v>545.22212806916934</v>
      </c>
      <c r="G49" s="546">
        <v>1339.4836248484494</v>
      </c>
      <c r="H49" s="546">
        <v>2258.4864615740353</v>
      </c>
      <c r="I49" s="568">
        <f>SUM(D49:INDEX(D49:H49,0,MATCH('RFPR cover'!$C$9,$D$6:$H$6,0)))</f>
        <v>4663.9746865044672</v>
      </c>
      <c r="J49" s="569">
        <f>SUM(D49:H49)</f>
        <v>4663.9746865044672</v>
      </c>
      <c r="K49" s="552"/>
    </row>
    <row r="50" spans="2:19" ht="15" customHeight="1">
      <c r="B50" s="549" t="s">
        <v>671</v>
      </c>
      <c r="C50" s="545" t="str">
        <f>Data!$C$9</f>
        <v>£m 18/19</v>
      </c>
      <c r="D50" s="546">
        <v>-0.81490752960585766</v>
      </c>
      <c r="E50" s="546">
        <v>151.11072817310762</v>
      </c>
      <c r="F50" s="546">
        <v>790.97412831138149</v>
      </c>
      <c r="G50" s="546">
        <v>1387.1357499748467</v>
      </c>
      <c r="H50" s="546">
        <v>2409.5318385363985</v>
      </c>
      <c r="I50" s="570">
        <f>SUM(D50:INDEX(D50:H50,0,MATCH('RFPR cover'!$C$9,$D$6:$H$6,0)))</f>
        <v>4737.9375374661286</v>
      </c>
      <c r="J50" s="571">
        <f>SUM(D50:H50)</f>
        <v>4737.9375374661286</v>
      </c>
      <c r="K50" s="552"/>
    </row>
    <row r="51" spans="2:19">
      <c r="B51" s="447" t="s">
        <v>649</v>
      </c>
      <c r="C51" s="545" t="str">
        <f>Data!$C$9</f>
        <v>£m 18/19</v>
      </c>
      <c r="D51" s="553">
        <f>D50-D49</f>
        <v>-248.54599559180735</v>
      </c>
      <c r="E51" s="553">
        <f t="shared" ref="E51:J51" si="12">E50-E49</f>
        <v>-121.94065577750368</v>
      </c>
      <c r="F51" s="553">
        <f t="shared" si="12"/>
        <v>245.75200024221215</v>
      </c>
      <c r="G51" s="553">
        <f t="shared" si="12"/>
        <v>47.652125126397323</v>
      </c>
      <c r="H51" s="553">
        <f t="shared" si="12"/>
        <v>151.04537696236321</v>
      </c>
      <c r="I51" s="572">
        <f t="shared" si="12"/>
        <v>73.962850961661388</v>
      </c>
      <c r="J51" s="573">
        <f t="shared" si="12"/>
        <v>73.962850961661388</v>
      </c>
      <c r="K51" s="557"/>
      <c r="L51" s="557"/>
      <c r="M51" s="557"/>
      <c r="N51" s="557"/>
      <c r="O51" s="557"/>
      <c r="P51" s="557"/>
      <c r="Q51" s="427"/>
      <c r="R51" s="427"/>
      <c r="S51" s="427"/>
    </row>
    <row r="52" spans="2:19">
      <c r="B52" s="447"/>
      <c r="C52" s="545"/>
      <c r="D52" s="558"/>
      <c r="E52" s="558"/>
      <c r="F52" s="558"/>
      <c r="G52" s="558"/>
      <c r="H52" s="558"/>
      <c r="I52" s="558"/>
      <c r="J52" s="558"/>
      <c r="K52" s="559"/>
      <c r="L52" s="559"/>
      <c r="M52" s="559"/>
      <c r="N52" s="559"/>
      <c r="O52" s="559"/>
      <c r="P52" s="559"/>
      <c r="Q52" s="427"/>
      <c r="R52" s="427"/>
      <c r="S52" s="427"/>
    </row>
    <row r="53" spans="2:19">
      <c r="B53" s="443" t="s">
        <v>650</v>
      </c>
      <c r="C53" s="444" t="s">
        <v>538</v>
      </c>
      <c r="D53" s="574">
        <f>INDEX(Data!$C$63:$C$91,MATCH('RFPR cover'!$C$7,Data!$B$63:$B$91,0),0)</f>
        <v>0.67</v>
      </c>
      <c r="E53" s="574">
        <f>INDEX(Data!$C$63:$C$91,MATCH('RFPR cover'!$C$7,Data!$B$63:$B$91,0),0)</f>
        <v>0.67</v>
      </c>
      <c r="F53" s="574">
        <f>INDEX(Data!$C$63:$C$91,MATCH('RFPR cover'!$C$7,Data!$B$63:$B$91,0),0)</f>
        <v>0.67</v>
      </c>
      <c r="G53" s="574">
        <f>INDEX(Data!$C$63:$C$91,MATCH('RFPR cover'!$C$7,Data!$B$63:$B$91,0),0)</f>
        <v>0.67</v>
      </c>
      <c r="H53" s="574">
        <f>INDEX(Data!$C$63:$C$91,MATCH('RFPR cover'!$C$7,Data!$B$63:$B$91,0),0)</f>
        <v>0.67</v>
      </c>
      <c r="I53" s="561"/>
      <c r="J53" s="561"/>
      <c r="K53" s="427"/>
      <c r="L53" s="427"/>
      <c r="M53" s="427"/>
      <c r="N53" s="427"/>
      <c r="O53" s="427"/>
      <c r="P53" s="427"/>
      <c r="Q53" s="427"/>
      <c r="R53" s="427"/>
      <c r="S53" s="427"/>
    </row>
    <row r="54" spans="2:19">
      <c r="K54" s="427"/>
      <c r="L54" s="427"/>
      <c r="M54" s="427"/>
      <c r="N54" s="427"/>
      <c r="O54" s="427"/>
      <c r="P54" s="427"/>
      <c r="Q54" s="427"/>
      <c r="R54" s="427"/>
      <c r="S54" s="427"/>
    </row>
    <row r="55" spans="2:19">
      <c r="B55" s="443" t="s">
        <v>651</v>
      </c>
      <c r="C55" s="545" t="str">
        <f>Data!$C$9</f>
        <v>£m 18/19</v>
      </c>
      <c r="D55" s="553">
        <f>D51*D53</f>
        <v>-166.52581704651095</v>
      </c>
      <c r="E55" s="553">
        <f t="shared" ref="E55:H55" si="13">E51*E53</f>
        <v>-81.700239370927463</v>
      </c>
      <c r="F55" s="553">
        <f t="shared" si="13"/>
        <v>164.65384016228214</v>
      </c>
      <c r="G55" s="553">
        <f t="shared" si="13"/>
        <v>31.926923834686207</v>
      </c>
      <c r="H55" s="553">
        <f t="shared" si="13"/>
        <v>101.20040256478336</v>
      </c>
      <c r="I55" s="575">
        <f>SUM(D55:INDEX(D55:H55,0,MATCH('RFPR cover'!$C$9,$D$6:$H$6,0)))</f>
        <v>49.555110144313275</v>
      </c>
      <c r="J55" s="576">
        <f>SUM(D55:H55)</f>
        <v>49.555110144313275</v>
      </c>
      <c r="K55" s="427"/>
      <c r="L55" s="427"/>
      <c r="M55" s="427"/>
      <c r="N55" s="427"/>
      <c r="O55" s="427"/>
      <c r="P55" s="427"/>
      <c r="Q55" s="427"/>
      <c r="R55" s="427"/>
      <c r="S55" s="427"/>
    </row>
    <row r="56" spans="2:19">
      <c r="B56" s="443" t="s">
        <v>652</v>
      </c>
      <c r="C56" s="545" t="str">
        <f>Data!$C$9</f>
        <v>£m 18/19</v>
      </c>
      <c r="D56" s="553">
        <f>D51*(1-D53)</f>
        <v>-82.020178545296417</v>
      </c>
      <c r="E56" s="553">
        <f t="shared" ref="E56:H56" si="14">E51*(1-E53)</f>
        <v>-40.240416406576209</v>
      </c>
      <c r="F56" s="553">
        <f t="shared" si="14"/>
        <v>81.098160079929997</v>
      </c>
      <c r="G56" s="553">
        <f t="shared" si="14"/>
        <v>15.725201291711114</v>
      </c>
      <c r="H56" s="553">
        <f t="shared" si="14"/>
        <v>49.844974397579854</v>
      </c>
      <c r="I56" s="577">
        <f>SUM(D56:INDEX(D56:H56,0,MATCH('RFPR cover'!$C$9,$D$6:$H$6,0)))</f>
        <v>24.407740817348333</v>
      </c>
      <c r="J56" s="578">
        <f>SUM(D56:H56)</f>
        <v>24.407740817348333</v>
      </c>
      <c r="K56" s="427"/>
      <c r="L56" s="427"/>
      <c r="M56" s="427"/>
      <c r="N56" s="427"/>
      <c r="O56" s="427"/>
      <c r="P56" s="427"/>
      <c r="Q56" s="427"/>
      <c r="R56" s="427"/>
      <c r="S56" s="427"/>
    </row>
    <row r="57" spans="2:19">
      <c r="K57" s="427"/>
      <c r="L57" s="427"/>
      <c r="M57" s="427"/>
      <c r="N57" s="427"/>
      <c r="O57" s="427"/>
      <c r="P57" s="427"/>
      <c r="Q57" s="427"/>
      <c r="R57" s="427"/>
      <c r="S57" s="427"/>
    </row>
    <row r="58" spans="2:19">
      <c r="B58" s="455" t="s">
        <v>653</v>
      </c>
      <c r="K58" s="427"/>
      <c r="L58" s="427"/>
      <c r="M58" s="427"/>
      <c r="N58" s="427"/>
      <c r="O58" s="427"/>
      <c r="P58" s="427"/>
      <c r="Q58" s="427"/>
      <c r="R58" s="427"/>
      <c r="S58" s="427"/>
    </row>
    <row r="59" spans="2:19">
      <c r="B59" s="463" t="s">
        <v>665</v>
      </c>
      <c r="C59" s="545" t="str">
        <f>Data!$C$9</f>
        <v>£m 18/19</v>
      </c>
      <c r="D59" s="565">
        <v>0</v>
      </c>
      <c r="E59" s="565">
        <v>0</v>
      </c>
      <c r="F59" s="565">
        <v>0</v>
      </c>
      <c r="G59" s="565">
        <v>0</v>
      </c>
      <c r="H59" s="565">
        <v>0</v>
      </c>
      <c r="I59" s="563">
        <f>SUM(D59:INDEX(D59:H59,0,MATCH('RFPR cover'!$C$9,$D$6:$H$6,0)))</f>
        <v>0</v>
      </c>
      <c r="J59" s="564">
        <f>SUM(D59:H59)</f>
        <v>0</v>
      </c>
      <c r="K59" s="427"/>
      <c r="L59" s="427"/>
      <c r="M59" s="427"/>
      <c r="N59" s="427"/>
      <c r="O59" s="427"/>
      <c r="P59" s="427"/>
      <c r="Q59" s="427"/>
      <c r="R59" s="427"/>
      <c r="S59" s="427"/>
    </row>
    <row r="60" spans="2:19">
      <c r="B60" s="463" t="s">
        <v>666</v>
      </c>
      <c r="C60" s="545" t="str">
        <f>Data!$C$9</f>
        <v>£m 18/19</v>
      </c>
      <c r="D60" s="565">
        <v>0</v>
      </c>
      <c r="E60" s="565">
        <v>0</v>
      </c>
      <c r="F60" s="565">
        <v>0</v>
      </c>
      <c r="G60" s="565">
        <v>0</v>
      </c>
      <c r="H60" s="565">
        <v>0</v>
      </c>
      <c r="I60" s="563">
        <f>SUM(D60:INDEX(D60:H60,0,MATCH('RFPR cover'!$C$9,$D$6:$H$6,0)))</f>
        <v>0</v>
      </c>
      <c r="J60" s="564">
        <f t="shared" ref="J60:J61" si="15">SUM(D60:H60)</f>
        <v>0</v>
      </c>
      <c r="K60" s="427"/>
      <c r="L60" s="427"/>
      <c r="M60" s="427"/>
      <c r="N60" s="427"/>
      <c r="O60" s="427"/>
      <c r="P60" s="427"/>
      <c r="Q60" s="427"/>
      <c r="R60" s="427"/>
      <c r="S60" s="427"/>
    </row>
    <row r="61" spans="2:19">
      <c r="B61" s="455" t="s">
        <v>663</v>
      </c>
      <c r="C61" s="545" t="str">
        <f>Data!$C$9</f>
        <v>£m 18/19</v>
      </c>
      <c r="D61" s="553">
        <f>SUM(D59:D60)</f>
        <v>0</v>
      </c>
      <c r="E61" s="553">
        <f t="shared" ref="E61:H61" si="16">SUM(E59:E60)</f>
        <v>0</v>
      </c>
      <c r="F61" s="553">
        <f t="shared" si="16"/>
        <v>0</v>
      </c>
      <c r="G61" s="553">
        <f t="shared" si="16"/>
        <v>0</v>
      </c>
      <c r="H61" s="553">
        <f t="shared" si="16"/>
        <v>0</v>
      </c>
      <c r="I61" s="563">
        <f>SUM(D61:INDEX(D61:H61,0,MATCH('RFPR cover'!$C$9,$D$6:$H$6,0)))</f>
        <v>0</v>
      </c>
      <c r="J61" s="564">
        <f t="shared" si="15"/>
        <v>0</v>
      </c>
      <c r="K61" s="455"/>
      <c r="L61" s="455"/>
      <c r="M61" s="455"/>
      <c r="N61" s="455"/>
      <c r="O61" s="455"/>
      <c r="P61" s="455"/>
      <c r="Q61" s="455"/>
      <c r="R61" s="427"/>
      <c r="S61" s="427"/>
    </row>
    <row r="62" spans="2:19">
      <c r="B62" s="455"/>
      <c r="C62" s="455"/>
      <c r="D62" s="455"/>
      <c r="E62" s="455"/>
      <c r="F62" s="455"/>
      <c r="G62" s="455"/>
      <c r="H62" s="455"/>
      <c r="I62" s="455"/>
      <c r="J62" s="455"/>
      <c r="K62" s="455"/>
      <c r="L62" s="455"/>
      <c r="M62" s="455"/>
      <c r="N62" s="455"/>
      <c r="O62" s="455"/>
      <c r="P62" s="455"/>
      <c r="Q62" s="455"/>
      <c r="R62" s="427"/>
      <c r="S62" s="427"/>
    </row>
    <row r="63" spans="2:19">
      <c r="B63" s="455" t="s">
        <v>664</v>
      </c>
      <c r="K63" s="455"/>
      <c r="L63" s="455"/>
      <c r="M63" s="455"/>
      <c r="N63" s="455"/>
      <c r="O63" s="455"/>
      <c r="P63" s="455"/>
      <c r="Q63" s="455"/>
      <c r="R63" s="427"/>
      <c r="S63" s="427"/>
    </row>
    <row r="64" spans="2:19">
      <c r="B64" s="463" t="s">
        <v>665</v>
      </c>
      <c r="C64" s="545" t="str">
        <f>Data!$C$9</f>
        <v>£m 18/19</v>
      </c>
      <c r="D64" s="565">
        <v>0</v>
      </c>
      <c r="E64" s="565">
        <v>0</v>
      </c>
      <c r="F64" s="565">
        <v>0</v>
      </c>
      <c r="G64" s="565">
        <v>0</v>
      </c>
      <c r="H64" s="565">
        <v>0</v>
      </c>
      <c r="I64" s="563">
        <f>SUM(D64:INDEX(D64:H64,0,MATCH('RFPR cover'!$C$9,$D$6:$H$6,0)))</f>
        <v>0</v>
      </c>
      <c r="J64" s="564">
        <f>SUM(D64:H64)</f>
        <v>0</v>
      </c>
      <c r="K64" s="455"/>
      <c r="L64" s="455"/>
      <c r="M64" s="455"/>
      <c r="N64" s="455"/>
      <c r="O64" s="455"/>
      <c r="P64" s="455"/>
      <c r="Q64" s="455"/>
      <c r="R64" s="427"/>
      <c r="S64" s="427"/>
    </row>
    <row r="65" spans="2:20">
      <c r="B65" s="463" t="s">
        <v>666</v>
      </c>
      <c r="C65" s="545" t="str">
        <f>Data!$C$9</f>
        <v>£m 18/19</v>
      </c>
      <c r="D65" s="565">
        <v>0</v>
      </c>
      <c r="E65" s="565">
        <v>0</v>
      </c>
      <c r="F65" s="565">
        <v>0</v>
      </c>
      <c r="G65" s="565">
        <v>0</v>
      </c>
      <c r="H65" s="565">
        <v>0</v>
      </c>
      <c r="I65" s="563">
        <f>SUM(D65:INDEX(D65:H65,0,MATCH('RFPR cover'!$C$9,$D$6:$H$6,0)))</f>
        <v>0</v>
      </c>
      <c r="J65" s="564">
        <f t="shared" ref="J65:J66" si="17">SUM(D65:H65)</f>
        <v>0</v>
      </c>
      <c r="K65" s="455"/>
      <c r="L65" s="455"/>
      <c r="M65" s="455"/>
      <c r="N65" s="455"/>
      <c r="O65" s="455"/>
      <c r="P65" s="455"/>
      <c r="Q65" s="455"/>
      <c r="R65" s="427"/>
      <c r="S65" s="427"/>
    </row>
    <row r="66" spans="2:20">
      <c r="B66" s="455" t="s">
        <v>663</v>
      </c>
      <c r="C66" s="545" t="str">
        <f>Data!$C$9</f>
        <v>£m 18/19</v>
      </c>
      <c r="D66" s="553">
        <f>SUM(D64:D65)</f>
        <v>0</v>
      </c>
      <c r="E66" s="553">
        <f t="shared" ref="E66:H66" si="18">SUM(E64:E65)</f>
        <v>0</v>
      </c>
      <c r="F66" s="553">
        <f t="shared" si="18"/>
        <v>0</v>
      </c>
      <c r="G66" s="553">
        <f t="shared" si="18"/>
        <v>0</v>
      </c>
      <c r="H66" s="553">
        <f t="shared" si="18"/>
        <v>0</v>
      </c>
      <c r="I66" s="563">
        <f>SUM(D66:INDEX(D66:H66,0,MATCH('RFPR cover'!$C$9,$D$6:$H$6,0)))</f>
        <v>0</v>
      </c>
      <c r="J66" s="564">
        <f t="shared" si="17"/>
        <v>0</v>
      </c>
      <c r="K66" s="455"/>
      <c r="L66" s="455"/>
      <c r="M66" s="455"/>
      <c r="N66" s="455"/>
      <c r="O66" s="455"/>
      <c r="P66" s="455"/>
      <c r="Q66" s="455"/>
      <c r="R66" s="427"/>
      <c r="S66" s="427"/>
    </row>
    <row r="67" spans="2:20">
      <c r="B67" s="455"/>
      <c r="C67" s="455"/>
      <c r="D67" s="455"/>
      <c r="E67" s="455"/>
      <c r="F67" s="455"/>
      <c r="G67" s="455"/>
      <c r="H67" s="455"/>
      <c r="I67" s="455"/>
      <c r="J67" s="455"/>
      <c r="K67" s="455"/>
      <c r="L67" s="455"/>
      <c r="M67" s="455"/>
      <c r="N67" s="455"/>
      <c r="O67" s="455"/>
      <c r="P67" s="455"/>
      <c r="Q67" s="455"/>
      <c r="R67" s="427"/>
      <c r="S67" s="427"/>
    </row>
    <row r="68" spans="2:20">
      <c r="B68" s="443" t="s">
        <v>667</v>
      </c>
      <c r="C68" s="545" t="str">
        <f>Data!$C$9</f>
        <v>£m 18/19</v>
      </c>
      <c r="D68" s="553">
        <f>D61*D53</f>
        <v>0</v>
      </c>
      <c r="E68" s="553">
        <f t="shared" ref="E68:H68" si="19">E61*E53</f>
        <v>0</v>
      </c>
      <c r="F68" s="553">
        <f t="shared" si="19"/>
        <v>0</v>
      </c>
      <c r="G68" s="553">
        <f t="shared" si="19"/>
        <v>0</v>
      </c>
      <c r="H68" s="553">
        <f t="shared" si="19"/>
        <v>0</v>
      </c>
      <c r="I68" s="410">
        <f>SUM(D68:INDEX(D68:H68,0,MATCH('RFPR cover'!$C$9,$D$6:$H$6,0)))</f>
        <v>0</v>
      </c>
      <c r="J68" s="562">
        <f>SUM(D68:H68)</f>
        <v>0</v>
      </c>
      <c r="K68" s="455"/>
      <c r="L68" s="455"/>
      <c r="M68" s="455"/>
      <c r="N68" s="455"/>
      <c r="O68" s="455"/>
      <c r="P68" s="455"/>
      <c r="Q68" s="455"/>
      <c r="R68" s="427"/>
      <c r="S68" s="427"/>
    </row>
    <row r="69" spans="2:20">
      <c r="B69" s="443" t="s">
        <v>668</v>
      </c>
      <c r="C69" s="545" t="str">
        <f>Data!$C$9</f>
        <v>£m 18/19</v>
      </c>
      <c r="D69" s="553">
        <f t="shared" ref="D69:H69" si="20">D61*(1-D53)+D66</f>
        <v>0</v>
      </c>
      <c r="E69" s="553">
        <f t="shared" si="20"/>
        <v>0</v>
      </c>
      <c r="F69" s="553">
        <f t="shared" si="20"/>
        <v>0</v>
      </c>
      <c r="G69" s="553">
        <f t="shared" si="20"/>
        <v>0</v>
      </c>
      <c r="H69" s="553">
        <f t="shared" si="20"/>
        <v>0</v>
      </c>
      <c r="I69" s="410">
        <f>SUM(D69:INDEX(D69:H69,0,MATCH('RFPR cover'!$C$9,$D$6:$H$6,0)))</f>
        <v>0</v>
      </c>
      <c r="J69" s="564">
        <f>SUM(D69:H69)</f>
        <v>0</v>
      </c>
      <c r="K69" s="455"/>
      <c r="L69" s="455"/>
      <c r="M69" s="455"/>
      <c r="N69" s="455"/>
      <c r="O69" s="455"/>
      <c r="P69" s="455"/>
      <c r="Q69" s="455"/>
      <c r="R69" s="427"/>
      <c r="S69" s="427"/>
    </row>
    <row r="70" spans="2:20">
      <c r="B70" s="455"/>
      <c r="C70" s="455"/>
      <c r="D70" s="455"/>
      <c r="E70" s="455"/>
      <c r="F70" s="455"/>
      <c r="G70" s="455"/>
      <c r="H70" s="455"/>
      <c r="I70" s="455"/>
      <c r="J70" s="455"/>
      <c r="K70" s="455"/>
      <c r="L70" s="455"/>
      <c r="M70" s="455"/>
      <c r="N70" s="455"/>
      <c r="O70" s="455"/>
      <c r="P70" s="455"/>
      <c r="Q70" s="455"/>
      <c r="R70" s="427"/>
      <c r="S70" s="427"/>
    </row>
    <row r="71" spans="2:20">
      <c r="B71" s="455" t="s">
        <v>669</v>
      </c>
      <c r="C71" s="455"/>
      <c r="D71" s="455"/>
      <c r="E71" s="455"/>
      <c r="F71" s="455"/>
      <c r="G71" s="455"/>
      <c r="H71" s="455"/>
      <c r="I71" s="455"/>
      <c r="J71" s="455"/>
      <c r="K71" s="455"/>
      <c r="L71" s="455"/>
      <c r="M71" s="455"/>
      <c r="N71" s="455"/>
      <c r="O71" s="455"/>
      <c r="P71" s="455"/>
      <c r="Q71" s="455"/>
      <c r="R71" s="427"/>
      <c r="S71" s="427"/>
    </row>
    <row r="72" spans="2:20">
      <c r="B72" s="443" t="s">
        <v>651</v>
      </c>
      <c r="C72" s="545" t="str">
        <f>Data!$C$9</f>
        <v>£m 18/19</v>
      </c>
      <c r="D72" s="553">
        <f>D68+D55</f>
        <v>-166.52581704651095</v>
      </c>
      <c r="E72" s="553">
        <f t="shared" ref="E72:H72" si="21">E68+E55</f>
        <v>-81.700239370927463</v>
      </c>
      <c r="F72" s="553">
        <f t="shared" si="21"/>
        <v>164.65384016228214</v>
      </c>
      <c r="G72" s="553">
        <f t="shared" si="21"/>
        <v>31.926923834686207</v>
      </c>
      <c r="H72" s="553">
        <f t="shared" si="21"/>
        <v>101.20040256478336</v>
      </c>
      <c r="I72" s="563">
        <f>SUM(D72:INDEX(D72:H72,0,MATCH('RFPR cover'!$C$9,$D$6:$H$6,0)))</f>
        <v>49.555110144313275</v>
      </c>
      <c r="J72" s="564">
        <f>SUM(D72:H72)</f>
        <v>49.555110144313275</v>
      </c>
      <c r="K72" s="455"/>
      <c r="L72" s="455"/>
      <c r="M72" s="455"/>
      <c r="N72" s="455"/>
      <c r="O72" s="455"/>
      <c r="P72" s="455"/>
      <c r="Q72" s="455"/>
      <c r="R72" s="427"/>
      <c r="S72" s="427"/>
    </row>
    <row r="73" spans="2:20">
      <c r="B73" s="443" t="s">
        <v>652</v>
      </c>
      <c r="C73" s="545" t="str">
        <f>Data!$C$9</f>
        <v>£m 18/19</v>
      </c>
      <c r="D73" s="553">
        <f>D56+D69</f>
        <v>-82.020178545296417</v>
      </c>
      <c r="E73" s="553">
        <f t="shared" ref="E73:H73" si="22">E56+E69</f>
        <v>-40.240416406576209</v>
      </c>
      <c r="F73" s="553">
        <f t="shared" si="22"/>
        <v>81.098160079929997</v>
      </c>
      <c r="G73" s="553">
        <f t="shared" si="22"/>
        <v>15.725201291711114</v>
      </c>
      <c r="H73" s="553">
        <f t="shared" si="22"/>
        <v>49.844974397579854</v>
      </c>
      <c r="I73" s="563">
        <f>SUM(D73:INDEX(D73:H73,0,MATCH('RFPR cover'!$C$9,$D$6:$H$6,0)))</f>
        <v>24.407740817348333</v>
      </c>
      <c r="J73" s="564">
        <f t="shared" ref="J73:J74" si="23">SUM(D73:H73)</f>
        <v>24.407740817348333</v>
      </c>
      <c r="K73" s="455"/>
      <c r="L73" s="455"/>
      <c r="M73" s="455"/>
      <c r="N73" s="455"/>
      <c r="O73" s="455"/>
      <c r="P73" s="455"/>
      <c r="Q73" s="455"/>
      <c r="R73" s="427"/>
      <c r="S73" s="427"/>
    </row>
    <row r="74" spans="2:20">
      <c r="B74" s="455" t="s">
        <v>670</v>
      </c>
      <c r="C74" s="567" t="str">
        <f>Data!$C$9</f>
        <v>£m 18/19</v>
      </c>
      <c r="D74" s="553">
        <f>SUM(D72:D73)</f>
        <v>-248.54599559180735</v>
      </c>
      <c r="E74" s="553">
        <f t="shared" ref="E74:H74" si="24">SUM(E72:E73)</f>
        <v>-121.94065577750368</v>
      </c>
      <c r="F74" s="553">
        <f t="shared" si="24"/>
        <v>245.75200024221215</v>
      </c>
      <c r="G74" s="553">
        <f t="shared" si="24"/>
        <v>47.652125126397323</v>
      </c>
      <c r="H74" s="553">
        <f t="shared" si="24"/>
        <v>151.04537696236321</v>
      </c>
      <c r="I74" s="563">
        <f>SUM(D74:INDEX(D74:H74,0,MATCH('RFPR cover'!$C$9,$D$6:$H$6,0)))</f>
        <v>73.962850961661616</v>
      </c>
      <c r="J74" s="564">
        <f t="shared" si="23"/>
        <v>73.962850961661616</v>
      </c>
      <c r="K74" s="427"/>
      <c r="L74" s="427"/>
      <c r="M74" s="427"/>
      <c r="N74" s="427"/>
      <c r="O74" s="427"/>
      <c r="P74" s="427"/>
      <c r="Q74" s="427"/>
      <c r="R74" s="427"/>
      <c r="S74" s="427"/>
    </row>
    <row r="75" spans="2:20">
      <c r="C75" s="545"/>
      <c r="D75" s="545"/>
      <c r="E75" s="545"/>
      <c r="F75" s="545"/>
      <c r="G75" s="545"/>
      <c r="H75" s="545"/>
      <c r="I75" s="545"/>
      <c r="J75" s="545"/>
      <c r="K75" s="545"/>
      <c r="L75" s="545"/>
      <c r="M75" s="545"/>
      <c r="N75" s="545"/>
      <c r="O75" s="545"/>
      <c r="P75" s="545"/>
      <c r="Q75" s="545"/>
      <c r="R75" s="545"/>
      <c r="S75" s="545"/>
      <c r="T75" s="545"/>
    </row>
    <row r="76" spans="2:20">
      <c r="B76" s="579" t="s">
        <v>672</v>
      </c>
      <c r="C76" s="451"/>
      <c r="D76" s="453"/>
      <c r="E76" s="453"/>
      <c r="F76" s="453"/>
      <c r="G76" s="453"/>
      <c r="H76" s="453"/>
      <c r="I76" s="453"/>
      <c r="J76" s="453"/>
      <c r="K76" s="427"/>
      <c r="L76" s="427"/>
      <c r="M76" s="427"/>
      <c r="N76" s="427"/>
      <c r="O76" s="427"/>
      <c r="P76" s="427"/>
      <c r="Q76" s="427"/>
      <c r="R76" s="427"/>
      <c r="S76" s="427"/>
    </row>
    <row r="77" spans="2:20">
      <c r="D77" s="544"/>
      <c r="E77" s="544"/>
      <c r="F77" s="544"/>
      <c r="G77" s="544"/>
      <c r="H77" s="544"/>
      <c r="I77" s="544"/>
      <c r="J77" s="544"/>
      <c r="K77" s="427"/>
      <c r="L77" s="427"/>
      <c r="M77" s="427"/>
      <c r="N77" s="427"/>
      <c r="O77" s="427"/>
      <c r="P77" s="427"/>
      <c r="Q77" s="427"/>
      <c r="R77" s="427"/>
      <c r="S77" s="427"/>
    </row>
    <row r="78" spans="2:20">
      <c r="B78" s="456" t="s">
        <v>673</v>
      </c>
      <c r="C78" s="545" t="str">
        <f>Data!$C$9</f>
        <v>£m 18/19</v>
      </c>
      <c r="D78" s="546">
        <v>0</v>
      </c>
      <c r="E78" s="546">
        <v>0</v>
      </c>
      <c r="F78" s="546">
        <v>0</v>
      </c>
      <c r="G78" s="546">
        <v>0</v>
      </c>
      <c r="H78" s="546">
        <v>0</v>
      </c>
      <c r="I78" s="568">
        <f>SUM(D78:INDEX(D78:H78,0,MATCH('RFPR cover'!$C$9,$D$6:$H$6,0)))</f>
        <v>0</v>
      </c>
      <c r="J78" s="569">
        <f>SUM(D78:H78)</f>
        <v>0</v>
      </c>
      <c r="K78" s="427"/>
      <c r="L78" s="427"/>
      <c r="M78" s="427"/>
      <c r="N78" s="427"/>
      <c r="O78" s="427"/>
      <c r="P78" s="427"/>
      <c r="Q78" s="427"/>
      <c r="R78" s="427"/>
      <c r="S78" s="427"/>
    </row>
    <row r="79" spans="2:20" ht="16.5" customHeight="1">
      <c r="B79" s="549" t="s">
        <v>674</v>
      </c>
      <c r="C79" s="580" t="str">
        <f>Data!$C$9</f>
        <v>£m 18/19</v>
      </c>
      <c r="D79" s="546">
        <v>0</v>
      </c>
      <c r="E79" s="546">
        <v>0</v>
      </c>
      <c r="F79" s="546">
        <v>0</v>
      </c>
      <c r="G79" s="546">
        <v>0</v>
      </c>
      <c r="H79" s="546">
        <v>0</v>
      </c>
      <c r="I79" s="581">
        <f>SUM(D79:INDEX(D79:H79,0,MATCH('RFPR cover'!$C$9,$D$6:$H$6,0)))</f>
        <v>0</v>
      </c>
      <c r="J79" s="582">
        <f>SUM(D79:H79)</f>
        <v>0</v>
      </c>
      <c r="K79" s="583"/>
      <c r="L79" s="583"/>
      <c r="M79" s="583"/>
      <c r="N79" s="583"/>
      <c r="O79" s="583"/>
      <c r="P79" s="583"/>
      <c r="Q79" s="583"/>
      <c r="R79" s="583"/>
      <c r="S79" s="583"/>
    </row>
    <row r="80" spans="2:20">
      <c r="B80" s="447" t="s">
        <v>649</v>
      </c>
      <c r="C80" s="545" t="str">
        <f>Data!$C$9</f>
        <v>£m 18/19</v>
      </c>
      <c r="D80" s="553">
        <f>D79-D78</f>
        <v>0</v>
      </c>
      <c r="E80" s="553">
        <f t="shared" ref="E80:J80" si="25">E79-E78</f>
        <v>0</v>
      </c>
      <c r="F80" s="553">
        <f t="shared" si="25"/>
        <v>0</v>
      </c>
      <c r="G80" s="553">
        <f t="shared" si="25"/>
        <v>0</v>
      </c>
      <c r="H80" s="553">
        <f t="shared" si="25"/>
        <v>0</v>
      </c>
      <c r="I80" s="572">
        <f t="shared" si="25"/>
        <v>0</v>
      </c>
      <c r="J80" s="573">
        <f t="shared" si="25"/>
        <v>0</v>
      </c>
      <c r="K80" s="427"/>
      <c r="L80" s="427"/>
      <c r="M80" s="427"/>
      <c r="N80" s="427"/>
      <c r="O80" s="427"/>
      <c r="P80" s="427"/>
      <c r="Q80" s="427"/>
      <c r="R80" s="427"/>
      <c r="S80" s="427"/>
    </row>
    <row r="81" spans="2:19">
      <c r="B81" s="447"/>
      <c r="C81" s="545"/>
      <c r="D81" s="558"/>
      <c r="E81" s="558"/>
      <c r="F81" s="558"/>
      <c r="G81" s="558"/>
      <c r="H81" s="558"/>
      <c r="I81" s="558"/>
      <c r="J81" s="558"/>
      <c r="K81" s="427"/>
      <c r="L81" s="427"/>
      <c r="M81" s="427"/>
      <c r="N81" s="427"/>
      <c r="O81" s="427"/>
      <c r="P81" s="427"/>
      <c r="Q81" s="427"/>
      <c r="R81" s="427"/>
      <c r="S81" s="427"/>
    </row>
    <row r="82" spans="2:19">
      <c r="B82" s="443" t="s">
        <v>650</v>
      </c>
      <c r="C82" s="444" t="s">
        <v>538</v>
      </c>
      <c r="D82" s="574">
        <f>INDEX(Data!$C$63:$C$91,MATCH('RFPR cover'!$C$7,Data!$B$63:$B$91,0),0)</f>
        <v>0.67</v>
      </c>
      <c r="E82" s="574">
        <f>INDEX(Data!$C$63:$C$91,MATCH('RFPR cover'!$C$7,Data!$B$63:$B$91,0),0)</f>
        <v>0.67</v>
      </c>
      <c r="F82" s="574">
        <f>INDEX(Data!$C$63:$C$91,MATCH('RFPR cover'!$C$7,Data!$B$63:$B$91,0),0)</f>
        <v>0.67</v>
      </c>
      <c r="G82" s="574">
        <f>INDEX(Data!$C$63:$C$91,MATCH('RFPR cover'!$C$7,Data!$B$63:$B$91,0),0)</f>
        <v>0.67</v>
      </c>
      <c r="H82" s="574">
        <f>INDEX(Data!$C$63:$C$91,MATCH('RFPR cover'!$C$7,Data!$B$63:$B$91,0),0)</f>
        <v>0.67</v>
      </c>
      <c r="I82" s="561"/>
      <c r="J82" s="561"/>
      <c r="K82" s="427"/>
      <c r="L82" s="427"/>
      <c r="M82" s="427"/>
      <c r="N82" s="427"/>
      <c r="O82" s="427"/>
      <c r="P82" s="427"/>
      <c r="Q82" s="427"/>
      <c r="R82" s="427"/>
      <c r="S82" s="427"/>
    </row>
    <row r="83" spans="2:19">
      <c r="K83" s="427"/>
      <c r="L83" s="427"/>
      <c r="M83" s="427"/>
      <c r="N83" s="427"/>
      <c r="O83" s="427"/>
      <c r="P83" s="427"/>
      <c r="Q83" s="427"/>
      <c r="R83" s="427"/>
      <c r="S83" s="427"/>
    </row>
    <row r="84" spans="2:19">
      <c r="B84" s="443" t="s">
        <v>651</v>
      </c>
      <c r="C84" s="545" t="str">
        <f>Data!$C$9</f>
        <v>£m 18/19</v>
      </c>
      <c r="D84" s="553">
        <f>D80*D82</f>
        <v>0</v>
      </c>
      <c r="E84" s="553">
        <f t="shared" ref="E84:H84" si="26">E80*E82</f>
        <v>0</v>
      </c>
      <c r="F84" s="553">
        <f t="shared" si="26"/>
        <v>0</v>
      </c>
      <c r="G84" s="553">
        <f t="shared" si="26"/>
        <v>0</v>
      </c>
      <c r="H84" s="553">
        <f t="shared" si="26"/>
        <v>0</v>
      </c>
      <c r="I84" s="575">
        <f>SUM(D84:INDEX(D84:H84,0,MATCH('RFPR cover'!$C$9,$D$6:$H$6,0)))</f>
        <v>0</v>
      </c>
      <c r="J84" s="576">
        <f>SUM(D84:H84)</f>
        <v>0</v>
      </c>
      <c r="K84" s="427"/>
      <c r="L84" s="427"/>
      <c r="M84" s="427"/>
      <c r="N84" s="427"/>
      <c r="O84" s="427"/>
      <c r="P84" s="427"/>
      <c r="Q84" s="427"/>
      <c r="R84" s="427"/>
      <c r="S84" s="427"/>
    </row>
    <row r="85" spans="2:19">
      <c r="B85" s="443" t="s">
        <v>652</v>
      </c>
      <c r="C85" s="545" t="str">
        <f>Data!$C$9</f>
        <v>£m 18/19</v>
      </c>
      <c r="D85" s="553">
        <f>D80*(1-D82)</f>
        <v>0</v>
      </c>
      <c r="E85" s="553">
        <f t="shared" ref="E85:H85" si="27">E80*(1-E82)</f>
        <v>0</v>
      </c>
      <c r="F85" s="553">
        <f t="shared" si="27"/>
        <v>0</v>
      </c>
      <c r="G85" s="553">
        <f t="shared" si="27"/>
        <v>0</v>
      </c>
      <c r="H85" s="553">
        <f t="shared" si="27"/>
        <v>0</v>
      </c>
      <c r="I85" s="577">
        <f>SUM(D85:INDEX(D85:H85,0,MATCH('RFPR cover'!$C$9,$D$6:$H$6,0)))</f>
        <v>0</v>
      </c>
      <c r="J85" s="578">
        <f>SUM(D85:H85)</f>
        <v>0</v>
      </c>
      <c r="K85" s="427"/>
      <c r="L85" s="427"/>
      <c r="M85" s="427"/>
      <c r="N85" s="427"/>
      <c r="O85" s="427"/>
      <c r="P85" s="427"/>
      <c r="Q85" s="427"/>
      <c r="R85" s="427"/>
      <c r="S85" s="427"/>
    </row>
    <row r="86" spans="2:19">
      <c r="C86" s="443"/>
      <c r="D86" s="443"/>
      <c r="E86" s="443"/>
      <c r="F86" s="443"/>
      <c r="G86" s="443"/>
      <c r="H86" s="443"/>
      <c r="I86" s="443"/>
      <c r="J86" s="443"/>
      <c r="K86" s="443"/>
      <c r="L86" s="443"/>
      <c r="M86" s="427"/>
      <c r="N86" s="427"/>
      <c r="O86" s="427"/>
      <c r="P86" s="427"/>
      <c r="Q86" s="427"/>
      <c r="R86" s="427"/>
      <c r="S86" s="427"/>
    </row>
    <row r="87" spans="2:19">
      <c r="B87" s="455" t="s">
        <v>653</v>
      </c>
      <c r="K87" s="443"/>
      <c r="L87" s="443"/>
      <c r="M87" s="427"/>
      <c r="N87" s="427"/>
      <c r="O87" s="427"/>
      <c r="P87" s="427"/>
      <c r="Q87" s="427"/>
      <c r="R87" s="427"/>
      <c r="S87" s="427"/>
    </row>
    <row r="88" spans="2:19">
      <c r="B88" s="463" t="s">
        <v>665</v>
      </c>
      <c r="C88" s="545" t="str">
        <f>Data!$C$9</f>
        <v>£m 18/19</v>
      </c>
      <c r="D88" s="565">
        <v>0</v>
      </c>
      <c r="E88" s="565">
        <v>0</v>
      </c>
      <c r="F88" s="565">
        <v>0</v>
      </c>
      <c r="G88" s="565">
        <v>0</v>
      </c>
      <c r="H88" s="565">
        <v>0</v>
      </c>
      <c r="I88" s="563">
        <f>SUM(D88:INDEX(D88:H88,0,MATCH('RFPR cover'!$C$9,$D$6:$H$6,0)))</f>
        <v>0</v>
      </c>
      <c r="J88" s="564">
        <f>SUM(D88:H88)</f>
        <v>0</v>
      </c>
      <c r="K88" s="443"/>
      <c r="L88" s="443"/>
      <c r="M88" s="427"/>
      <c r="N88" s="427"/>
      <c r="O88" s="427"/>
      <c r="P88" s="427"/>
      <c r="Q88" s="427"/>
      <c r="R88" s="427"/>
      <c r="S88" s="427"/>
    </row>
    <row r="89" spans="2:19">
      <c r="B89" s="463" t="s">
        <v>666</v>
      </c>
      <c r="C89" s="545" t="str">
        <f>Data!$C$9</f>
        <v>£m 18/19</v>
      </c>
      <c r="D89" s="565">
        <v>0</v>
      </c>
      <c r="E89" s="565">
        <v>0</v>
      </c>
      <c r="F89" s="565">
        <v>0</v>
      </c>
      <c r="G89" s="565">
        <v>0</v>
      </c>
      <c r="H89" s="565">
        <v>0</v>
      </c>
      <c r="I89" s="563">
        <f>SUM(D89:INDEX(D89:H89,0,MATCH('RFPR cover'!$C$9,$D$6:$H$6,0)))</f>
        <v>0</v>
      </c>
      <c r="J89" s="564">
        <f t="shared" ref="J89:J90" si="28">SUM(D89:H89)</f>
        <v>0</v>
      </c>
      <c r="K89" s="443"/>
      <c r="L89" s="443"/>
      <c r="M89" s="427"/>
      <c r="N89" s="427"/>
      <c r="O89" s="427"/>
      <c r="P89" s="427"/>
      <c r="Q89" s="427"/>
      <c r="R89" s="427"/>
      <c r="S89" s="427"/>
    </row>
    <row r="90" spans="2:19">
      <c r="B90" s="455" t="s">
        <v>663</v>
      </c>
      <c r="C90" s="545" t="str">
        <f>Data!$C$9</f>
        <v>£m 18/19</v>
      </c>
      <c r="D90" s="553">
        <f>SUM(D88:D89)</f>
        <v>0</v>
      </c>
      <c r="E90" s="553">
        <f t="shared" ref="E90:H90" si="29">SUM(E88:E89)</f>
        <v>0</v>
      </c>
      <c r="F90" s="553">
        <f t="shared" si="29"/>
        <v>0</v>
      </c>
      <c r="G90" s="553">
        <f t="shared" si="29"/>
        <v>0</v>
      </c>
      <c r="H90" s="553">
        <f t="shared" si="29"/>
        <v>0</v>
      </c>
      <c r="I90" s="563">
        <f>SUM(D90:INDEX(D90:H90,0,MATCH('RFPR cover'!$C$9,$D$6:$H$6,0)))</f>
        <v>0</v>
      </c>
      <c r="J90" s="564">
        <f t="shared" si="28"/>
        <v>0</v>
      </c>
      <c r="K90" s="443"/>
      <c r="L90" s="443"/>
      <c r="M90" s="427"/>
      <c r="N90" s="427"/>
      <c r="O90" s="427"/>
      <c r="P90" s="427"/>
      <c r="Q90" s="427"/>
      <c r="R90" s="427"/>
      <c r="S90" s="427"/>
    </row>
    <row r="91" spans="2:19">
      <c r="B91" s="455"/>
      <c r="C91" s="455"/>
      <c r="D91" s="455"/>
      <c r="E91" s="455"/>
      <c r="F91" s="455"/>
      <c r="G91" s="455"/>
      <c r="H91" s="455"/>
      <c r="I91" s="455"/>
      <c r="J91" s="455"/>
      <c r="K91" s="443"/>
      <c r="L91" s="443"/>
      <c r="M91" s="427"/>
      <c r="N91" s="427"/>
      <c r="O91" s="427"/>
      <c r="P91" s="427"/>
      <c r="Q91" s="427"/>
      <c r="R91" s="427"/>
      <c r="S91" s="427"/>
    </row>
    <row r="92" spans="2:19">
      <c r="B92" s="443" t="s">
        <v>667</v>
      </c>
      <c r="C92" s="545"/>
      <c r="D92" s="553">
        <f>D90*D82</f>
        <v>0</v>
      </c>
      <c r="E92" s="553">
        <f t="shared" ref="E92:H92" si="30">E90*E82</f>
        <v>0</v>
      </c>
      <c r="F92" s="553">
        <f t="shared" si="30"/>
        <v>0</v>
      </c>
      <c r="G92" s="553">
        <f t="shared" si="30"/>
        <v>0</v>
      </c>
      <c r="H92" s="553">
        <f t="shared" si="30"/>
        <v>0</v>
      </c>
      <c r="I92" s="410">
        <f>SUM(D92:INDEX(D92:H92,0,MATCH('RFPR cover'!$C$9,$D$6:$H$6,0)))</f>
        <v>0</v>
      </c>
      <c r="J92" s="562">
        <f>SUM(D92:H92)</f>
        <v>0</v>
      </c>
      <c r="K92" s="443"/>
      <c r="L92" s="443"/>
      <c r="M92" s="427"/>
      <c r="N92" s="427"/>
      <c r="O92" s="427"/>
      <c r="P92" s="427"/>
      <c r="Q92" s="427"/>
      <c r="R92" s="427"/>
      <c r="S92" s="427"/>
    </row>
    <row r="93" spans="2:19">
      <c r="B93" s="443" t="s">
        <v>668</v>
      </c>
      <c r="C93" s="545"/>
      <c r="D93" s="553">
        <f>D90*(1-D82)</f>
        <v>0</v>
      </c>
      <c r="E93" s="553">
        <f t="shared" ref="E93:H93" si="31">E90*(1-E82)</f>
        <v>0</v>
      </c>
      <c r="F93" s="553">
        <f t="shared" si="31"/>
        <v>0</v>
      </c>
      <c r="G93" s="553">
        <f t="shared" si="31"/>
        <v>0</v>
      </c>
      <c r="H93" s="553">
        <f t="shared" si="31"/>
        <v>0</v>
      </c>
      <c r="I93" s="563">
        <v>0</v>
      </c>
      <c r="J93" s="564">
        <f>SUM(D93:H93)</f>
        <v>0</v>
      </c>
      <c r="K93" s="443"/>
      <c r="L93" s="443"/>
      <c r="M93" s="427"/>
      <c r="N93" s="427"/>
      <c r="O93" s="427"/>
      <c r="P93" s="427"/>
      <c r="Q93" s="427"/>
      <c r="R93" s="427"/>
      <c r="S93" s="427"/>
    </row>
    <row r="94" spans="2:19">
      <c r="B94" s="455"/>
      <c r="C94" s="455"/>
      <c r="D94" s="455"/>
      <c r="E94" s="455"/>
      <c r="F94" s="455"/>
      <c r="G94" s="455"/>
      <c r="H94" s="455"/>
      <c r="I94" s="455"/>
      <c r="J94" s="455"/>
      <c r="K94" s="443"/>
      <c r="L94" s="443"/>
      <c r="M94" s="427"/>
      <c r="N94" s="427"/>
      <c r="O94" s="427"/>
      <c r="P94" s="427"/>
      <c r="Q94" s="427"/>
      <c r="R94" s="427"/>
      <c r="S94" s="427"/>
    </row>
    <row r="95" spans="2:19">
      <c r="B95" s="455" t="s">
        <v>669</v>
      </c>
      <c r="C95" s="455"/>
      <c r="D95" s="455"/>
      <c r="E95" s="455"/>
      <c r="F95" s="455"/>
      <c r="G95" s="455"/>
      <c r="H95" s="455"/>
      <c r="I95" s="455"/>
      <c r="J95" s="455"/>
      <c r="K95" s="443"/>
      <c r="L95" s="443"/>
      <c r="M95" s="427"/>
      <c r="N95" s="427"/>
      <c r="O95" s="427"/>
      <c r="P95" s="427"/>
      <c r="Q95" s="427"/>
      <c r="R95" s="427"/>
      <c r="S95" s="427"/>
    </row>
    <row r="96" spans="2:19">
      <c r="B96" s="443" t="s">
        <v>651</v>
      </c>
      <c r="C96" s="545" t="str">
        <f>Data!$C$9</f>
        <v>£m 18/19</v>
      </c>
      <c r="D96" s="553">
        <f>D92+D84</f>
        <v>0</v>
      </c>
      <c r="E96" s="553">
        <f t="shared" ref="E96:H96" si="32">E92+E84</f>
        <v>0</v>
      </c>
      <c r="F96" s="553">
        <f t="shared" si="32"/>
        <v>0</v>
      </c>
      <c r="G96" s="553">
        <f t="shared" si="32"/>
        <v>0</v>
      </c>
      <c r="H96" s="553">
        <f t="shared" si="32"/>
        <v>0</v>
      </c>
      <c r="I96" s="563">
        <f>SUM(D96:INDEX(D96:H96,0,MATCH('RFPR cover'!$C$9,$D$6:$H$6,0)))</f>
        <v>0</v>
      </c>
      <c r="J96" s="564">
        <f>SUM(D96:H96)</f>
        <v>0</v>
      </c>
      <c r="K96" s="443"/>
      <c r="L96" s="443"/>
      <c r="M96" s="427"/>
      <c r="N96" s="427"/>
      <c r="O96" s="427"/>
      <c r="P96" s="427"/>
      <c r="Q96" s="427"/>
      <c r="R96" s="427"/>
      <c r="S96" s="427"/>
    </row>
    <row r="97" spans="2:19">
      <c r="B97" s="443" t="s">
        <v>652</v>
      </c>
      <c r="C97" s="545" t="str">
        <f>Data!$C$9</f>
        <v>£m 18/19</v>
      </c>
      <c r="D97" s="553">
        <f>D85+D93</f>
        <v>0</v>
      </c>
      <c r="E97" s="553">
        <f t="shared" ref="E97:H97" si="33">E85+E93</f>
        <v>0</v>
      </c>
      <c r="F97" s="553">
        <f t="shared" si="33"/>
        <v>0</v>
      </c>
      <c r="G97" s="553">
        <f t="shared" si="33"/>
        <v>0</v>
      </c>
      <c r="H97" s="553">
        <f t="shared" si="33"/>
        <v>0</v>
      </c>
      <c r="I97" s="563">
        <f>SUM(D97:INDEX(D97:H97,0,MATCH('RFPR cover'!$C$9,$D$6:$H$6,0)))</f>
        <v>0</v>
      </c>
      <c r="J97" s="564">
        <f t="shared" ref="J97:J98" si="34">SUM(D97:H97)</f>
        <v>0</v>
      </c>
      <c r="K97" s="443"/>
      <c r="L97" s="443"/>
      <c r="M97" s="427"/>
      <c r="N97" s="427"/>
      <c r="O97" s="427"/>
      <c r="P97" s="427"/>
      <c r="Q97" s="427"/>
      <c r="R97" s="427"/>
      <c r="S97" s="427"/>
    </row>
    <row r="98" spans="2:19">
      <c r="B98" s="455" t="s">
        <v>670</v>
      </c>
      <c r="C98" s="567" t="str">
        <f>Data!$C$9</f>
        <v>£m 18/19</v>
      </c>
      <c r="D98" s="553">
        <f>SUM(D96:D97)</f>
        <v>0</v>
      </c>
      <c r="E98" s="553">
        <f t="shared" ref="E98:H98" si="35">SUM(E96:E97)</f>
        <v>0</v>
      </c>
      <c r="F98" s="553">
        <f t="shared" si="35"/>
        <v>0</v>
      </c>
      <c r="G98" s="553">
        <f t="shared" si="35"/>
        <v>0</v>
      </c>
      <c r="H98" s="553">
        <f t="shared" si="35"/>
        <v>0</v>
      </c>
      <c r="I98" s="563">
        <f>SUM(D98:INDEX(D98:H98,0,MATCH('RFPR cover'!$C$9,$D$6:$H$6,0)))</f>
        <v>0</v>
      </c>
      <c r="J98" s="564">
        <f t="shared" si="34"/>
        <v>0</v>
      </c>
      <c r="K98" s="427"/>
      <c r="L98" s="427"/>
      <c r="M98" s="427"/>
      <c r="N98" s="427"/>
      <c r="O98" s="427"/>
      <c r="P98" s="427"/>
      <c r="Q98" s="427"/>
      <c r="R98" s="427"/>
      <c r="S98" s="427"/>
    </row>
    <row r="99" spans="2:19">
      <c r="K99" s="427"/>
      <c r="L99" s="427"/>
      <c r="M99" s="427"/>
      <c r="N99" s="427"/>
      <c r="O99" s="427"/>
      <c r="P99" s="427"/>
      <c r="Q99" s="427"/>
      <c r="R99" s="427"/>
      <c r="S99" s="427"/>
    </row>
    <row r="100" spans="2:19">
      <c r="B100" s="450" t="s">
        <v>675</v>
      </c>
      <c r="C100" s="451"/>
      <c r="D100" s="453"/>
      <c r="E100" s="453"/>
      <c r="F100" s="453"/>
      <c r="G100" s="453"/>
      <c r="H100" s="453"/>
      <c r="I100" s="453"/>
      <c r="J100" s="453"/>
      <c r="Q100" s="427"/>
      <c r="R100" s="427"/>
      <c r="S100" s="427"/>
    </row>
    <row r="101" spans="2:19">
      <c r="K101" s="427"/>
      <c r="L101" s="427"/>
      <c r="M101" s="427"/>
      <c r="N101" s="427"/>
      <c r="O101" s="427"/>
      <c r="P101" s="427"/>
      <c r="Q101" s="427"/>
      <c r="R101" s="427"/>
      <c r="S101" s="427"/>
    </row>
    <row r="102" spans="2:19">
      <c r="B102" s="455" t="s">
        <v>676</v>
      </c>
      <c r="Q102" s="427"/>
      <c r="R102" s="427"/>
      <c r="S102" s="427"/>
    </row>
    <row r="103" spans="2:19">
      <c r="B103" s="443" t="s">
        <v>677</v>
      </c>
      <c r="C103" s="545" t="str">
        <f>Data!$C$9</f>
        <v>£m 18/19</v>
      </c>
      <c r="D103" s="553">
        <f t="shared" ref="D103:H104" si="36">D43+D72+D96</f>
        <v>138.33427308357949</v>
      </c>
      <c r="E103" s="553">
        <f t="shared" si="36"/>
        <v>150.48666701949554</v>
      </c>
      <c r="F103" s="553">
        <f t="shared" si="36"/>
        <v>151.2430984593226</v>
      </c>
      <c r="G103" s="553">
        <f t="shared" si="36"/>
        <v>169.64134764929037</v>
      </c>
      <c r="H103" s="553">
        <f t="shared" si="36"/>
        <v>177.00118495610985</v>
      </c>
      <c r="I103" s="563">
        <f>SUM(D103:INDEX(D103:H103,0,MATCH('RFPR cover'!$C$9,$D$6:$H$6,0)))</f>
        <v>786.70657116779785</v>
      </c>
      <c r="J103" s="564">
        <f>SUM(D103:H103)</f>
        <v>786.70657116779785</v>
      </c>
      <c r="Q103" s="427"/>
      <c r="R103" s="510"/>
      <c r="S103" s="427"/>
    </row>
    <row r="104" spans="2:19">
      <c r="B104" s="443" t="s">
        <v>652</v>
      </c>
      <c r="C104" s="545" t="str">
        <f>Data!$C$9</f>
        <v>£m 18/19</v>
      </c>
      <c r="D104" s="553">
        <f t="shared" si="36"/>
        <v>68.134791220270458</v>
      </c>
      <c r="E104" s="553">
        <f t="shared" si="36"/>
        <v>74.120298681244037</v>
      </c>
      <c r="F104" s="553">
        <f t="shared" si="36"/>
        <v>74.492869390412608</v>
      </c>
      <c r="G104" s="553">
        <f t="shared" si="36"/>
        <v>83.554693618307198</v>
      </c>
      <c r="H104" s="553">
        <f t="shared" si="36"/>
        <v>87.179688112710807</v>
      </c>
      <c r="I104" s="563">
        <f>SUM(D104:INDEX(D104:H104,0,MATCH('RFPR cover'!$C$9,$D$6:$H$6,0)))</f>
        <v>387.48234102294509</v>
      </c>
      <c r="J104" s="564">
        <f t="shared" ref="J104:J105" si="37">SUM(D104:H104)</f>
        <v>387.48234102294509</v>
      </c>
      <c r="Q104" s="427"/>
      <c r="R104" s="427"/>
      <c r="S104" s="427"/>
    </row>
    <row r="105" spans="2:19">
      <c r="B105" s="455" t="s">
        <v>678</v>
      </c>
      <c r="C105" s="567" t="str">
        <f>Data!$C$9</f>
        <v>£m 18/19</v>
      </c>
      <c r="D105" s="553">
        <f>SUM(D103:D104)</f>
        <v>206.46906430384996</v>
      </c>
      <c r="E105" s="553">
        <f t="shared" ref="E105:H105" si="38">SUM(E103:E104)</f>
        <v>224.60696570073958</v>
      </c>
      <c r="F105" s="553">
        <f t="shared" si="38"/>
        <v>225.7359678497352</v>
      </c>
      <c r="G105" s="553">
        <f t="shared" si="38"/>
        <v>253.19604126759756</v>
      </c>
      <c r="H105" s="553">
        <f t="shared" si="38"/>
        <v>264.18087306882069</v>
      </c>
      <c r="I105" s="563">
        <f>SUM(D105:INDEX(D105:H105,0,MATCH('RFPR cover'!$C$9,$D$6:$H$6,0)))</f>
        <v>1174.1889121907429</v>
      </c>
      <c r="J105" s="564">
        <f t="shared" si="37"/>
        <v>1174.1889121907429</v>
      </c>
      <c r="Q105" s="427"/>
      <c r="R105" s="427"/>
      <c r="S105" s="427"/>
    </row>
    <row r="106" spans="2:19">
      <c r="B106" s="455"/>
      <c r="C106" s="567"/>
      <c r="D106" s="567"/>
      <c r="E106" s="567"/>
      <c r="F106" s="567"/>
      <c r="G106" s="567"/>
      <c r="H106" s="567"/>
      <c r="I106" s="567"/>
      <c r="J106" s="567"/>
      <c r="Q106" s="427"/>
      <c r="R106" s="427"/>
      <c r="S106" s="427"/>
    </row>
    <row r="107" spans="2:19">
      <c r="B107" s="537" t="s">
        <v>679</v>
      </c>
      <c r="C107" s="538"/>
      <c r="D107" s="538"/>
      <c r="E107" s="538"/>
      <c r="F107" s="538"/>
      <c r="G107" s="538"/>
      <c r="H107" s="539"/>
      <c r="I107" s="539"/>
      <c r="J107" s="539"/>
    </row>
    <row r="109" spans="2:19">
      <c r="B109" s="83"/>
    </row>
    <row r="110" spans="2:19">
      <c r="B110" s="584"/>
      <c r="D110" s="445" t="str">
        <f t="shared" ref="D110:H110" si="39">IF(D111&lt;=Reporting_Year,"Actuals","N/A")</f>
        <v>Actuals</v>
      </c>
      <c r="E110" s="585" t="str">
        <f t="shared" si="39"/>
        <v>Actuals</v>
      </c>
      <c r="F110" s="585" t="str">
        <f t="shared" si="39"/>
        <v>Actuals</v>
      </c>
      <c r="G110" s="585" t="str">
        <f t="shared" si="39"/>
        <v>Actuals</v>
      </c>
      <c r="H110" s="585" t="str">
        <f t="shared" si="39"/>
        <v>Actuals</v>
      </c>
    </row>
    <row r="111" spans="2:19">
      <c r="B111" s="83"/>
      <c r="D111" s="533">
        <f>'RFPR cover'!$C$6</f>
        <v>2022</v>
      </c>
      <c r="E111" s="534">
        <f t="shared" ref="E111:H111" si="40">D111+1</f>
        <v>2023</v>
      </c>
      <c r="F111" s="534">
        <f t="shared" si="40"/>
        <v>2024</v>
      </c>
      <c r="G111" s="534">
        <f t="shared" si="40"/>
        <v>2025</v>
      </c>
      <c r="H111" s="534">
        <f t="shared" si="40"/>
        <v>2026</v>
      </c>
    </row>
    <row r="112" spans="2:19">
      <c r="B112" s="83"/>
      <c r="D112" s="448" t="str">
        <f>RIIO_2_start_date-1&amp;"/"&amp;RIGHT(RIIO_2_start_date,2)</f>
        <v>2021/22</v>
      </c>
      <c r="E112" s="448" t="str">
        <f>RIIO_2_start_date&amp;"/"&amp;RIGHT(RIIO_2_start_date+1,2)</f>
        <v>2022/23</v>
      </c>
      <c r="F112" s="448" t="str">
        <f>RIIO_2_start_date+1&amp;"/"&amp;RIGHT(RIIO_2_start_date+2,2)</f>
        <v>2023/24</v>
      </c>
      <c r="G112" s="448" t="str">
        <f>RIIO_2_start_date+2&amp;"/"&amp;RIGHT(RIIO_2_start_date+3,2)</f>
        <v>2024/25</v>
      </c>
      <c r="H112" s="448" t="str">
        <f>RIIO_2_start_date+3&amp;"/"&amp;RIGHT(RIIO_2_start_date+4,2)</f>
        <v>2025/26</v>
      </c>
    </row>
    <row r="113" spans="1:19">
      <c r="B113" s="83"/>
      <c r="D113" s="444"/>
      <c r="E113" s="444"/>
      <c r="F113" s="444"/>
      <c r="G113" s="444"/>
      <c r="H113" s="444"/>
      <c r="I113" s="444"/>
    </row>
    <row r="114" spans="1:19">
      <c r="B114" s="586" t="s">
        <v>680</v>
      </c>
      <c r="C114" s="587"/>
      <c r="D114" s="586"/>
      <c r="E114" s="586"/>
      <c r="F114" s="586"/>
      <c r="G114" s="586"/>
      <c r="H114" s="586"/>
      <c r="Q114" s="427"/>
    </row>
    <row r="115" spans="1:19">
      <c r="B115" s="463" t="s">
        <v>681</v>
      </c>
      <c r="C115" s="444" t="s">
        <v>575</v>
      </c>
      <c r="D115" s="565">
        <v>1121</v>
      </c>
      <c r="E115" s="565">
        <v>1251</v>
      </c>
      <c r="F115" s="565">
        <v>1606</v>
      </c>
      <c r="G115" s="565">
        <v>2749</v>
      </c>
      <c r="H115" s="565">
        <v>3851</v>
      </c>
    </row>
    <row r="116" spans="1:19">
      <c r="B116" s="463" t="s">
        <v>682</v>
      </c>
      <c r="C116" s="444" t="s">
        <v>575</v>
      </c>
      <c r="D116" s="565">
        <v>73</v>
      </c>
      <c r="E116" s="565">
        <v>54</v>
      </c>
      <c r="F116" s="565">
        <v>79</v>
      </c>
      <c r="G116" s="565">
        <v>111</v>
      </c>
      <c r="H116" s="565">
        <v>169</v>
      </c>
    </row>
    <row r="117" spans="1:19">
      <c r="B117" s="463" t="s">
        <v>683</v>
      </c>
      <c r="C117" s="444" t="s">
        <v>575</v>
      </c>
      <c r="D117" s="565">
        <v>0</v>
      </c>
      <c r="E117" s="565">
        <v>0</v>
      </c>
      <c r="F117" s="565">
        <v>0</v>
      </c>
      <c r="G117" s="565">
        <v>0</v>
      </c>
      <c r="H117" s="565">
        <v>0</v>
      </c>
    </row>
    <row r="118" spans="1:19">
      <c r="B118" s="463" t="s">
        <v>684</v>
      </c>
      <c r="C118" s="444" t="s">
        <v>575</v>
      </c>
      <c r="D118" s="565">
        <v>-31.346109106700609</v>
      </c>
      <c r="E118" s="565">
        <v>-17.177348561258313</v>
      </c>
      <c r="F118" s="565">
        <v>-77.205906564913448</v>
      </c>
      <c r="G118" s="565">
        <v>-45.018814097084544</v>
      </c>
      <c r="H118" s="565">
        <v>-34.290515649858754</v>
      </c>
    </row>
    <row r="119" spans="1:19">
      <c r="B119" s="463" t="s">
        <v>685</v>
      </c>
      <c r="C119" s="444" t="s">
        <v>575</v>
      </c>
      <c r="D119" s="565">
        <v>-55.546379750000007</v>
      </c>
      <c r="E119" s="565">
        <v>-118.09069867999999</v>
      </c>
      <c r="F119" s="565">
        <v>-117.04022312000001</v>
      </c>
      <c r="G119" s="565">
        <v>-136.01174062000001</v>
      </c>
      <c r="H119" s="565">
        <v>-226.88756504000003</v>
      </c>
      <c r="R119" s="427"/>
      <c r="S119" s="427"/>
    </row>
    <row r="120" spans="1:19">
      <c r="B120" s="463" t="s">
        <v>686</v>
      </c>
      <c r="C120" s="444" t="s">
        <v>575</v>
      </c>
      <c r="D120" s="565">
        <v>0</v>
      </c>
      <c r="E120" s="565">
        <v>0</v>
      </c>
      <c r="F120" s="565">
        <v>0</v>
      </c>
      <c r="G120" s="565">
        <v>0</v>
      </c>
      <c r="H120" s="565">
        <v>0</v>
      </c>
    </row>
    <row r="121" spans="1:19">
      <c r="A121" s="584">
        <v>1</v>
      </c>
      <c r="B121" s="463" t="s">
        <v>606</v>
      </c>
      <c r="C121" s="444" t="s">
        <v>575</v>
      </c>
      <c r="D121" s="565">
        <v>0</v>
      </c>
      <c r="E121" s="565">
        <v>0</v>
      </c>
      <c r="F121" s="565">
        <v>0</v>
      </c>
      <c r="G121" s="565">
        <v>0</v>
      </c>
      <c r="H121" s="565">
        <v>0</v>
      </c>
    </row>
    <row r="122" spans="1:19">
      <c r="A122" s="584">
        <v>2</v>
      </c>
      <c r="B122" s="463" t="s">
        <v>594</v>
      </c>
      <c r="C122" s="444" t="s">
        <v>575</v>
      </c>
      <c r="D122" s="565">
        <v>0</v>
      </c>
      <c r="E122" s="565">
        <v>0</v>
      </c>
      <c r="F122" s="565">
        <v>0</v>
      </c>
      <c r="G122" s="565">
        <v>0</v>
      </c>
      <c r="H122" s="565">
        <v>0</v>
      </c>
    </row>
    <row r="123" spans="1:19">
      <c r="B123" s="586" t="s">
        <v>687</v>
      </c>
      <c r="C123" s="444" t="s">
        <v>575</v>
      </c>
      <c r="D123" s="588">
        <f>SUM(D115:D122)</f>
        <v>1107.1075111432995</v>
      </c>
      <c r="E123" s="589">
        <f>SUM(E115:E122)</f>
        <v>1169.7319527587417</v>
      </c>
      <c r="F123" s="589">
        <f>SUM(F115:F122)</f>
        <v>1490.7538703150865</v>
      </c>
      <c r="G123" s="589">
        <f>SUM(G115:G122)</f>
        <v>2678.9694452829153</v>
      </c>
      <c r="H123" s="590">
        <f>SUM(H115:H122)</f>
        <v>3758.8219193101413</v>
      </c>
    </row>
    <row r="124" spans="1:19">
      <c r="B124" s="586"/>
      <c r="C124" s="586"/>
      <c r="D124" s="586"/>
      <c r="E124" s="586"/>
      <c r="F124" s="586"/>
      <c r="G124" s="586"/>
      <c r="H124" s="586"/>
      <c r="I124" s="586"/>
      <c r="J124" s="586"/>
      <c r="K124" s="586"/>
      <c r="L124" s="586"/>
      <c r="M124" s="586"/>
    </row>
    <row r="125" spans="1:19">
      <c r="A125" s="584"/>
      <c r="B125" s="463" t="s">
        <v>688</v>
      </c>
      <c r="C125" s="444" t="s">
        <v>575</v>
      </c>
      <c r="D125" s="565">
        <v>514</v>
      </c>
      <c r="E125" s="565">
        <v>490</v>
      </c>
      <c r="F125" s="565">
        <v>525</v>
      </c>
      <c r="G125" s="565">
        <v>544</v>
      </c>
      <c r="H125" s="565">
        <v>552</v>
      </c>
    </row>
    <row r="126" spans="1:19" ht="21" customHeight="1">
      <c r="A126" s="584"/>
      <c r="B126" s="591" t="s">
        <v>689</v>
      </c>
      <c r="C126" s="584"/>
      <c r="D126" s="584"/>
      <c r="E126" s="584"/>
      <c r="F126" s="584"/>
      <c r="G126" s="584"/>
      <c r="H126" s="584"/>
      <c r="I126" s="584"/>
      <c r="J126" s="584"/>
      <c r="K126" s="444"/>
    </row>
    <row r="127" spans="1:19">
      <c r="A127" s="584">
        <v>1</v>
      </c>
      <c r="B127" s="463" t="s">
        <v>690</v>
      </c>
      <c r="C127" s="444" t="s">
        <v>575</v>
      </c>
      <c r="D127" s="565">
        <v>475.93311740000001</v>
      </c>
      <c r="E127" s="565">
        <v>487.91083688000049</v>
      </c>
      <c r="F127" s="565">
        <v>562</v>
      </c>
      <c r="G127" s="565">
        <v>834</v>
      </c>
      <c r="H127" s="565">
        <v>771</v>
      </c>
    </row>
    <row r="128" spans="1:19">
      <c r="A128" s="584">
        <v>2</v>
      </c>
      <c r="B128" s="463" t="s">
        <v>606</v>
      </c>
      <c r="C128" s="444" t="s">
        <v>575</v>
      </c>
      <c r="D128" s="565">
        <v>0</v>
      </c>
      <c r="E128" s="565">
        <v>0</v>
      </c>
      <c r="F128" s="565">
        <v>0</v>
      </c>
      <c r="G128" s="565">
        <v>0</v>
      </c>
      <c r="H128" s="565">
        <v>0</v>
      </c>
    </row>
    <row r="129" spans="1:14">
      <c r="A129" s="584">
        <v>3</v>
      </c>
      <c r="B129" s="463" t="s">
        <v>594</v>
      </c>
      <c r="C129" s="444" t="s">
        <v>575</v>
      </c>
      <c r="D129" s="565">
        <v>0</v>
      </c>
      <c r="E129" s="565">
        <v>0</v>
      </c>
      <c r="F129" s="565">
        <v>0</v>
      </c>
      <c r="G129" s="565">
        <v>0</v>
      </c>
      <c r="H129" s="565">
        <v>0</v>
      </c>
    </row>
    <row r="130" spans="1:14">
      <c r="A130" s="584"/>
      <c r="B130" s="586" t="s">
        <v>691</v>
      </c>
      <c r="C130" s="444" t="s">
        <v>575</v>
      </c>
      <c r="D130" s="592">
        <f>SUM(D127:D129)</f>
        <v>475.93311740000001</v>
      </c>
      <c r="E130" s="592">
        <f t="shared" ref="E130:H130" si="41">SUM(E127:E129)</f>
        <v>487.91083688000049</v>
      </c>
      <c r="F130" s="592">
        <f t="shared" si="41"/>
        <v>562</v>
      </c>
      <c r="G130" s="592">
        <f t="shared" si="41"/>
        <v>834</v>
      </c>
      <c r="H130" s="592">
        <f t="shared" si="41"/>
        <v>771</v>
      </c>
    </row>
    <row r="131" spans="1:14">
      <c r="A131" s="584"/>
      <c r="B131" s="586"/>
      <c r="C131" s="586"/>
      <c r="D131" s="586"/>
      <c r="E131" s="586"/>
      <c r="F131" s="586"/>
      <c r="G131" s="586"/>
      <c r="H131" s="586"/>
      <c r="I131" s="586"/>
      <c r="J131" s="586"/>
      <c r="K131" s="586"/>
      <c r="L131" s="586"/>
      <c r="M131" s="586"/>
      <c r="N131" s="586"/>
    </row>
    <row r="132" spans="1:14" s="591" customFormat="1" ht="15" customHeight="1">
      <c r="B132" s="593" t="s">
        <v>692</v>
      </c>
      <c r="C132" s="557" t="s">
        <v>575</v>
      </c>
      <c r="D132" s="553">
        <f>SUM(D123,D125,D130)</f>
        <v>2097.0406285432996</v>
      </c>
      <c r="E132" s="553">
        <f t="shared" ref="E132:H132" si="42">SUM(E123,E125,E130)</f>
        <v>2147.6427896387422</v>
      </c>
      <c r="F132" s="553">
        <f t="shared" si="42"/>
        <v>2577.7538703150867</v>
      </c>
      <c r="G132" s="553">
        <f t="shared" si="42"/>
        <v>4056.9694452829153</v>
      </c>
      <c r="H132" s="553">
        <f t="shared" si="42"/>
        <v>5081.8219193101413</v>
      </c>
    </row>
    <row r="133" spans="1:14" ht="10.5" customHeight="1">
      <c r="B133" s="83"/>
      <c r="D133" s="594"/>
      <c r="E133" s="594"/>
      <c r="F133" s="594"/>
      <c r="G133" s="594"/>
      <c r="H133" s="594"/>
    </row>
    <row r="134" spans="1:14" ht="26.9" customHeight="1">
      <c r="B134" s="586" t="s">
        <v>693</v>
      </c>
    </row>
    <row r="135" spans="1:14">
      <c r="B135" s="595" t="s">
        <v>694</v>
      </c>
    </row>
    <row r="136" spans="1:14">
      <c r="A136" s="584">
        <v>1</v>
      </c>
      <c r="B136" s="463" t="s">
        <v>688</v>
      </c>
      <c r="C136" s="444" t="s">
        <v>575</v>
      </c>
      <c r="D136" s="565">
        <v>-514.01419069000008</v>
      </c>
      <c r="E136" s="565">
        <v>-490</v>
      </c>
      <c r="F136" s="565">
        <v>-525</v>
      </c>
      <c r="G136" s="565">
        <v>-544</v>
      </c>
      <c r="H136" s="565">
        <v>-552</v>
      </c>
    </row>
    <row r="137" spans="1:14" ht="7.4" customHeight="1">
      <c r="A137" s="584"/>
      <c r="B137" s="584"/>
      <c r="C137" s="584"/>
      <c r="D137" s="584"/>
      <c r="E137" s="584"/>
    </row>
    <row r="138" spans="1:14">
      <c r="A138" s="584">
        <v>2</v>
      </c>
      <c r="B138" s="463" t="s">
        <v>695</v>
      </c>
      <c r="C138" s="444" t="s">
        <v>575</v>
      </c>
      <c r="D138" s="565">
        <v>11.270770519999999</v>
      </c>
      <c r="E138" s="565">
        <v>43.812708499999978</v>
      </c>
      <c r="F138" s="565">
        <v>-1.3113102199999618</v>
      </c>
      <c r="G138" s="565">
        <v>7.5166529999986881E-2</v>
      </c>
      <c r="H138" s="565">
        <v>3.6548199999928469E-3</v>
      </c>
    </row>
    <row r="139" spans="1:14">
      <c r="A139" s="584">
        <v>3</v>
      </c>
      <c r="B139" s="463" t="s">
        <v>696</v>
      </c>
      <c r="C139" s="444" t="s">
        <v>575</v>
      </c>
      <c r="D139" s="565">
        <v>-2.1505633162007012</v>
      </c>
      <c r="E139" s="565">
        <v>1.6290810200782753</v>
      </c>
      <c r="F139" s="565">
        <v>-1.5784659357952371</v>
      </c>
      <c r="G139" s="565">
        <v>2.8657029255083586</v>
      </c>
      <c r="H139" s="565">
        <v>1.2849479350721253</v>
      </c>
    </row>
    <row r="140" spans="1:14">
      <c r="A140" s="584">
        <v>4</v>
      </c>
      <c r="B140" s="463" t="s">
        <v>697</v>
      </c>
      <c r="C140" s="444" t="s">
        <v>575</v>
      </c>
      <c r="D140" s="565">
        <v>11.221392713237574</v>
      </c>
      <c r="E140" s="565">
        <v>9.8259037008678209</v>
      </c>
      <c r="F140" s="565">
        <v>12.337792934432215</v>
      </c>
      <c r="G140" s="565">
        <v>13.360793270149898</v>
      </c>
      <c r="H140" s="565">
        <v>15.090268881637401</v>
      </c>
    </row>
    <row r="141" spans="1:14">
      <c r="A141" s="584">
        <v>5</v>
      </c>
      <c r="B141" s="463" t="s">
        <v>698</v>
      </c>
      <c r="C141" s="444" t="s">
        <v>575</v>
      </c>
      <c r="D141" s="565">
        <v>14.048723233633567</v>
      </c>
      <c r="E141" s="565">
        <v>5.6655496886552337</v>
      </c>
      <c r="F141" s="565">
        <v>2.0828274943953886</v>
      </c>
      <c r="G141" s="565">
        <v>-36.499537709999991</v>
      </c>
      <c r="H141" s="565">
        <v>-16.740329788358643</v>
      </c>
    </row>
    <row r="142" spans="1:14">
      <c r="A142" s="584">
        <v>6</v>
      </c>
      <c r="B142" s="463" t="s">
        <v>699</v>
      </c>
      <c r="C142" s="444" t="s">
        <v>575</v>
      </c>
      <c r="D142" s="565">
        <v>35.406993632195757</v>
      </c>
      <c r="E142" s="565">
        <v>38.7494985542384</v>
      </c>
      <c r="F142" s="565">
        <v>18.636293056219124</v>
      </c>
      <c r="G142" s="565">
        <v>0.16263533738526839</v>
      </c>
      <c r="H142" s="565">
        <v>-0.81906128356418662</v>
      </c>
    </row>
    <row r="143" spans="1:14">
      <c r="A143" s="584">
        <v>7</v>
      </c>
      <c r="B143" s="463" t="s">
        <v>700</v>
      </c>
      <c r="C143" s="444" t="s">
        <v>575</v>
      </c>
      <c r="D143" s="565">
        <v>0.20921526000000001</v>
      </c>
      <c r="E143" s="565">
        <v>7.6992139999999945E-2</v>
      </c>
      <c r="F143" s="565">
        <v>-0.23335692999999999</v>
      </c>
      <c r="G143" s="565">
        <v>0.16861258000000007</v>
      </c>
      <c r="H143" s="565">
        <v>-1</v>
      </c>
    </row>
    <row r="144" spans="1:14">
      <c r="A144" s="584">
        <v>8</v>
      </c>
      <c r="B144" s="463" t="s">
        <v>701</v>
      </c>
      <c r="C144" s="444" t="s">
        <v>575</v>
      </c>
      <c r="D144" s="565">
        <v>-10.14</v>
      </c>
      <c r="E144" s="565">
        <v>0</v>
      </c>
      <c r="F144" s="565">
        <v>0</v>
      </c>
      <c r="G144" s="565">
        <v>0</v>
      </c>
      <c r="H144" s="565">
        <v>0</v>
      </c>
    </row>
    <row r="145" spans="1:8">
      <c r="A145" s="584">
        <v>9</v>
      </c>
      <c r="B145" s="463" t="s">
        <v>702</v>
      </c>
      <c r="C145" s="444" t="s">
        <v>575</v>
      </c>
      <c r="D145" s="565">
        <v>-25.327796750000001</v>
      </c>
      <c r="E145" s="565">
        <v>-78.29880786999945</v>
      </c>
      <c r="F145" s="565">
        <v>-115.43303996000026</v>
      </c>
      <c r="G145" s="565">
        <v>-336.00299372000001</v>
      </c>
      <c r="H145" s="565">
        <v>-263.92951248000054</v>
      </c>
    </row>
    <row r="146" spans="1:8">
      <c r="A146" s="584">
        <v>10</v>
      </c>
      <c r="B146" s="463" t="s">
        <v>703</v>
      </c>
      <c r="C146" s="444" t="s">
        <v>575</v>
      </c>
      <c r="D146" s="565">
        <v>-2.0920259128931198</v>
      </c>
      <c r="E146" s="565">
        <v>-0.88121964405600006</v>
      </c>
      <c r="F146" s="565">
        <v>-2.7434443911009998</v>
      </c>
      <c r="G146" s="565">
        <v>-1.5618135770579999</v>
      </c>
      <c r="H146" s="565">
        <v>-1.2931122474818293</v>
      </c>
    </row>
    <row r="147" spans="1:8">
      <c r="A147" s="584">
        <v>11</v>
      </c>
      <c r="B147" s="463" t="s">
        <v>704</v>
      </c>
      <c r="C147" s="444" t="s">
        <v>575</v>
      </c>
      <c r="D147" s="565">
        <v>-13.177296419999999</v>
      </c>
      <c r="E147" s="565">
        <v>3.5640228399999998</v>
      </c>
      <c r="F147" s="565">
        <v>0.70883149000000001</v>
      </c>
      <c r="G147" s="565">
        <v>-3.1989846200000001</v>
      </c>
      <c r="H147" s="565">
        <v>3</v>
      </c>
    </row>
    <row r="148" spans="1:8">
      <c r="A148" s="584">
        <v>12</v>
      </c>
      <c r="B148" s="463" t="s">
        <v>705</v>
      </c>
      <c r="C148" s="444" t="s">
        <v>575</v>
      </c>
      <c r="D148" s="565">
        <v>-0.44962628999999998</v>
      </c>
      <c r="E148" s="565">
        <v>0</v>
      </c>
      <c r="F148" s="565">
        <v>0</v>
      </c>
      <c r="G148" s="565">
        <v>0</v>
      </c>
      <c r="H148" s="565">
        <v>0</v>
      </c>
    </row>
    <row r="149" spans="1:8">
      <c r="A149" s="584">
        <v>13</v>
      </c>
      <c r="B149" s="463" t="s">
        <v>706</v>
      </c>
      <c r="C149" s="444" t="s">
        <v>575</v>
      </c>
      <c r="D149" s="565">
        <v>-1.7199499066686967</v>
      </c>
      <c r="E149" s="565">
        <v>0</v>
      </c>
      <c r="F149" s="565">
        <v>0</v>
      </c>
      <c r="G149" s="565">
        <v>0</v>
      </c>
      <c r="H149" s="565">
        <v>0</v>
      </c>
    </row>
    <row r="150" spans="1:8">
      <c r="A150" s="584">
        <v>14</v>
      </c>
      <c r="B150" s="463" t="s">
        <v>707</v>
      </c>
      <c r="C150" s="444" t="s">
        <v>575</v>
      </c>
      <c r="D150" s="565">
        <v>-0.27477699999999999</v>
      </c>
      <c r="E150" s="565">
        <v>0</v>
      </c>
      <c r="F150" s="565">
        <v>0</v>
      </c>
      <c r="G150" s="565">
        <v>0</v>
      </c>
      <c r="H150" s="565">
        <v>-5.4999999999999997E-3</v>
      </c>
    </row>
    <row r="151" spans="1:8">
      <c r="A151" s="584">
        <v>15</v>
      </c>
      <c r="B151" s="463" t="s">
        <v>708</v>
      </c>
      <c r="C151" s="444" t="s">
        <v>575</v>
      </c>
      <c r="D151" s="565">
        <v>0</v>
      </c>
      <c r="E151" s="565">
        <v>0</v>
      </c>
      <c r="F151" s="565">
        <v>0</v>
      </c>
      <c r="G151" s="565">
        <v>0</v>
      </c>
      <c r="H151" s="565">
        <v>0</v>
      </c>
    </row>
    <row r="152" spans="1:8">
      <c r="A152" s="584">
        <v>16</v>
      </c>
      <c r="B152" s="463" t="s">
        <v>709</v>
      </c>
      <c r="C152" s="444" t="s">
        <v>575</v>
      </c>
      <c r="D152" s="565">
        <v>0</v>
      </c>
      <c r="E152" s="565">
        <v>0</v>
      </c>
      <c r="F152" s="565">
        <v>0</v>
      </c>
      <c r="G152" s="565">
        <v>-11.75</v>
      </c>
      <c r="H152" s="565">
        <v>0</v>
      </c>
    </row>
    <row r="153" spans="1:8">
      <c r="A153" s="584">
        <v>17</v>
      </c>
      <c r="B153" s="463" t="s">
        <v>710</v>
      </c>
      <c r="C153" s="444" t="s">
        <v>575</v>
      </c>
      <c r="D153" s="565">
        <v>0</v>
      </c>
      <c r="E153" s="565">
        <v>0</v>
      </c>
      <c r="F153" s="565">
        <v>0</v>
      </c>
      <c r="G153" s="565">
        <v>-0.43498750000000003</v>
      </c>
      <c r="H153" s="565">
        <v>-2.9094047500000002</v>
      </c>
    </row>
    <row r="154" spans="1:8">
      <c r="A154" s="584">
        <v>18</v>
      </c>
      <c r="B154" s="463" t="s">
        <v>711</v>
      </c>
      <c r="C154" s="444" t="s">
        <v>575</v>
      </c>
      <c r="D154" s="565">
        <v>0</v>
      </c>
      <c r="E154" s="565">
        <v>-2.0224021400000005</v>
      </c>
      <c r="F154" s="565">
        <v>-1.0823021799999921</v>
      </c>
      <c r="G154" s="565">
        <v>-0.95105835072761935</v>
      </c>
      <c r="H154" s="565">
        <v>4.04221962</v>
      </c>
    </row>
    <row r="155" spans="1:8">
      <c r="A155" s="584">
        <v>19</v>
      </c>
      <c r="B155" s="463" t="s">
        <v>712</v>
      </c>
      <c r="C155" s="444" t="s">
        <v>575</v>
      </c>
      <c r="D155" s="565">
        <v>0</v>
      </c>
      <c r="E155" s="565">
        <v>0</v>
      </c>
      <c r="F155" s="565">
        <v>0</v>
      </c>
      <c r="G155" s="565">
        <v>0</v>
      </c>
      <c r="H155" s="565">
        <v>6.4103250600000017</v>
      </c>
    </row>
    <row r="156" spans="1:8">
      <c r="A156" s="584">
        <v>20</v>
      </c>
      <c r="B156" s="463" t="s">
        <v>713</v>
      </c>
      <c r="C156" s="444" t="s">
        <v>575</v>
      </c>
      <c r="D156" s="565">
        <v>0</v>
      </c>
      <c r="E156" s="565">
        <v>0</v>
      </c>
      <c r="F156" s="565">
        <v>0</v>
      </c>
      <c r="G156" s="565">
        <v>0</v>
      </c>
      <c r="H156" s="565">
        <v>25.729558842867664</v>
      </c>
    </row>
    <row r="157" spans="1:8">
      <c r="A157" s="584">
        <v>21</v>
      </c>
      <c r="B157" s="463" t="s">
        <v>594</v>
      </c>
      <c r="C157" s="444" t="s">
        <v>575</v>
      </c>
      <c r="D157" s="565">
        <v>0</v>
      </c>
      <c r="E157" s="565">
        <v>0</v>
      </c>
      <c r="F157" s="565">
        <v>0</v>
      </c>
      <c r="G157" s="565">
        <v>0</v>
      </c>
      <c r="H157" s="565">
        <v>0</v>
      </c>
    </row>
    <row r="158" spans="1:8" ht="18.75" customHeight="1">
      <c r="A158" s="584"/>
      <c r="B158" s="83" t="s">
        <v>714</v>
      </c>
      <c r="C158" s="444" t="s">
        <v>575</v>
      </c>
      <c r="D158" s="596">
        <f>SUM(D138:D157)</f>
        <v>16.825059763304377</v>
      </c>
      <c r="E158" s="596">
        <f t="shared" ref="E158:H158" si="43">SUM(E138:E157)</f>
        <v>22.121326789784256</v>
      </c>
      <c r="F158" s="596">
        <f t="shared" si="43"/>
        <v>-88.61617464184971</v>
      </c>
      <c r="G158" s="596">
        <f t="shared" si="43"/>
        <v>-373.76646483474207</v>
      </c>
      <c r="H158" s="596">
        <f t="shared" si="43"/>
        <v>-231.13594538982795</v>
      </c>
    </row>
    <row r="159" spans="1:8">
      <c r="A159" s="584"/>
      <c r="B159" s="595" t="s">
        <v>715</v>
      </c>
      <c r="C159" s="586"/>
      <c r="D159" s="586"/>
      <c r="E159" s="586"/>
      <c r="F159" s="586"/>
      <c r="G159" s="586"/>
      <c r="H159" s="586"/>
    </row>
    <row r="160" spans="1:8">
      <c r="A160" s="584">
        <v>22</v>
      </c>
      <c r="B160" s="463" t="s">
        <v>697</v>
      </c>
      <c r="C160" s="444" t="s">
        <v>575</v>
      </c>
      <c r="D160" s="565">
        <v>-7.0273700000000003</v>
      </c>
      <c r="E160" s="565">
        <v>-9.9307647299999999</v>
      </c>
      <c r="F160" s="565">
        <v>-25.684208999999999</v>
      </c>
      <c r="G160" s="565">
        <v>-43.360239849999999</v>
      </c>
      <c r="H160" s="565">
        <v>-34.980386850000002</v>
      </c>
    </row>
    <row r="161" spans="1:19">
      <c r="A161" s="584">
        <v>23</v>
      </c>
      <c r="B161" s="463" t="s">
        <v>716</v>
      </c>
      <c r="C161" s="444" t="s">
        <v>575</v>
      </c>
      <c r="D161" s="565">
        <v>-10.067034462545061</v>
      </c>
      <c r="E161" s="565">
        <v>-30.284058691278567</v>
      </c>
      <c r="F161" s="565">
        <v>-162.20179998844662</v>
      </c>
      <c r="G161" s="565">
        <v>-880.08142624597576</v>
      </c>
      <c r="H161" s="565">
        <v>-1911.7166439423015</v>
      </c>
    </row>
    <row r="162" spans="1:19">
      <c r="A162" s="584">
        <v>24</v>
      </c>
      <c r="B162" s="463" t="s">
        <v>696</v>
      </c>
      <c r="C162" s="444" t="s">
        <v>575</v>
      </c>
      <c r="D162" s="565">
        <v>-1.3009763399957528</v>
      </c>
      <c r="E162" s="565">
        <v>-2.2616952189813397</v>
      </c>
      <c r="F162" s="565">
        <v>0.45508262416066048</v>
      </c>
      <c r="G162" s="565">
        <v>-3.8012965727203207</v>
      </c>
      <c r="H162" s="565">
        <v>0.19736744232085668</v>
      </c>
    </row>
    <row r="163" spans="1:19">
      <c r="A163" s="584">
        <v>25</v>
      </c>
      <c r="B163" s="463" t="s">
        <v>717</v>
      </c>
      <c r="C163" s="444" t="s">
        <v>575</v>
      </c>
      <c r="D163" s="565">
        <v>-0.39315991450403659</v>
      </c>
      <c r="E163" s="565">
        <v>-2.5003635899999996</v>
      </c>
      <c r="F163" s="565">
        <v>-4.1859869999999999</v>
      </c>
      <c r="G163" s="565">
        <v>-2.9026053300000001</v>
      </c>
      <c r="H163" s="565">
        <v>-4.77634238</v>
      </c>
      <c r="R163" s="427"/>
      <c r="S163" s="427"/>
    </row>
    <row r="164" spans="1:19">
      <c r="A164" s="584">
        <v>26</v>
      </c>
      <c r="B164" s="463" t="s">
        <v>718</v>
      </c>
      <c r="C164" s="444" t="s">
        <v>575</v>
      </c>
      <c r="D164" s="565">
        <v>0</v>
      </c>
      <c r="E164" s="565">
        <v>-8.482690299999998</v>
      </c>
      <c r="F164" s="565">
        <v>0</v>
      </c>
      <c r="G164" s="565">
        <v>0</v>
      </c>
      <c r="H164" s="565">
        <v>0</v>
      </c>
      <c r="R164" s="427"/>
      <c r="S164" s="427"/>
    </row>
    <row r="165" spans="1:19">
      <c r="A165" s="584">
        <v>27</v>
      </c>
      <c r="B165" s="463" t="s">
        <v>719</v>
      </c>
      <c r="C165" s="444" t="s">
        <v>575</v>
      </c>
      <c r="D165" s="565">
        <v>5.3181282814668274</v>
      </c>
      <c r="E165" s="565">
        <v>18.573640214373036</v>
      </c>
      <c r="F165" s="565">
        <v>-25.725168608815768</v>
      </c>
      <c r="G165" s="565">
        <v>0</v>
      </c>
      <c r="H165" s="565">
        <v>0</v>
      </c>
      <c r="R165" s="427"/>
      <c r="S165" s="427"/>
    </row>
    <row r="166" spans="1:19">
      <c r="A166" s="584">
        <v>28</v>
      </c>
      <c r="B166" s="463" t="s">
        <v>720</v>
      </c>
      <c r="C166" s="444" t="s">
        <v>575</v>
      </c>
      <c r="D166" s="565">
        <v>0</v>
      </c>
      <c r="E166" s="565">
        <v>0</v>
      </c>
      <c r="F166" s="565">
        <v>4.1778420000000001</v>
      </c>
      <c r="G166" s="565">
        <v>6.8498416200000003</v>
      </c>
      <c r="H166" s="565">
        <v>-8.4191296199999996</v>
      </c>
      <c r="R166" s="427"/>
      <c r="S166" s="427"/>
    </row>
    <row r="167" spans="1:19">
      <c r="A167" s="584">
        <v>29</v>
      </c>
      <c r="B167" s="463" t="s">
        <v>713</v>
      </c>
      <c r="D167" s="565">
        <v>0</v>
      </c>
      <c r="E167" s="565">
        <v>0</v>
      </c>
      <c r="F167" s="565">
        <v>0</v>
      </c>
      <c r="G167" s="565">
        <v>0</v>
      </c>
      <c r="H167" s="565">
        <v>-25.729558842867664</v>
      </c>
      <c r="R167" s="427"/>
      <c r="S167" s="427"/>
    </row>
    <row r="168" spans="1:19">
      <c r="A168" s="584">
        <v>30</v>
      </c>
      <c r="B168" s="463" t="s">
        <v>721</v>
      </c>
      <c r="D168" s="565">
        <v>0</v>
      </c>
      <c r="E168" s="565">
        <v>0</v>
      </c>
      <c r="F168" s="565">
        <v>1.6338721</v>
      </c>
      <c r="G168" s="565">
        <v>0.98503426999999999</v>
      </c>
      <c r="H168" s="565">
        <v>10.433244420000001</v>
      </c>
      <c r="R168" s="427"/>
      <c r="S168" s="427"/>
    </row>
    <row r="169" spans="1:19">
      <c r="A169" s="584">
        <v>31</v>
      </c>
      <c r="B169" s="463" t="s">
        <v>722</v>
      </c>
      <c r="D169" s="565">
        <v>0.65842295993471889</v>
      </c>
      <c r="E169" s="565">
        <v>0.26510631126103468</v>
      </c>
      <c r="F169" s="565">
        <v>-1.1809019594126065</v>
      </c>
      <c r="G169" s="565">
        <v>-6.0671523099343778</v>
      </c>
      <c r="H169" s="565">
        <v>0</v>
      </c>
      <c r="R169" s="427"/>
      <c r="S169" s="427"/>
    </row>
    <row r="170" spans="1:19">
      <c r="A170" s="584">
        <v>32</v>
      </c>
      <c r="B170" s="463" t="s">
        <v>723</v>
      </c>
      <c r="D170" s="565">
        <v>0</v>
      </c>
      <c r="E170" s="565">
        <v>0</v>
      </c>
      <c r="F170" s="565">
        <v>0</v>
      </c>
      <c r="G170" s="565">
        <v>0</v>
      </c>
      <c r="H170" s="565">
        <v>-39</v>
      </c>
      <c r="R170" s="427"/>
      <c r="S170" s="427"/>
    </row>
    <row r="171" spans="1:19">
      <c r="A171" s="584">
        <v>33</v>
      </c>
      <c r="B171" s="463" t="s">
        <v>594</v>
      </c>
      <c r="D171" s="565">
        <v>0</v>
      </c>
      <c r="E171" s="565">
        <v>0</v>
      </c>
      <c r="F171" s="565">
        <v>0</v>
      </c>
      <c r="G171" s="565">
        <v>0</v>
      </c>
      <c r="H171" s="565">
        <v>0</v>
      </c>
      <c r="R171" s="427"/>
      <c r="S171" s="427"/>
    </row>
    <row r="172" spans="1:19">
      <c r="A172" s="584">
        <v>34</v>
      </c>
      <c r="B172" s="463" t="s">
        <v>594</v>
      </c>
      <c r="D172" s="565">
        <v>0</v>
      </c>
      <c r="E172" s="565">
        <v>0</v>
      </c>
      <c r="F172" s="565">
        <v>0</v>
      </c>
      <c r="G172" s="565">
        <v>0</v>
      </c>
      <c r="H172" s="565">
        <v>0</v>
      </c>
      <c r="R172" s="427"/>
      <c r="S172" s="427"/>
    </row>
    <row r="173" spans="1:19" ht="19.5" customHeight="1" thickBot="1">
      <c r="A173" s="584"/>
      <c r="B173" s="83" t="s">
        <v>724</v>
      </c>
      <c r="C173" s="444" t="s">
        <v>575</v>
      </c>
      <c r="D173" s="597">
        <f>SUM(D160:D172)</f>
        <v>-12.811989475643305</v>
      </c>
      <c r="E173" s="597">
        <f>SUM(E160:E172)</f>
        <v>-34.620826004625833</v>
      </c>
      <c r="F173" s="597">
        <f>SUM(F160:F172)</f>
        <v>-212.71126983251438</v>
      </c>
      <c r="G173" s="597">
        <f>SUM(G160:G172)</f>
        <v>-928.37784441863039</v>
      </c>
      <c r="H173" s="597">
        <f>SUM(H160:H172)</f>
        <v>-2013.9914497728482</v>
      </c>
      <c r="R173" s="427"/>
      <c r="S173" s="427"/>
    </row>
    <row r="174" spans="1:19" ht="17.899999999999999" customHeight="1" thickBot="1">
      <c r="B174" s="586" t="s">
        <v>725</v>
      </c>
      <c r="C174" s="444" t="s">
        <v>575</v>
      </c>
      <c r="D174" s="598">
        <f>D136+D158+D173</f>
        <v>-510.00112040233904</v>
      </c>
      <c r="E174" s="599">
        <f>E136+E158+E173</f>
        <v>-502.49949921484159</v>
      </c>
      <c r="F174" s="599">
        <f>F136+F158+F173</f>
        <v>-826.32744447436414</v>
      </c>
      <c r="G174" s="599">
        <f>G136+G158+G173</f>
        <v>-1846.1443092533723</v>
      </c>
      <c r="H174" s="600">
        <f>H136+H158+H173</f>
        <v>-2797.1273951626763</v>
      </c>
      <c r="R174" s="427"/>
      <c r="S174" s="427"/>
    </row>
    <row r="175" spans="1:19">
      <c r="B175" s="83"/>
      <c r="D175" s="594"/>
      <c r="E175" s="594"/>
      <c r="F175" s="594"/>
      <c r="G175" s="594"/>
      <c r="H175" s="594"/>
      <c r="R175" s="427"/>
      <c r="S175" s="427"/>
    </row>
    <row r="176" spans="1:19">
      <c r="B176" s="586" t="s">
        <v>726</v>
      </c>
      <c r="C176" s="444" t="s">
        <v>575</v>
      </c>
      <c r="D176" s="553">
        <f>D174+D132</f>
        <v>1587.0395081409606</v>
      </c>
      <c r="E176" s="553">
        <f>E174+E132</f>
        <v>1645.1432904239007</v>
      </c>
      <c r="F176" s="553">
        <f>F174+F132</f>
        <v>1751.4264258407225</v>
      </c>
      <c r="G176" s="553">
        <f>G174+G132</f>
        <v>2210.825136029543</v>
      </c>
      <c r="H176" s="553">
        <f>H174+H132</f>
        <v>2284.694524147465</v>
      </c>
      <c r="R176" s="510"/>
      <c r="S176" s="427"/>
    </row>
    <row r="177" spans="1:19">
      <c r="B177" s="83" t="s">
        <v>727</v>
      </c>
      <c r="C177" s="444" t="str">
        <f>Price_basis</f>
        <v>£m 18/19</v>
      </c>
      <c r="D177" s="601">
        <v>1463.0131740205711</v>
      </c>
      <c r="E177" s="601">
        <v>1394.2279343758557</v>
      </c>
      <c r="F177" s="601">
        <v>1406.2992952836385</v>
      </c>
      <c r="G177" s="601">
        <v>1719.8795978060186</v>
      </c>
      <c r="H177" s="601">
        <v>1712.5116676260559</v>
      </c>
      <c r="I177" s="83" t="s">
        <v>728</v>
      </c>
      <c r="R177" s="427"/>
      <c r="S177" s="427"/>
    </row>
    <row r="178" spans="1:19">
      <c r="B178" s="83" t="s">
        <v>729</v>
      </c>
      <c r="C178" s="444" t="s">
        <v>575</v>
      </c>
      <c r="D178" s="601">
        <v>0</v>
      </c>
      <c r="E178" s="601">
        <v>0</v>
      </c>
      <c r="F178" s="601">
        <v>0</v>
      </c>
      <c r="G178" s="601">
        <v>0</v>
      </c>
      <c r="H178" s="601">
        <v>0</v>
      </c>
      <c r="I178" s="83" t="s">
        <v>728</v>
      </c>
    </row>
    <row r="179" spans="1:19">
      <c r="B179" s="83" t="s">
        <v>730</v>
      </c>
      <c r="C179" s="444" t="s">
        <v>575</v>
      </c>
      <c r="D179" s="602">
        <f>IF(Licensee="ESO",D178, IF(Sector="ED2",D178,D177*INDEX(real_to_nominal_CF,MATCH(D6,calendar_year,0))))</f>
        <v>1587.0525956847478</v>
      </c>
      <c r="E179" s="602">
        <f>IF(Licensee="ESO",E178, IF(Sector="ED2",E178,E177*INDEX(real_to_nominal_CF,MATCH(E6,calendar_year,0))))</f>
        <v>1645.1385123243156</v>
      </c>
      <c r="F179" s="602">
        <f>IF(Licensee="ESO",F178, IF(Sector="ED2",F178,F177*INDEX(real_to_nominal_CF,MATCH(F6,calendar_year,0))))</f>
        <v>1751.4265813220172</v>
      </c>
      <c r="G179" s="602">
        <f>IF(Licensee="ESO",G178, IF(Sector="ED2",G178,G177*INDEX(real_to_nominal_CF,MATCH(G6,calendar_year,0))))</f>
        <v>2210.8249032751241</v>
      </c>
      <c r="H179" s="602">
        <f>IF(Licensee="ESO",H178, IF(Sector="ED2",H178,H177*INDEX(real_to_nominal_CF,MATCH(H6,calendar_year,0))))</f>
        <v>2284.7000241474652</v>
      </c>
      <c r="I179" s="427"/>
      <c r="R179" s="427"/>
      <c r="S179" s="427"/>
    </row>
    <row r="180" spans="1:19">
      <c r="B180" s="83"/>
      <c r="C180" s="444" t="s">
        <v>731</v>
      </c>
      <c r="D180" s="603" t="str">
        <f>IF(ISNUMBER(D179),IF(D$110="Actuals",IF(ABS(D176-D179)&lt;materiality_threshold,"OK","ERROR"),"N/A"))</f>
        <v>OK</v>
      </c>
      <c r="E180" s="603" t="str">
        <f>IF(ISNUMBER(E179),IF(E$110="Actuals",IF(ABS(E176-E179)&lt;materiality_threshold,"OK","ERROR"),"N/A"))</f>
        <v>OK</v>
      </c>
      <c r="F180" s="603" t="str">
        <f>IF(ISNUMBER(F179),IF(F$110="Actuals",IF(ABS(F176-F179)&lt;materiality_threshold,"OK","ERROR"),"N/A"))</f>
        <v>OK</v>
      </c>
      <c r="G180" s="603" t="str">
        <f>IF(ISNUMBER(G179),IF(G$110="Actuals",IF(ABS(G176-G179)&lt;materiality_threshold,"OK","ERROR"),"N/A"))</f>
        <v>OK</v>
      </c>
      <c r="H180" s="603" t="str">
        <f>IF(ISNUMBER(H179),IF(H$110="Actuals",IF(ABS(H176-H179)&lt;materiality_threshold,"OK","ERROR"),"N/A"))</f>
        <v>OK</v>
      </c>
      <c r="I180" s="604"/>
      <c r="R180" s="427"/>
      <c r="S180" s="427"/>
    </row>
    <row r="181" spans="1:19">
      <c r="B181" s="83" t="s">
        <v>247</v>
      </c>
      <c r="R181" s="427"/>
      <c r="S181" s="427"/>
    </row>
    <row r="182" spans="1:19">
      <c r="B182" s="586" t="s">
        <v>732</v>
      </c>
    </row>
    <row r="183" spans="1:19">
      <c r="A183" s="584">
        <v>1</v>
      </c>
      <c r="B183" s="463" t="s">
        <v>733</v>
      </c>
      <c r="C183" s="444" t="s">
        <v>575</v>
      </c>
      <c r="D183" s="565">
        <v>24.110924930000028</v>
      </c>
      <c r="E183" s="565">
        <v>11.336483509999999</v>
      </c>
      <c r="F183" s="565">
        <v>28.246760100000007</v>
      </c>
      <c r="G183" s="565">
        <v>17.377733442661178</v>
      </c>
      <c r="H183" s="565">
        <v>25.495911300000003</v>
      </c>
    </row>
    <row r="184" spans="1:19">
      <c r="A184" s="584">
        <v>2</v>
      </c>
      <c r="B184" s="463" t="s">
        <v>734</v>
      </c>
      <c r="C184" s="444" t="s">
        <v>575</v>
      </c>
      <c r="D184" s="565">
        <v>157.22594120219605</v>
      </c>
      <c r="E184" s="565">
        <v>163.64310595423834</v>
      </c>
      <c r="F184" s="565">
        <v>111.74101475648946</v>
      </c>
      <c r="G184" s="565">
        <v>100.83035604092609</v>
      </c>
      <c r="H184" s="565">
        <v>106.0694532264358</v>
      </c>
    </row>
    <row r="185" spans="1:19">
      <c r="A185" s="584">
        <v>3</v>
      </c>
      <c r="B185" s="463" t="s">
        <v>735</v>
      </c>
      <c r="C185" s="444" t="s">
        <v>575</v>
      </c>
      <c r="D185" s="565">
        <v>10.332481694921039</v>
      </c>
      <c r="E185" s="565">
        <v>12.294563362792381</v>
      </c>
      <c r="F185" s="565">
        <v>17.572318033000002</v>
      </c>
      <c r="G185" s="565">
        <v>21.429364113923743</v>
      </c>
      <c r="H185" s="565">
        <v>24.536264029057989</v>
      </c>
    </row>
    <row r="186" spans="1:19">
      <c r="A186" s="584">
        <v>4</v>
      </c>
      <c r="B186" s="463" t="s">
        <v>736</v>
      </c>
      <c r="C186" s="444" t="s">
        <v>575</v>
      </c>
      <c r="D186" s="565">
        <v>3.9295329749323753</v>
      </c>
      <c r="E186" s="565">
        <v>9.3461392001002892</v>
      </c>
      <c r="F186" s="565">
        <v>4.5559709699999971</v>
      </c>
      <c r="G186" s="565">
        <v>4.6533667800000007</v>
      </c>
      <c r="H186" s="565">
        <v>2.0066081299999983</v>
      </c>
    </row>
    <row r="187" spans="1:19">
      <c r="A187" s="584">
        <v>5</v>
      </c>
      <c r="B187" s="463" t="s">
        <v>737</v>
      </c>
      <c r="C187" s="444" t="s">
        <v>575</v>
      </c>
      <c r="D187" s="565">
        <v>-8.6496716026312868</v>
      </c>
      <c r="E187" s="565">
        <v>-28.796836442330793</v>
      </c>
      <c r="F187" s="565">
        <v>-343.95717509561126</v>
      </c>
      <c r="G187" s="565">
        <v>-953.25658976105694</v>
      </c>
      <c r="H187" s="565">
        <v>-2245.0473263023127</v>
      </c>
    </row>
    <row r="188" spans="1:19">
      <c r="A188" s="584">
        <v>6</v>
      </c>
      <c r="B188" s="463" t="s">
        <v>606</v>
      </c>
      <c r="C188" s="444" t="s">
        <v>575</v>
      </c>
      <c r="D188" s="565">
        <v>0</v>
      </c>
      <c r="E188" s="565">
        <v>0</v>
      </c>
      <c r="F188" s="565">
        <v>0</v>
      </c>
      <c r="G188" s="565">
        <v>0</v>
      </c>
      <c r="H188" s="565">
        <v>0</v>
      </c>
    </row>
    <row r="189" spans="1:19">
      <c r="A189" s="584">
        <v>7</v>
      </c>
      <c r="B189" s="463" t="s">
        <v>606</v>
      </c>
      <c r="C189" s="444" t="s">
        <v>575</v>
      </c>
      <c r="D189" s="565">
        <v>0</v>
      </c>
      <c r="E189" s="565">
        <v>0</v>
      </c>
      <c r="F189" s="565">
        <v>0</v>
      </c>
      <c r="G189" s="565">
        <v>0</v>
      </c>
      <c r="H189" s="565">
        <v>0</v>
      </c>
    </row>
    <row r="190" spans="1:19">
      <c r="A190" s="584">
        <v>8</v>
      </c>
      <c r="B190" s="463" t="s">
        <v>606</v>
      </c>
      <c r="C190" s="444" t="s">
        <v>575</v>
      </c>
      <c r="D190" s="565">
        <v>0</v>
      </c>
      <c r="E190" s="565">
        <v>0</v>
      </c>
      <c r="F190" s="565">
        <v>0</v>
      </c>
      <c r="G190" s="565">
        <v>0</v>
      </c>
      <c r="H190" s="565">
        <v>0</v>
      </c>
    </row>
    <row r="191" spans="1:19">
      <c r="A191" s="584">
        <v>9</v>
      </c>
      <c r="B191" s="463" t="s">
        <v>606</v>
      </c>
      <c r="C191" s="444" t="s">
        <v>575</v>
      </c>
      <c r="D191" s="565">
        <v>0</v>
      </c>
      <c r="E191" s="565">
        <v>0</v>
      </c>
      <c r="F191" s="565">
        <v>0</v>
      </c>
      <c r="G191" s="565">
        <v>0</v>
      </c>
      <c r="H191" s="565">
        <v>0</v>
      </c>
    </row>
    <row r="192" spans="1:19">
      <c r="A192" s="584">
        <v>10</v>
      </c>
      <c r="B192" s="463" t="s">
        <v>606</v>
      </c>
      <c r="C192" s="444" t="s">
        <v>575</v>
      </c>
      <c r="D192" s="565">
        <v>0</v>
      </c>
      <c r="E192" s="565">
        <v>0</v>
      </c>
      <c r="F192" s="565">
        <v>0</v>
      </c>
      <c r="G192" s="565">
        <v>0</v>
      </c>
      <c r="H192" s="565">
        <v>0</v>
      </c>
    </row>
    <row r="193" spans="1:19">
      <c r="A193" s="584">
        <v>11</v>
      </c>
      <c r="B193" s="463" t="s">
        <v>606</v>
      </c>
      <c r="C193" s="444" t="s">
        <v>575</v>
      </c>
      <c r="D193" s="565">
        <v>0</v>
      </c>
      <c r="E193" s="565">
        <v>0</v>
      </c>
      <c r="F193" s="565">
        <v>0</v>
      </c>
      <c r="G193" s="565">
        <v>0</v>
      </c>
      <c r="H193" s="565">
        <v>0</v>
      </c>
    </row>
    <row r="194" spans="1:19">
      <c r="A194" s="584">
        <v>12</v>
      </c>
      <c r="B194" s="463" t="s">
        <v>606</v>
      </c>
      <c r="C194" s="444" t="s">
        <v>575</v>
      </c>
      <c r="D194" s="565">
        <v>0</v>
      </c>
      <c r="E194" s="565">
        <v>0</v>
      </c>
      <c r="F194" s="565">
        <v>0</v>
      </c>
      <c r="G194" s="565">
        <v>0</v>
      </c>
      <c r="H194" s="565">
        <v>0</v>
      </c>
    </row>
    <row r="195" spans="1:19">
      <c r="A195" s="584">
        <v>13</v>
      </c>
      <c r="B195" s="463" t="s">
        <v>606</v>
      </c>
      <c r="C195" s="444" t="s">
        <v>575</v>
      </c>
      <c r="D195" s="565">
        <v>0</v>
      </c>
      <c r="E195" s="565">
        <v>0</v>
      </c>
      <c r="F195" s="565">
        <v>0</v>
      </c>
      <c r="G195" s="565">
        <v>0</v>
      </c>
      <c r="H195" s="565">
        <v>0</v>
      </c>
    </row>
    <row r="196" spans="1:19">
      <c r="A196" s="584">
        <v>14</v>
      </c>
      <c r="B196" s="463" t="s">
        <v>606</v>
      </c>
      <c r="C196" s="444" t="s">
        <v>575</v>
      </c>
      <c r="D196" s="565">
        <v>0</v>
      </c>
      <c r="E196" s="565">
        <v>0</v>
      </c>
      <c r="F196" s="565">
        <v>0</v>
      </c>
      <c r="G196" s="565">
        <v>0</v>
      </c>
      <c r="H196" s="565">
        <v>0</v>
      </c>
      <c r="R196" s="427"/>
      <c r="S196" s="427"/>
    </row>
    <row r="197" spans="1:19">
      <c r="A197" s="584">
        <v>15</v>
      </c>
      <c r="B197" s="463" t="s">
        <v>606</v>
      </c>
      <c r="C197" s="444" t="s">
        <v>575</v>
      </c>
      <c r="D197" s="565">
        <v>0</v>
      </c>
      <c r="E197" s="565">
        <v>0</v>
      </c>
      <c r="F197" s="565">
        <v>0</v>
      </c>
      <c r="G197" s="565">
        <v>0</v>
      </c>
      <c r="H197" s="565">
        <v>0</v>
      </c>
      <c r="R197" s="427"/>
      <c r="S197" s="427"/>
    </row>
    <row r="198" spans="1:19">
      <c r="A198" s="584">
        <v>16</v>
      </c>
      <c r="B198" s="463" t="s">
        <v>606</v>
      </c>
      <c r="C198" s="444" t="s">
        <v>575</v>
      </c>
      <c r="D198" s="565">
        <v>0</v>
      </c>
      <c r="E198" s="565">
        <v>0</v>
      </c>
      <c r="F198" s="565">
        <v>0</v>
      </c>
      <c r="G198" s="565">
        <v>0</v>
      </c>
      <c r="H198" s="565">
        <v>0</v>
      </c>
      <c r="R198" s="427"/>
      <c r="S198" s="427"/>
    </row>
    <row r="199" spans="1:19">
      <c r="A199" s="584">
        <v>17</v>
      </c>
      <c r="B199" s="463" t="s">
        <v>606</v>
      </c>
      <c r="C199" s="444" t="s">
        <v>575</v>
      </c>
      <c r="D199" s="565">
        <v>0</v>
      </c>
      <c r="E199" s="565">
        <v>0</v>
      </c>
      <c r="F199" s="565">
        <v>0</v>
      </c>
      <c r="G199" s="565">
        <v>0</v>
      </c>
      <c r="H199" s="565">
        <v>0</v>
      </c>
      <c r="R199" s="427"/>
      <c r="S199" s="427"/>
    </row>
    <row r="200" spans="1:19">
      <c r="A200" s="584">
        <v>18</v>
      </c>
      <c r="B200" s="463" t="s">
        <v>606</v>
      </c>
      <c r="C200" s="444" t="s">
        <v>575</v>
      </c>
      <c r="D200" s="565">
        <v>0</v>
      </c>
      <c r="E200" s="565">
        <v>0</v>
      </c>
      <c r="F200" s="565">
        <v>0</v>
      </c>
      <c r="G200" s="565">
        <v>0</v>
      </c>
      <c r="H200" s="565">
        <v>0</v>
      </c>
      <c r="R200" s="427"/>
      <c r="S200" s="427"/>
    </row>
    <row r="201" spans="1:19">
      <c r="A201" s="584">
        <v>19</v>
      </c>
      <c r="B201" s="463" t="s">
        <v>606</v>
      </c>
      <c r="C201" s="444" t="s">
        <v>575</v>
      </c>
      <c r="D201" s="565">
        <v>0</v>
      </c>
      <c r="E201" s="565">
        <v>0</v>
      </c>
      <c r="F201" s="565">
        <v>0</v>
      </c>
      <c r="G201" s="565">
        <v>0</v>
      </c>
      <c r="H201" s="565">
        <v>0</v>
      </c>
      <c r="R201" s="427"/>
      <c r="S201" s="427"/>
    </row>
    <row r="202" spans="1:19">
      <c r="A202" s="584">
        <v>20</v>
      </c>
      <c r="B202" s="463" t="s">
        <v>606</v>
      </c>
      <c r="C202" s="444" t="s">
        <v>575</v>
      </c>
      <c r="D202" s="565">
        <v>0</v>
      </c>
      <c r="E202" s="565">
        <v>0</v>
      </c>
      <c r="F202" s="565">
        <v>0</v>
      </c>
      <c r="G202" s="565">
        <v>0</v>
      </c>
      <c r="H202" s="565">
        <v>0</v>
      </c>
      <c r="R202" s="427"/>
      <c r="S202" s="427"/>
    </row>
    <row r="203" spans="1:19">
      <c r="A203" s="584">
        <v>21</v>
      </c>
      <c r="B203" s="463" t="s">
        <v>606</v>
      </c>
      <c r="C203" s="444" t="s">
        <v>575</v>
      </c>
      <c r="D203" s="565">
        <v>0</v>
      </c>
      <c r="E203" s="565">
        <v>0</v>
      </c>
      <c r="F203" s="565">
        <v>0</v>
      </c>
      <c r="G203" s="565">
        <v>0</v>
      </c>
      <c r="H203" s="565">
        <v>0</v>
      </c>
      <c r="R203" s="427"/>
      <c r="S203" s="427"/>
    </row>
    <row r="204" spans="1:19">
      <c r="A204" s="584">
        <v>22</v>
      </c>
      <c r="B204" s="463" t="s">
        <v>606</v>
      </c>
      <c r="C204" s="444" t="s">
        <v>575</v>
      </c>
      <c r="D204" s="565">
        <v>0</v>
      </c>
      <c r="E204" s="565">
        <v>0</v>
      </c>
      <c r="F204" s="565">
        <v>0</v>
      </c>
      <c r="G204" s="565">
        <v>0</v>
      </c>
      <c r="H204" s="565">
        <v>0</v>
      </c>
      <c r="R204" s="427"/>
      <c r="S204" s="427"/>
    </row>
    <row r="205" spans="1:19">
      <c r="A205" s="584">
        <v>23</v>
      </c>
      <c r="B205" s="463" t="s">
        <v>606</v>
      </c>
      <c r="C205" s="444" t="s">
        <v>575</v>
      </c>
      <c r="D205" s="565">
        <v>0</v>
      </c>
      <c r="E205" s="565">
        <v>0</v>
      </c>
      <c r="F205" s="565">
        <v>0</v>
      </c>
      <c r="G205" s="565">
        <v>0</v>
      </c>
      <c r="H205" s="565">
        <v>0</v>
      </c>
      <c r="R205" s="427"/>
      <c r="S205" s="427"/>
    </row>
    <row r="206" spans="1:19">
      <c r="A206" s="584">
        <v>24</v>
      </c>
      <c r="B206" s="463" t="s">
        <v>606</v>
      </c>
      <c r="C206" s="444" t="s">
        <v>575</v>
      </c>
      <c r="D206" s="565">
        <v>0</v>
      </c>
      <c r="E206" s="565">
        <v>0</v>
      </c>
      <c r="F206" s="565">
        <v>0</v>
      </c>
      <c r="G206" s="565">
        <v>0</v>
      </c>
      <c r="H206" s="565">
        <v>0</v>
      </c>
      <c r="R206" s="510"/>
      <c r="S206" s="427"/>
    </row>
    <row r="207" spans="1:19">
      <c r="A207" s="584">
        <v>25</v>
      </c>
      <c r="B207" s="463" t="s">
        <v>606</v>
      </c>
      <c r="C207" s="444" t="s">
        <v>575</v>
      </c>
      <c r="D207" s="565">
        <v>0</v>
      </c>
      <c r="E207" s="565">
        <v>0</v>
      </c>
      <c r="F207" s="565">
        <v>0</v>
      </c>
      <c r="G207" s="565">
        <v>0</v>
      </c>
      <c r="H207" s="565">
        <v>0</v>
      </c>
      <c r="R207" s="427"/>
      <c r="S207" s="427"/>
    </row>
    <row r="208" spans="1:19">
      <c r="B208" s="586" t="s">
        <v>738</v>
      </c>
      <c r="C208" s="444" t="s">
        <v>575</v>
      </c>
      <c r="D208" s="553">
        <f>SUM(D183:D207)</f>
        <v>186.94920919941822</v>
      </c>
      <c r="E208" s="553">
        <f t="shared" ref="E208:H208" si="44">SUM(E183:E207)</f>
        <v>167.8234555848002</v>
      </c>
      <c r="F208" s="553">
        <f t="shared" si="44"/>
        <v>-181.8411112361218</v>
      </c>
      <c r="G208" s="553">
        <f t="shared" si="44"/>
        <v>-808.96576938354588</v>
      </c>
      <c r="H208" s="553">
        <f t="shared" si="44"/>
        <v>-2086.9390896168188</v>
      </c>
      <c r="R208" s="427"/>
      <c r="S208" s="427"/>
    </row>
    <row r="209" spans="2:19">
      <c r="B209" s="83"/>
      <c r="D209" s="444"/>
      <c r="E209" s="444"/>
      <c r="F209" s="444"/>
      <c r="G209" s="444"/>
      <c r="H209" s="444"/>
      <c r="I209" s="444"/>
      <c r="J209" s="444"/>
      <c r="R209" s="427"/>
      <c r="S209" s="427"/>
    </row>
    <row r="210" spans="2:19">
      <c r="B210" s="586" t="s">
        <v>739</v>
      </c>
      <c r="C210" s="444" t="s">
        <v>575</v>
      </c>
      <c r="D210" s="553">
        <f>D176-D208</f>
        <v>1400.0902989415424</v>
      </c>
      <c r="E210" s="553">
        <f t="shared" ref="E210:H210" si="45">E176-E208</f>
        <v>1477.3198348391004</v>
      </c>
      <c r="F210" s="553">
        <f t="shared" si="45"/>
        <v>1933.2675370768443</v>
      </c>
      <c r="G210" s="553">
        <f t="shared" si="45"/>
        <v>3019.7909054130887</v>
      </c>
      <c r="H210" s="553">
        <f t="shared" si="45"/>
        <v>4371.6336137642838</v>
      </c>
    </row>
    <row r="211" spans="2:19">
      <c r="B211" s="586" t="s">
        <v>740</v>
      </c>
      <c r="C211" s="444" t="s">
        <v>575</v>
      </c>
      <c r="D211" s="605">
        <f>('R3 - Totex - Reconciliation'!D$13+'R3 - Totex - Reconciliation'!D$49+'R3 - Totex - Reconciliation'!D78)*INDEX(real_to_nominal_CF,MATCH(D$111,calendar_year,0))</f>
        <v>1400.1427379673908</v>
      </c>
      <c r="E211" s="605">
        <f>('R3 - Totex - Reconciliation'!E$13+'R3 - Totex - Reconciliation'!E$49+'R3 - Totex - Reconciliation'!E78)*INDEX(real_to_nominal_CF,MATCH(E$111,calendar_year,0))</f>
        <v>1477.2926374223305</v>
      </c>
      <c r="F211" s="605">
        <f>('R3 - Totex - Reconciliation'!F$13+'R3 - Totex - Reconciliation'!F$49+'R3 - Totex - Reconciliation'!F78)*INDEX(real_to_nominal_CF,MATCH(F$111,calendar_year,0))</f>
        <v>1933.2932723346667</v>
      </c>
      <c r="G211" s="605">
        <f>('R3 - Totex - Reconciliation'!G$13+'R3 - Totex - Reconciliation'!G$49+'R3 - Totex - Reconciliation'!G78)*INDEX(real_to_nominal_CF,MATCH(G$111,calendar_year,0))</f>
        <v>3019.7517907496081</v>
      </c>
      <c r="H211" s="606">
        <f>('R3 - Totex - Reconciliation'!H$13+'R3 - Totex - Reconciliation'!H$49+'R3 - Totex - Reconciliation'!H78)*INDEX(real_to_nominal_CF,MATCH(H$111,calendar_year,0))</f>
        <v>4371.6336137642857</v>
      </c>
      <c r="I211" s="83" t="s">
        <v>741</v>
      </c>
    </row>
    <row r="212" spans="2:19">
      <c r="B212" s="83"/>
      <c r="C212" s="444" t="s">
        <v>731</v>
      </c>
      <c r="D212" s="607" t="str">
        <f>IF(D$110="Actuals",IF(ABS(D210-('R3 - Totex - Reconciliation'!D13+'R3 - Totex - Reconciliation'!D49+D78)*INDEX(real_to_nominal_CF,MATCH(D6,Data!$F$33:$L$33,0)))&lt;materiality_threshold,"OK","Error"),"N/A")</f>
        <v>OK</v>
      </c>
      <c r="E212" s="607" t="str">
        <f>IF(E$110="Actuals",IF(ABS(E210-('R3 - Totex - Reconciliation'!E13+'R3 - Totex - Reconciliation'!E49+E78)*INDEX(real_to_nominal_CF,MATCH(E6,Data!$F$33:$L$33,0)))&lt;materiality_threshold,"OK","Error"),"N/A")</f>
        <v>OK</v>
      </c>
      <c r="F212" s="607" t="str">
        <f>IF(F$110="Actuals",IF(ABS(F210-('R3 - Totex - Reconciliation'!F13+'R3 - Totex - Reconciliation'!F49+F78)*INDEX(real_to_nominal_CF,MATCH(F6,Data!$F$33:$L$33,0)))&lt;materiality_threshold,"OK","Error"),"N/A")</f>
        <v>OK</v>
      </c>
      <c r="G212" s="607" t="str">
        <f>IF(G$110="Actuals",IF(ABS(G210-('R3 - Totex - Reconciliation'!G13+'R3 - Totex - Reconciliation'!G49+G78)*INDEX(real_to_nominal_CF,MATCH(G6,Data!$F$33:$L$33,0)))&lt;materiality_threshold,"OK","Error"),"N/A")</f>
        <v>OK</v>
      </c>
      <c r="H212" s="607" t="str">
        <f>IF(H$110="Actuals",IF(ABS(H210-('R3 - Totex - Reconciliation'!H13+'R3 - Totex - Reconciliation'!H49+H78)*INDEX(real_to_nominal_CF,MATCH(H6,Data!$F$33:$L$33,0)))&lt;materiality_threshold,"OK","Error"),"N/A")</f>
        <v>OK</v>
      </c>
      <c r="I212" s="83" t="s">
        <v>742</v>
      </c>
    </row>
    <row r="213" spans="2:19">
      <c r="B213" s="83"/>
      <c r="C213" s="83"/>
    </row>
    <row r="214" spans="2:19">
      <c r="B214" s="510" t="s">
        <v>743</v>
      </c>
    </row>
    <row r="216" spans="2:19">
      <c r="B216" s="511" t="s">
        <v>643</v>
      </c>
      <c r="C216" s="427"/>
      <c r="D216" s="427"/>
      <c r="E216" s="427"/>
      <c r="F216" s="427"/>
    </row>
    <row r="217" spans="2:19">
      <c r="B217" s="512"/>
      <c r="C217" s="513"/>
      <c r="D217" s="513"/>
      <c r="E217" s="513"/>
      <c r="F217" s="608"/>
    </row>
    <row r="218" spans="2:19">
      <c r="B218" s="516"/>
      <c r="C218" s="517"/>
      <c r="D218" s="518"/>
      <c r="E218" s="519"/>
      <c r="F218" s="520"/>
    </row>
    <row r="219" spans="2:19">
      <c r="B219" s="516"/>
      <c r="C219" s="517"/>
      <c r="D219" s="518"/>
      <c r="E219" s="519"/>
      <c r="F219" s="520"/>
    </row>
    <row r="220" spans="2:19">
      <c r="B220" s="516"/>
      <c r="C220" s="517"/>
      <c r="D220" s="518"/>
      <c r="E220" s="519"/>
      <c r="F220" s="520"/>
    </row>
    <row r="221" spans="2:19">
      <c r="B221" s="516"/>
      <c r="C221" s="517"/>
      <c r="D221" s="518"/>
      <c r="E221" s="519"/>
      <c r="F221" s="520"/>
      <c r="R221" s="427"/>
      <c r="S221" s="427"/>
    </row>
    <row r="222" spans="2:19">
      <c r="B222" s="521"/>
      <c r="C222" s="522"/>
      <c r="D222" s="523"/>
      <c r="E222" s="524"/>
      <c r="F222" s="525"/>
    </row>
    <row r="239" s="83" customFormat="1"/>
    <row r="240" s="83" customFormat="1"/>
    <row r="241" spans="2:3">
      <c r="B241" s="83"/>
      <c r="C241" s="83"/>
    </row>
    <row r="242" spans="2:3">
      <c r="B242" s="83"/>
      <c r="C242" s="83"/>
    </row>
    <row r="243" spans="2:3">
      <c r="B243" s="83"/>
      <c r="C243" s="83"/>
    </row>
    <row r="244" spans="2:3">
      <c r="B244" s="83"/>
      <c r="C244" s="83"/>
    </row>
    <row r="245" spans="2:3">
      <c r="B245" s="83"/>
      <c r="C245" s="83"/>
    </row>
    <row r="246" spans="2:3">
      <c r="B246" s="83"/>
      <c r="C246" s="83"/>
    </row>
    <row r="250" spans="2:3" ht="12.75" customHeight="1"/>
    <row r="257" ht="29.25" customHeight="1"/>
  </sheetData>
  <sheetProtection insertRows="0"/>
  <mergeCells count="1">
    <mergeCell ref="K15:M15"/>
  </mergeCells>
  <conditionalFormatting sqref="B42">
    <cfRule type="expression" dxfId="61" priority="14">
      <formula>$B$53="n/a"</formula>
    </cfRule>
  </conditionalFormatting>
  <conditionalFormatting sqref="B71">
    <cfRule type="expression" dxfId="60" priority="13">
      <formula>$B$53="n/a"</formula>
    </cfRule>
  </conditionalFormatting>
  <conditionalFormatting sqref="B95">
    <cfRule type="expression" dxfId="59" priority="12">
      <formula>$B$53="n/a"</formula>
    </cfRule>
  </conditionalFormatting>
  <conditionalFormatting sqref="C23:C32 B48:C56 B75:C75 Q75:T75 C76 B77:C86 B99:C99">
    <cfRule type="expression" dxfId="58" priority="17">
      <formula>$B$47="n/a"</formula>
    </cfRule>
  </conditionalFormatting>
  <conditionalFormatting sqref="C35:C37">
    <cfRule type="expression" dxfId="57" priority="4">
      <formula>$B$47="n/a"</formula>
    </cfRule>
  </conditionalFormatting>
  <conditionalFormatting sqref="C39:C40">
    <cfRule type="expression" dxfId="56" priority="2">
      <formula>$B$47="n/a"</formula>
    </cfRule>
  </conditionalFormatting>
  <conditionalFormatting sqref="C47">
    <cfRule type="expression" dxfId="55" priority="22">
      <formula>$B$47="n/a"</formula>
    </cfRule>
  </conditionalFormatting>
  <conditionalFormatting sqref="C59:C61">
    <cfRule type="expression" dxfId="54" priority="16">
      <formula>$B$47="n/a"</formula>
    </cfRule>
  </conditionalFormatting>
  <conditionalFormatting sqref="C64:C66">
    <cfRule type="expression" dxfId="53" priority="3">
      <formula>$B$47="n/a"</formula>
    </cfRule>
  </conditionalFormatting>
  <conditionalFormatting sqref="C68:C69">
    <cfRule type="expression" dxfId="52" priority="1">
      <formula>$B$47="n/a"</formula>
    </cfRule>
  </conditionalFormatting>
  <conditionalFormatting sqref="C88:C90">
    <cfRule type="expression" dxfId="51" priority="15">
      <formula>$B$47="n/a"</formula>
    </cfRule>
  </conditionalFormatting>
  <conditionalFormatting sqref="C92:C93">
    <cfRule type="expression" dxfId="50" priority="5">
      <formula>$B$46="n/a"</formula>
    </cfRule>
  </conditionalFormatting>
  <conditionalFormatting sqref="D5:G6">
    <cfRule type="expression" dxfId="49" priority="23">
      <formula>AND(D$5="Actuals",E$5="Forecast")</formula>
    </cfRule>
  </conditionalFormatting>
  <conditionalFormatting sqref="D110:G111">
    <cfRule type="expression" dxfId="48" priority="21">
      <formula>AND(D$5="Actuals",E$5="N/A")</formula>
    </cfRule>
  </conditionalFormatting>
  <conditionalFormatting sqref="D7:H7">
    <cfRule type="expression" dxfId="47" priority="20">
      <formula>AND(D$5="Actuals",E$5="Forecast")</formula>
    </cfRule>
  </conditionalFormatting>
  <conditionalFormatting sqref="D112:H112">
    <cfRule type="expression" dxfId="46" priority="19">
      <formula>AND(D$5="Actuals",E$5="Forecast")</formula>
    </cfRule>
  </conditionalFormatting>
  <conditionalFormatting sqref="D130:H130 D208:H208">
    <cfRule type="expression" dxfId="45" priority="10">
      <formula>D$110="N/A"</formula>
    </cfRule>
  </conditionalFormatting>
  <conditionalFormatting sqref="D132:H132">
    <cfRule type="expression" dxfId="44" priority="18">
      <formula>D$110="N/A"</formula>
    </cfRule>
  </conditionalFormatting>
  <conditionalFormatting sqref="D158:H158">
    <cfRule type="expression" dxfId="43" priority="7">
      <formula>D$110="N/A"</formula>
    </cfRule>
  </conditionalFormatting>
  <conditionalFormatting sqref="D173:H174">
    <cfRule type="expression" dxfId="42" priority="6">
      <formula>D$110="N/A"</formula>
    </cfRule>
  </conditionalFormatting>
  <conditionalFormatting sqref="D176:H178">
    <cfRule type="expression" dxfId="41" priority="8">
      <formula>D$110="N/A"</formula>
    </cfRule>
  </conditionalFormatting>
  <conditionalFormatting sqref="D181:H182">
    <cfRule type="expression" dxfId="40" priority="9">
      <formula>D$110="N/A"</formula>
    </cfRule>
  </conditionalFormatting>
  <conditionalFormatting sqref="E123:H123">
    <cfRule type="expression" dxfId="39" priority="11">
      <formula>E$110="N/A"</formula>
    </cfRule>
  </conditionalFormatting>
  <conditionalFormatting sqref="H5:H6">
    <cfRule type="expression" dxfId="38" priority="24">
      <formula>AND(H$5="Actuals",#REF!="Forecast")</formula>
    </cfRule>
  </conditionalFormatting>
  <conditionalFormatting sqref="H110:H111">
    <cfRule type="expression" dxfId="37" priority="25">
      <formula>AND(H$5="Actuals",#REF!="N/A")</formula>
    </cfRule>
  </conditionalFormatting>
  <pageMargins left="0.70866141732283472" right="0.70866141732283472" top="0.74803149606299213" bottom="0.74803149606299213" header="0.31496062992125984" footer="0.31496062992125984"/>
  <pageSetup paperSize="8" scale="51" orientation="landscape" r:id="rId1"/>
  <headerFooter>
    <oddFooter>&amp;C_x000D_&amp;1#&amp;"Calibri"&amp;10&amp;K000000 OFFICIAL-InternalOnly</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7C331-834A-4D7B-9859-1DDFC19873DF}">
  <sheetPr>
    <tabColor rgb="FFFFFFCC"/>
    <pageSetUpPr fitToPage="1"/>
  </sheetPr>
  <dimension ref="A1:N82"/>
  <sheetViews>
    <sheetView topLeftCell="A65" zoomScale="85" zoomScaleNormal="85" workbookViewId="0">
      <selection activeCell="D20" sqref="D20"/>
    </sheetView>
  </sheetViews>
  <sheetFormatPr defaultColWidth="9" defaultRowHeight="13.5"/>
  <cols>
    <col min="1" max="1" width="8.3828125" style="427" customWidth="1"/>
    <col min="2" max="2" width="71.3828125" style="427" bestFit="1" customWidth="1"/>
    <col min="3" max="3" width="13.3828125" style="444" customWidth="1"/>
    <col min="4" max="8" width="11.15234375" style="427" customWidth="1"/>
    <col min="9" max="9" width="12.84375" style="427" customWidth="1"/>
    <col min="10" max="10" width="12.765625" style="427" customWidth="1"/>
    <col min="11" max="11" width="5.765625" style="427" bestFit="1" customWidth="1"/>
    <col min="12" max="16384" width="9" style="427"/>
  </cols>
  <sheetData>
    <row r="1" spans="1:14" ht="20">
      <c r="A1" s="609" t="s">
        <v>744</v>
      </c>
      <c r="B1" s="610"/>
      <c r="C1" s="611"/>
      <c r="D1" s="612"/>
      <c r="E1" s="612"/>
      <c r="F1" s="612"/>
      <c r="G1" s="612"/>
      <c r="H1" s="612"/>
      <c r="I1" s="529"/>
      <c r="J1" s="529"/>
      <c r="K1" s="530"/>
    </row>
    <row r="2" spans="1:14" ht="20">
      <c r="A2" s="433" t="str">
        <f>Licensee</f>
        <v>NGET (TO)</v>
      </c>
      <c r="B2" s="613"/>
      <c r="C2" s="614"/>
      <c r="D2" s="615"/>
      <c r="E2" s="615"/>
      <c r="F2" s="615"/>
      <c r="G2" s="615"/>
      <c r="H2" s="615"/>
      <c r="I2" s="531"/>
      <c r="J2" s="531"/>
      <c r="K2" s="437"/>
    </row>
    <row r="3" spans="1:14" ht="20">
      <c r="A3" s="438">
        <f>Reporting_Year</f>
        <v>2026</v>
      </c>
      <c r="B3" s="436"/>
      <c r="C3" s="616"/>
      <c r="D3" s="617"/>
      <c r="E3" s="617"/>
      <c r="F3" s="617"/>
      <c r="G3" s="617"/>
      <c r="H3" s="617"/>
      <c r="I3" s="532"/>
      <c r="J3" s="532"/>
      <c r="K3" s="442"/>
    </row>
    <row r="4" spans="1:14" s="83" customFormat="1" ht="12.75" customHeight="1">
      <c r="B4" s="584"/>
      <c r="C4" s="444"/>
    </row>
    <row r="5" spans="1:14" s="83" customFormat="1" ht="21.75" customHeight="1">
      <c r="B5" s="584"/>
      <c r="C5" s="444"/>
      <c r="D5" s="445" t="str">
        <f t="shared" ref="D5:I5" si="0">IF(D6&lt;=Reporting_Year,"Actuals","Forecast")</f>
        <v>Actuals</v>
      </c>
      <c r="E5" s="445" t="str">
        <f t="shared" si="0"/>
        <v>Actuals</v>
      </c>
      <c r="F5" s="445" t="str">
        <f t="shared" si="0"/>
        <v>Actuals</v>
      </c>
      <c r="G5" s="445" t="str">
        <f t="shared" si="0"/>
        <v>Actuals</v>
      </c>
      <c r="H5" s="445" t="str">
        <f t="shared" si="0"/>
        <v>Actuals</v>
      </c>
      <c r="I5" s="445" t="str">
        <f t="shared" si="0"/>
        <v>Forecast</v>
      </c>
    </row>
    <row r="6" spans="1:14" s="83" customFormat="1" ht="29.25" customHeight="1">
      <c r="C6" s="444"/>
      <c r="D6" s="533">
        <f>'RFPR cover'!$C$6</f>
        <v>2022</v>
      </c>
      <c r="E6" s="534">
        <f>D6+1</f>
        <v>2023</v>
      </c>
      <c r="F6" s="534">
        <f t="shared" ref="F6:H6" si="1">E6+1</f>
        <v>2024</v>
      </c>
      <c r="G6" s="534">
        <f t="shared" si="1"/>
        <v>2025</v>
      </c>
      <c r="H6" s="534">
        <f t="shared" si="1"/>
        <v>2026</v>
      </c>
      <c r="I6" s="535" t="str">
        <f>"Cumulative to "&amp;'RFPR cover'!$C$9</f>
        <v>Cumulative to 2026</v>
      </c>
      <c r="J6" s="536" t="s">
        <v>535</v>
      </c>
    </row>
    <row r="7" spans="1:14" s="83" customFormat="1">
      <c r="C7" s="444"/>
      <c r="D7" s="448" t="str">
        <f>RIIO_2_start_date-1&amp;"/"&amp;RIGHT(RIIO_2_start_date,2)</f>
        <v>2021/22</v>
      </c>
      <c r="E7" s="448" t="str">
        <f>RIIO_2_start_date&amp;"/"&amp;RIGHT(RIIO_2_start_date+1,2)</f>
        <v>2022/23</v>
      </c>
      <c r="F7" s="448" t="str">
        <f>RIIO_2_start_date+1&amp;"/"&amp;RIGHT(RIIO_2_start_date+2,2)</f>
        <v>2023/24</v>
      </c>
      <c r="G7" s="448" t="str">
        <f>RIIO_2_start_date+2&amp;"/"&amp;RIGHT(RIIO_2_start_date+3,2)</f>
        <v>2024/25</v>
      </c>
      <c r="H7" s="448" t="str">
        <f>RIIO_2_start_date+3&amp;"/"&amp;RIGHT(RIIO_2_start_date+4,2)</f>
        <v>2025/26</v>
      </c>
    </row>
    <row r="8" spans="1:14" s="83" customFormat="1" ht="17.5">
      <c r="B8" s="618" t="s">
        <v>745</v>
      </c>
      <c r="C8" s="451"/>
      <c r="D8" s="452"/>
      <c r="E8" s="452"/>
      <c r="F8" s="452"/>
      <c r="G8" s="452"/>
      <c r="H8" s="452"/>
      <c r="I8" s="452"/>
      <c r="J8" s="452"/>
      <c r="K8" s="452"/>
    </row>
    <row r="9" spans="1:14" s="83" customFormat="1">
      <c r="N9" s="366"/>
    </row>
    <row r="10" spans="1:14" s="83" customFormat="1"/>
    <row r="11" spans="1:14" s="83" customFormat="1"/>
    <row r="12" spans="1:14" s="83" customFormat="1">
      <c r="A12" s="619" t="s">
        <v>539</v>
      </c>
      <c r="B12" s="586" t="s">
        <v>746</v>
      </c>
      <c r="C12" s="545" t="str">
        <f>Data!$C$9</f>
        <v>£m 18/19</v>
      </c>
      <c r="D12" s="620">
        <f>INDEX(Data!$C$98:$I$126,MATCH($A$2,Data!$B$98:$B$126,0),MATCH(D$6,Data!$C$97:$I$97))</f>
        <v>-13</v>
      </c>
      <c r="E12" s="620">
        <f>INDEX(Data!$C$98:$I$126,MATCH($A$2,Data!$B$98:$B$126,0),MATCH(E$6,Data!$C$97:$I$97))</f>
        <v>-13</v>
      </c>
      <c r="F12" s="620">
        <f>INDEX(Data!$C$98:$I$126,MATCH($A$2,Data!$B$98:$B$126,0),MATCH(F$6,Data!$C$97:$I$97))</f>
        <v>-13</v>
      </c>
      <c r="G12" s="620">
        <f>INDEX(Data!$C$98:$I$126,MATCH($A$2,Data!$B$98:$B$126,0),MATCH(G$6,Data!$C$97:$I$97))</f>
        <v>-13</v>
      </c>
      <c r="H12" s="620">
        <f>INDEX(Data!$C$98:$I$126,MATCH($A$2,Data!$B$98:$B$126,0),MATCH(H$6,Data!$C$97:$I$97))</f>
        <v>-13</v>
      </c>
      <c r="I12" s="620">
        <f>SUM(D12:INDEX(D12:H12,0,MATCH('RFPR cover'!$C$9,$D$6:$H$6,0)))</f>
        <v>-65</v>
      </c>
      <c r="J12" s="621">
        <f>SUM(D12:H12)</f>
        <v>-65</v>
      </c>
    </row>
    <row r="13" spans="1:14" s="83" customFormat="1" ht="19.5" customHeight="1">
      <c r="A13" s="619"/>
      <c r="B13" s="622" t="s">
        <v>747</v>
      </c>
    </row>
    <row r="14" spans="1:14" s="83" customFormat="1">
      <c r="A14" s="619" t="s">
        <v>540</v>
      </c>
      <c r="B14" s="623" t="str">
        <f>Data!B132</f>
        <v>Energy not supplied ODI - (SpC 4.2)</v>
      </c>
      <c r="C14" s="545" t="str">
        <f>Data!$C$9</f>
        <v>£m 18/19</v>
      </c>
      <c r="D14" s="624">
        <v>0.83399659199999998</v>
      </c>
      <c r="E14" s="624">
        <v>0.98304835200000018</v>
      </c>
      <c r="F14" s="624">
        <v>1.01909808</v>
      </c>
      <c r="G14" s="624">
        <v>-1.4711062079999999</v>
      </c>
      <c r="H14" s="624">
        <v>0.81874478399999995</v>
      </c>
      <c r="I14" s="547">
        <f>SUM(D14:INDEX(D14:H14,0,MATCH('RFPR cover'!$C$9,$D$6:$H$6,0)))</f>
        <v>2.1837816000000001</v>
      </c>
      <c r="J14" s="548">
        <f t="shared" ref="J14:J22" si="2">SUM(D14:H14)</f>
        <v>2.1837816000000001</v>
      </c>
    </row>
    <row r="15" spans="1:14" s="83" customFormat="1">
      <c r="A15" s="619" t="s">
        <v>541</v>
      </c>
      <c r="B15" s="623" t="str">
        <f>Data!B133</f>
        <v>Insulation And Interruption Gas emissions ODI - (SpC 4.3)</v>
      </c>
      <c r="C15" s="545" t="str">
        <f>Data!$C$9</f>
        <v>£m 18/19</v>
      </c>
      <c r="D15" s="624">
        <v>1.4363531536907477</v>
      </c>
      <c r="E15" s="624">
        <v>1.1102640846564948</v>
      </c>
      <c r="F15" s="624">
        <v>-0.58971805601363769</v>
      </c>
      <c r="G15" s="624">
        <v>1.0500235894388956</v>
      </c>
      <c r="H15" s="624">
        <v>1.785506545086367</v>
      </c>
      <c r="I15" s="547">
        <f>SUM(D15:INDEX(D15:H15,0,MATCH('RFPR cover'!$C$9,$D$6:$H$6,0)))</f>
        <v>4.7924293168588674</v>
      </c>
      <c r="J15" s="548">
        <f t="shared" si="2"/>
        <v>4.7924293168588674</v>
      </c>
    </row>
    <row r="16" spans="1:14" s="83" customFormat="1">
      <c r="A16" s="619" t="s">
        <v>542</v>
      </c>
      <c r="B16" s="623" t="str">
        <f>Data!B134</f>
        <v>Timely Connections ODI - (SpC 4.4)</v>
      </c>
      <c r="C16" s="545" t="str">
        <f>Data!$C$9</f>
        <v>£m 18/19</v>
      </c>
      <c r="D16" s="624">
        <v>-0.26270833333333332</v>
      </c>
      <c r="E16" s="624">
        <v>-0.17785824345146381</v>
      </c>
      <c r="F16" s="624">
        <v>-1.7989090909090909E-2</v>
      </c>
      <c r="G16" s="624">
        <v>-0.1057051282051282</v>
      </c>
      <c r="H16" s="624">
        <v>-9.5317919075144503E-2</v>
      </c>
      <c r="I16" s="547">
        <f>SUM(D16:INDEX(D16:H16,0,MATCH('RFPR cover'!$C$9,$D$6:$H$6,0)))</f>
        <v>-0.65957871497416076</v>
      </c>
      <c r="J16" s="548">
        <f t="shared" si="2"/>
        <v>-0.65957871497416076</v>
      </c>
    </row>
    <row r="17" spans="1:10" s="83" customFormat="1">
      <c r="A17" s="619" t="s">
        <v>543</v>
      </c>
      <c r="B17" s="623" t="str">
        <f>Data!B135</f>
        <v>Quality of connections satisfaction survey ODI - (SpC 4.5)</v>
      </c>
      <c r="C17" s="545" t="str">
        <f>Data!$C$9</f>
        <v>£m 18/19</v>
      </c>
      <c r="D17" s="624">
        <v>0.2353260416666656</v>
      </c>
      <c r="E17" s="624">
        <v>-3.2701118385160948</v>
      </c>
      <c r="F17" s="624">
        <v>-2.987022332506208</v>
      </c>
      <c r="G17" s="624">
        <v>-7.3686083916083946</v>
      </c>
      <c r="H17" s="624">
        <v>-4.1304278846153855</v>
      </c>
      <c r="I17" s="547">
        <f>SUM(D17:INDEX(D17:H17,0,MATCH('RFPR cover'!$C$9,$D$6:$H$6,0)))</f>
        <v>-17.520844405579417</v>
      </c>
      <c r="J17" s="548">
        <f t="shared" si="2"/>
        <v>-17.520844405579417</v>
      </c>
    </row>
    <row r="18" spans="1:10" s="83" customFormat="1">
      <c r="A18" s="619" t="s">
        <v>544</v>
      </c>
      <c r="B18" s="623" t="str">
        <f>Data!B136</f>
        <v>SO-TO Optimisation ODI - (SpC 4.7)</v>
      </c>
      <c r="C18" s="545" t="str">
        <f>Data!$C$9</f>
        <v>£m 18/19</v>
      </c>
      <c r="D18" s="624">
        <v>5</v>
      </c>
      <c r="E18" s="624">
        <v>5</v>
      </c>
      <c r="F18" s="624">
        <v>5.8556288706500004</v>
      </c>
      <c r="G18" s="624">
        <v>4.1777733218500774</v>
      </c>
      <c r="H18" s="624">
        <v>2.9525168675512425</v>
      </c>
      <c r="I18" s="547">
        <f>SUM(D18:INDEX(D18:H18,0,MATCH('RFPR cover'!$C$9,$D$6:$H$6,0)))</f>
        <v>22.985919060051319</v>
      </c>
      <c r="J18" s="548">
        <f t="shared" si="2"/>
        <v>22.985919060051319</v>
      </c>
    </row>
    <row r="19" spans="1:10" s="83" customFormat="1">
      <c r="A19" s="619" t="s">
        <v>545</v>
      </c>
      <c r="B19" s="623" t="str">
        <f>Data!B137</f>
        <v>Environmental scorecard ODI - (SpC 4.6)</v>
      </c>
      <c r="C19" s="545" t="str">
        <f>Data!$C$9</f>
        <v>£m 18/19</v>
      </c>
      <c r="D19" s="624">
        <v>0.51351564000000005</v>
      </c>
      <c r="E19" s="624">
        <v>0.99994537500000014</v>
      </c>
      <c r="F19" s="624">
        <v>0.97957051500000025</v>
      </c>
      <c r="G19" s="624">
        <v>1.1201003550000002</v>
      </c>
      <c r="H19" s="624">
        <v>1.0746636449999991</v>
      </c>
      <c r="I19" s="547">
        <f>SUM(D19:INDEX(D19:H19,0,MATCH('RFPR cover'!$C$9,$D$6:$H$6,0)))</f>
        <v>4.6877955299999998</v>
      </c>
      <c r="J19" s="548">
        <f>SUM(D19:H19)</f>
        <v>4.6877955299999998</v>
      </c>
    </row>
    <row r="20" spans="1:10" s="83" customFormat="1">
      <c r="A20" s="619" t="s">
        <v>546</v>
      </c>
      <c r="B20" s="623" t="str">
        <f>Data!B138</f>
        <v/>
      </c>
      <c r="C20" s="545" t="str">
        <f>Data!$C$9</f>
        <v>£m 18/19</v>
      </c>
      <c r="D20" s="624">
        <v>0</v>
      </c>
      <c r="E20" s="624">
        <v>0</v>
      </c>
      <c r="F20" s="624">
        <v>0</v>
      </c>
      <c r="G20" s="624">
        <v>0</v>
      </c>
      <c r="H20" s="624">
        <v>0</v>
      </c>
      <c r="I20" s="547">
        <f>SUM(D20:INDEX(D20:H20,0,MATCH('RFPR cover'!$C$9,$D$6:$H$6,0)))</f>
        <v>0</v>
      </c>
      <c r="J20" s="548">
        <f>SUM(D20:H20)</f>
        <v>0</v>
      </c>
    </row>
    <row r="21" spans="1:10" s="83" customFormat="1">
      <c r="A21" s="619" t="s">
        <v>547</v>
      </c>
      <c r="B21" s="623" t="str">
        <f>Data!B139</f>
        <v/>
      </c>
      <c r="C21" s="545" t="str">
        <f>Data!$C$9</f>
        <v>£m 18/19</v>
      </c>
      <c r="D21" s="624">
        <v>0</v>
      </c>
      <c r="E21" s="624">
        <v>0</v>
      </c>
      <c r="F21" s="624">
        <v>0</v>
      </c>
      <c r="G21" s="624">
        <v>0</v>
      </c>
      <c r="H21" s="624">
        <v>0</v>
      </c>
      <c r="I21" s="547">
        <f>SUM(D21:INDEX(D21:H21,0,MATCH('RFPR cover'!$C$9,$D$6:$H$6,0)))</f>
        <v>0</v>
      </c>
      <c r="J21" s="548">
        <f t="shared" si="2"/>
        <v>0</v>
      </c>
    </row>
    <row r="22" spans="1:10" s="83" customFormat="1">
      <c r="B22" s="586" t="s">
        <v>748</v>
      </c>
      <c r="C22" s="567" t="str">
        <f>Data!$C$9</f>
        <v>£m 18/19</v>
      </c>
      <c r="D22" s="588">
        <f>SUM(D14:D21)</f>
        <v>7.7564830940240803</v>
      </c>
      <c r="E22" s="588">
        <f>SUM(E14:E21)</f>
        <v>4.6452877296889366</v>
      </c>
      <c r="F22" s="588">
        <f>SUM(F14:F21)</f>
        <v>4.2595679862210645</v>
      </c>
      <c r="G22" s="588">
        <f>SUM(G14:G21)</f>
        <v>-2.5975224615245498</v>
      </c>
      <c r="H22" s="588">
        <f>SUM(H14:H21)</f>
        <v>2.4056860379470786</v>
      </c>
      <c r="I22" s="547">
        <f>SUM(D22:INDEX(D22:H22,0,MATCH('RFPR cover'!$C$9,$D$6:$H$6,0)))</f>
        <v>16.469502386356609</v>
      </c>
      <c r="J22" s="548">
        <f t="shared" si="2"/>
        <v>16.469502386356609</v>
      </c>
    </row>
    <row r="23" spans="1:10" s="83" customFormat="1"/>
    <row r="24" spans="1:10" s="626" customFormat="1" ht="14.25" customHeight="1">
      <c r="A24" s="625"/>
    </row>
    <row r="25" spans="1:10" s="83" customFormat="1">
      <c r="A25" s="627"/>
      <c r="B25" s="628" t="s">
        <v>749</v>
      </c>
      <c r="C25" s="629"/>
      <c r="D25" s="629"/>
      <c r="E25" s="629"/>
      <c r="F25" s="629"/>
      <c r="G25" s="629"/>
      <c r="H25" s="629"/>
      <c r="I25" s="629"/>
      <c r="J25" s="629"/>
    </row>
    <row r="26" spans="1:10" s="83" customFormat="1">
      <c r="A26" s="630" t="s">
        <v>539</v>
      </c>
      <c r="B26" s="463"/>
      <c r="C26" s="463"/>
      <c r="D26" s="463"/>
      <c r="E26" s="463"/>
      <c r="F26" s="463"/>
      <c r="G26" s="463"/>
      <c r="H26" s="463"/>
      <c r="I26" s="463"/>
      <c r="J26" s="463"/>
    </row>
    <row r="27" spans="1:10" s="83" customFormat="1">
      <c r="A27" s="630" t="s">
        <v>540</v>
      </c>
      <c r="B27" s="631"/>
      <c r="C27" s="631"/>
      <c r="D27" s="631"/>
      <c r="E27" s="631"/>
      <c r="F27" s="631"/>
      <c r="G27" s="631"/>
      <c r="H27" s="631"/>
      <c r="I27" s="631"/>
      <c r="J27" s="631"/>
    </row>
    <row r="28" spans="1:10" s="83" customFormat="1">
      <c r="A28" s="630" t="s">
        <v>541</v>
      </c>
      <c r="B28" s="631"/>
      <c r="C28" s="631"/>
      <c r="D28" s="631"/>
      <c r="E28" s="631"/>
      <c r="F28" s="631"/>
      <c r="G28" s="631"/>
      <c r="H28" s="631"/>
      <c r="I28" s="631"/>
      <c r="J28" s="631"/>
    </row>
    <row r="29" spans="1:10" s="83" customFormat="1">
      <c r="A29" s="630" t="s">
        <v>542</v>
      </c>
      <c r="B29" s="631"/>
      <c r="C29" s="631"/>
      <c r="D29" s="631"/>
      <c r="E29" s="631"/>
      <c r="F29" s="631"/>
      <c r="G29" s="631"/>
      <c r="H29" s="631"/>
      <c r="I29" s="631"/>
      <c r="J29" s="631"/>
    </row>
    <row r="30" spans="1:10" s="83" customFormat="1">
      <c r="A30" s="630" t="s">
        <v>543</v>
      </c>
      <c r="B30" s="631"/>
      <c r="C30" s="631"/>
      <c r="D30" s="631"/>
      <c r="E30" s="631"/>
      <c r="F30" s="631"/>
      <c r="G30" s="631"/>
      <c r="H30" s="631"/>
      <c r="I30" s="631"/>
      <c r="J30" s="631"/>
    </row>
    <row r="31" spans="1:10" s="83" customFormat="1">
      <c r="A31" s="630" t="s">
        <v>544</v>
      </c>
      <c r="B31" s="631"/>
      <c r="C31" s="631"/>
      <c r="D31" s="631"/>
      <c r="E31" s="631"/>
      <c r="F31" s="631"/>
      <c r="G31" s="631"/>
      <c r="H31" s="631"/>
      <c r="I31" s="631"/>
      <c r="J31" s="631"/>
    </row>
    <row r="32" spans="1:10" s="83" customFormat="1">
      <c r="A32" s="630" t="s">
        <v>545</v>
      </c>
      <c r="B32" s="463"/>
      <c r="C32" s="463"/>
      <c r="D32" s="463"/>
      <c r="E32" s="463"/>
      <c r="F32" s="463"/>
      <c r="G32" s="463"/>
      <c r="H32" s="463"/>
      <c r="I32" s="463"/>
      <c r="J32" s="463"/>
    </row>
    <row r="33" spans="1:11" s="83" customFormat="1">
      <c r="A33" s="630" t="s">
        <v>546</v>
      </c>
      <c r="B33" s="463"/>
      <c r="C33" s="463"/>
      <c r="D33" s="463"/>
      <c r="E33" s="463"/>
      <c r="F33" s="463"/>
      <c r="G33" s="463"/>
      <c r="H33" s="463"/>
      <c r="I33" s="463"/>
      <c r="J33" s="463"/>
    </row>
    <row r="34" spans="1:11" s="83" customFormat="1">
      <c r="A34" s="630" t="s">
        <v>547</v>
      </c>
      <c r="B34" s="631"/>
      <c r="C34" s="631"/>
      <c r="D34" s="631"/>
      <c r="E34" s="631"/>
      <c r="F34" s="631"/>
      <c r="G34" s="631"/>
      <c r="H34" s="631"/>
      <c r="I34" s="631"/>
      <c r="J34" s="631"/>
    </row>
    <row r="35" spans="1:11" s="83" customFormat="1">
      <c r="A35" s="619"/>
      <c r="C35" s="545"/>
      <c r="D35" s="545"/>
      <c r="E35" s="545"/>
      <c r="F35" s="545"/>
      <c r="G35" s="545"/>
      <c r="H35" s="545"/>
      <c r="I35" s="545"/>
      <c r="J35" s="545"/>
    </row>
    <row r="36" spans="1:11" s="83" customFormat="1" ht="20.5">
      <c r="B36" s="618" t="s">
        <v>750</v>
      </c>
      <c r="C36" s="451"/>
      <c r="D36" s="452"/>
      <c r="E36" s="452"/>
      <c r="F36" s="452"/>
      <c r="G36" s="452"/>
      <c r="H36" s="452"/>
      <c r="I36" s="452"/>
      <c r="J36" s="452"/>
      <c r="K36" s="452"/>
    </row>
    <row r="37" spans="1:11" s="83" customFormat="1">
      <c r="A37" s="586"/>
      <c r="C37" s="444"/>
    </row>
    <row r="38" spans="1:11">
      <c r="B38" s="632" t="s">
        <v>751</v>
      </c>
    </row>
    <row r="39" spans="1:11">
      <c r="B39" s="586"/>
    </row>
    <row r="40" spans="1:11" s="83" customFormat="1">
      <c r="A40" s="544" t="s">
        <v>547</v>
      </c>
      <c r="B40" s="586" t="s">
        <v>122</v>
      </c>
      <c r="C40" s="587" t="s">
        <v>752</v>
      </c>
      <c r="D40" s="594"/>
      <c r="E40" s="594"/>
      <c r="F40" s="594"/>
      <c r="G40" s="594"/>
      <c r="H40" s="594"/>
    </row>
    <row r="41" spans="1:11" s="83" customFormat="1">
      <c r="B41" s="443" t="s">
        <v>753</v>
      </c>
      <c r="C41" s="545" t="str">
        <f>Data!$C$9</f>
        <v>£m 18/19</v>
      </c>
      <c r="D41" s="459">
        <v>2.3619919814420758</v>
      </c>
      <c r="E41" s="459">
        <v>5.5782677881572633</v>
      </c>
      <c r="F41" s="459">
        <v>9.6967406002749765</v>
      </c>
      <c r="G41" s="459">
        <v>14.182127549673735</v>
      </c>
      <c r="H41" s="459">
        <v>14.452572516504308</v>
      </c>
      <c r="I41" s="547">
        <f>SUM(D41:INDEX(D41:H41,0,MATCH('RFPR cover'!$C$9,$D$6:$H$6,0)))</f>
        <v>46.271700436052356</v>
      </c>
      <c r="J41" s="548">
        <f t="shared" ref="J41:J45" si="3">SUM(D41:H41)</f>
        <v>46.271700436052356</v>
      </c>
      <c r="K41" s="83" t="s">
        <v>754</v>
      </c>
    </row>
    <row r="42" spans="1:11" s="83" customFormat="1">
      <c r="B42" s="443" t="s">
        <v>755</v>
      </c>
      <c r="C42" s="545" t="str">
        <f>Data!$C$9</f>
        <v>£m 18/19</v>
      </c>
      <c r="D42" s="459">
        <v>0</v>
      </c>
      <c r="E42" s="459">
        <v>0</v>
      </c>
      <c r="F42" s="459">
        <v>0</v>
      </c>
      <c r="G42" s="459">
        <v>0</v>
      </c>
      <c r="H42" s="459">
        <v>0</v>
      </c>
      <c r="I42" s="547">
        <f>SUM(D42:INDEX(D42:H42,0,MATCH('RFPR cover'!$C$9,$D$6:$H$6,0)))</f>
        <v>0</v>
      </c>
      <c r="J42" s="548">
        <f t="shared" si="3"/>
        <v>0</v>
      </c>
    </row>
    <row r="43" spans="1:11" s="83" customFormat="1">
      <c r="B43" s="443" t="s">
        <v>756</v>
      </c>
      <c r="C43" s="545" t="str">
        <f>Data!$C$9</f>
        <v>£m 18/19</v>
      </c>
      <c r="D43" s="465">
        <v>0.23619919814420759</v>
      </c>
      <c r="E43" s="465">
        <v>0.5578267788157264</v>
      </c>
      <c r="F43" s="465">
        <v>0.96967406002749768</v>
      </c>
      <c r="G43" s="465">
        <v>1.4182127549673735</v>
      </c>
      <c r="H43" s="465">
        <v>1.445257251650431</v>
      </c>
      <c r="I43" s="547">
        <f>SUM(D43:INDEX(D43:H43,0,MATCH('RFPR cover'!$C$9,$D$6:$H$6,0)))</f>
        <v>4.6271700436052363</v>
      </c>
      <c r="J43" s="548">
        <f t="shared" si="3"/>
        <v>4.6271700436052363</v>
      </c>
    </row>
    <row r="44" spans="1:11" s="586" customFormat="1">
      <c r="B44" s="83" t="s">
        <v>757</v>
      </c>
      <c r="C44" s="545" t="str">
        <f>Data!$C$9</f>
        <v>£m 18/19</v>
      </c>
      <c r="D44" s="588">
        <f>D41-D42-D43</f>
        <v>2.125792783297868</v>
      </c>
      <c r="E44" s="633">
        <f t="shared" ref="E44:H44" si="4">E41-E42-E43</f>
        <v>5.0204410093415373</v>
      </c>
      <c r="F44" s="633">
        <f t="shared" si="4"/>
        <v>8.7270665402474794</v>
      </c>
      <c r="G44" s="633">
        <f t="shared" si="4"/>
        <v>12.763914794706363</v>
      </c>
      <c r="H44" s="633">
        <f t="shared" si="4"/>
        <v>13.007315264853876</v>
      </c>
      <c r="I44" s="547">
        <f>SUM(D44:INDEX(D44:H44,0,MATCH('RFPR cover'!$C$9,$D$6:$H$6,0)))</f>
        <v>41.644530392447123</v>
      </c>
      <c r="J44" s="548">
        <f t="shared" si="3"/>
        <v>41.644530392447123</v>
      </c>
      <c r="K44" s="83"/>
    </row>
    <row r="45" spans="1:11" s="83" customFormat="1">
      <c r="A45" s="584"/>
      <c r="B45" s="586" t="s">
        <v>758</v>
      </c>
      <c r="C45" s="545" t="str">
        <f>Data!$C$9</f>
        <v>£m 18/19</v>
      </c>
      <c r="D45" s="634">
        <f>D42+D43</f>
        <v>0.23619919814420759</v>
      </c>
      <c r="E45" s="634">
        <f t="shared" ref="E45:H45" si="5">E42+E43</f>
        <v>0.5578267788157264</v>
      </c>
      <c r="F45" s="634">
        <f t="shared" si="5"/>
        <v>0.96967406002749768</v>
      </c>
      <c r="G45" s="634">
        <f t="shared" si="5"/>
        <v>1.4182127549673735</v>
      </c>
      <c r="H45" s="634">
        <f t="shared" si="5"/>
        <v>1.445257251650431</v>
      </c>
      <c r="I45" s="547">
        <f>SUM(D45:INDEX(D45:H45,0,MATCH('RFPR cover'!$C$9,$D$6:$H$6,0)))</f>
        <v>4.6271700436052363</v>
      </c>
      <c r="J45" s="548">
        <f t="shared" si="3"/>
        <v>4.6271700436052363</v>
      </c>
    </row>
    <row r="46" spans="1:11" s="83" customFormat="1">
      <c r="A46" s="584"/>
      <c r="B46" s="586"/>
      <c r="C46" s="545"/>
      <c r="D46" s="635"/>
      <c r="E46" s="635"/>
      <c r="F46" s="635"/>
      <c r="G46" s="635"/>
      <c r="H46" s="635"/>
    </row>
    <row r="47" spans="1:11" s="83" customFormat="1">
      <c r="A47" s="544" t="s">
        <v>548</v>
      </c>
      <c r="B47" s="586" t="s">
        <v>759</v>
      </c>
      <c r="C47" s="545" t="s">
        <v>760</v>
      </c>
      <c r="D47" s="635"/>
      <c r="E47" s="635"/>
      <c r="F47" s="635"/>
      <c r="G47" s="635"/>
      <c r="H47" s="635"/>
    </row>
    <row r="48" spans="1:11" s="83" customFormat="1" ht="14">
      <c r="A48" s="584"/>
      <c r="B48" s="443" t="s">
        <v>761</v>
      </c>
      <c r="C48" s="545" t="str">
        <f>Data!$C$9</f>
        <v>£m 18/19</v>
      </c>
      <c r="D48" s="459">
        <v>0.72570238952118094</v>
      </c>
      <c r="E48" s="636"/>
      <c r="F48" s="636"/>
      <c r="G48" s="636"/>
      <c r="H48" s="636"/>
      <c r="K48" s="83" t="s">
        <v>754</v>
      </c>
    </row>
    <row r="49" spans="1:11" s="83" customFormat="1" ht="14">
      <c r="A49" s="584"/>
      <c r="B49" s="443" t="s">
        <v>755</v>
      </c>
      <c r="C49" s="545" t="str">
        <f>Data!$C$9</f>
        <v>£m 18/19</v>
      </c>
      <c r="D49" s="459">
        <v>0</v>
      </c>
      <c r="E49" s="636"/>
      <c r="F49" s="636"/>
      <c r="G49" s="636"/>
      <c r="H49" s="636"/>
    </row>
    <row r="50" spans="1:11" s="83" customFormat="1" ht="14">
      <c r="A50" s="584"/>
      <c r="B50" s="443" t="s">
        <v>756</v>
      </c>
      <c r="C50" s="545" t="str">
        <f>Data!$C$9</f>
        <v>£m 18/19</v>
      </c>
      <c r="D50" s="465">
        <v>7.2570238952118102E-2</v>
      </c>
      <c r="E50" s="636"/>
      <c r="F50" s="636"/>
      <c r="G50" s="636"/>
      <c r="H50" s="636"/>
    </row>
    <row r="51" spans="1:11" s="83" customFormat="1" ht="14">
      <c r="A51" s="584"/>
      <c r="B51" s="83" t="s">
        <v>762</v>
      </c>
      <c r="C51" s="545" t="str">
        <f>Data!$C$9</f>
        <v>£m 18/19</v>
      </c>
      <c r="D51" s="588">
        <f>D48-D49-D50</f>
        <v>0.65313215056906282</v>
      </c>
      <c r="E51" s="636"/>
      <c r="F51" s="636"/>
      <c r="G51" s="636"/>
      <c r="H51" s="636"/>
    </row>
    <row r="52" spans="1:11" ht="14">
      <c r="A52" s="637"/>
      <c r="B52" s="586" t="s">
        <v>763</v>
      </c>
      <c r="C52" s="545" t="str">
        <f>Data!$C$9</f>
        <v>£m 18/19</v>
      </c>
      <c r="D52" s="633">
        <f>D49+D50</f>
        <v>7.2570238952118102E-2</v>
      </c>
      <c r="E52" s="636"/>
      <c r="F52" s="636"/>
      <c r="G52" s="636"/>
      <c r="H52" s="636"/>
      <c r="K52" s="83"/>
    </row>
    <row r="53" spans="1:11">
      <c r="B53" s="586"/>
      <c r="C53" s="545"/>
      <c r="D53" s="545"/>
      <c r="E53" s="545"/>
      <c r="F53" s="545"/>
      <c r="G53" s="545"/>
      <c r="H53" s="545"/>
      <c r="K53" s="545"/>
    </row>
    <row r="54" spans="1:11">
      <c r="A54" s="544" t="s">
        <v>549</v>
      </c>
      <c r="B54" s="586" t="s">
        <v>764</v>
      </c>
      <c r="C54" s="545" t="s">
        <v>765</v>
      </c>
      <c r="D54" s="635"/>
      <c r="E54" s="635"/>
      <c r="F54" s="635"/>
      <c r="G54" s="635"/>
      <c r="H54" s="635"/>
      <c r="K54" s="83"/>
    </row>
    <row r="55" spans="1:11">
      <c r="A55" s="584"/>
      <c r="B55" s="443" t="s">
        <v>766</v>
      </c>
      <c r="C55" s="545" t="str">
        <f>Data!$C$9</f>
        <v>£m 18/19</v>
      </c>
      <c r="D55" s="459">
        <v>9.0000000000000011E-3</v>
      </c>
      <c r="E55" s="459">
        <v>1.018</v>
      </c>
      <c r="F55" s="459">
        <v>1.0619999999999998</v>
      </c>
      <c r="G55" s="459">
        <v>0.63700000000000001</v>
      </c>
      <c r="H55" s="459">
        <v>2.7840000000000003</v>
      </c>
      <c r="I55" s="547">
        <f>SUM(D55:INDEX(D55:H55,0,MATCH('RFPR cover'!$C$9,$D$6:$H$6,0)))</f>
        <v>5.51</v>
      </c>
      <c r="J55" s="548">
        <f t="shared" ref="J55:J59" si="6">SUM(D55:H55)</f>
        <v>5.51</v>
      </c>
      <c r="K55" s="83" t="s">
        <v>754</v>
      </c>
    </row>
    <row r="56" spans="1:11">
      <c r="A56" s="584"/>
      <c r="B56" s="443" t="s">
        <v>767</v>
      </c>
      <c r="C56" s="545" t="str">
        <f>Data!$C$9</f>
        <v>£m 18/19</v>
      </c>
      <c r="D56" s="459">
        <v>0</v>
      </c>
      <c r="E56" s="459">
        <v>0</v>
      </c>
      <c r="F56" s="459">
        <v>0</v>
      </c>
      <c r="G56" s="459">
        <v>0</v>
      </c>
      <c r="H56" s="459">
        <v>0</v>
      </c>
      <c r="I56" s="547">
        <f>SUM(D56:INDEX(D56:H56,0,MATCH('RFPR cover'!$C$9,$D$6:$H$6,0)))</f>
        <v>0</v>
      </c>
      <c r="J56" s="548">
        <f t="shared" si="6"/>
        <v>0</v>
      </c>
    </row>
    <row r="57" spans="1:11">
      <c r="A57" s="584"/>
      <c r="B57" s="443" t="s">
        <v>756</v>
      </c>
      <c r="C57" s="545" t="str">
        <f>Data!$C$9</f>
        <v>£m 18/19</v>
      </c>
      <c r="D57" s="465">
        <v>0</v>
      </c>
      <c r="E57" s="465">
        <v>9.4277E-2</v>
      </c>
      <c r="F57" s="465">
        <v>0.16978264367816093</v>
      </c>
      <c r="G57" s="465">
        <v>6.6411085831519431E-2</v>
      </c>
      <c r="H57" s="465">
        <v>1.4505938566972163</v>
      </c>
      <c r="I57" s="547">
        <f>SUM(D57:INDEX(D57:H57,0,MATCH('RFPR cover'!$C$9,$D$6:$H$6,0)))</f>
        <v>1.7810645862068966</v>
      </c>
      <c r="J57" s="548">
        <f t="shared" si="6"/>
        <v>1.7810645862068966</v>
      </c>
    </row>
    <row r="58" spans="1:11">
      <c r="A58" s="584"/>
      <c r="B58" s="83" t="s">
        <v>768</v>
      </c>
      <c r="C58" s="545" t="str">
        <f>Data!$C$9</f>
        <v>£m 18/19</v>
      </c>
      <c r="D58" s="588">
        <f>D55-D56-D57</f>
        <v>9.0000000000000011E-3</v>
      </c>
      <c r="E58" s="633">
        <f>E55-E56-E57</f>
        <v>0.92372300000000007</v>
      </c>
      <c r="F58" s="633">
        <f>F55-F56-F57</f>
        <v>0.89221735632183896</v>
      </c>
      <c r="G58" s="633">
        <f>G55-G56-G57</f>
        <v>0.57058891416848057</v>
      </c>
      <c r="H58" s="633">
        <f>H55-H56-H57</f>
        <v>1.333406143302784</v>
      </c>
      <c r="I58" s="547">
        <f>SUM(D58:INDEX(D58:H58,0,MATCH('RFPR cover'!$C$9,$D$6:$H$6,0)))</f>
        <v>3.7289354137931037</v>
      </c>
      <c r="J58" s="548">
        <f t="shared" si="6"/>
        <v>3.7289354137931037</v>
      </c>
    </row>
    <row r="59" spans="1:11">
      <c r="A59" s="637"/>
      <c r="B59" s="586" t="s">
        <v>769</v>
      </c>
      <c r="C59" s="545" t="str">
        <f>Data!$C$9</f>
        <v>£m 18/19</v>
      </c>
      <c r="D59" s="633">
        <f>D56+D57</f>
        <v>0</v>
      </c>
      <c r="E59" s="633">
        <f>E56+E57</f>
        <v>9.4277E-2</v>
      </c>
      <c r="F59" s="633">
        <f>F56+F57</f>
        <v>0.16978264367816093</v>
      </c>
      <c r="G59" s="633">
        <f>G56+G57</f>
        <v>6.6411085831519431E-2</v>
      </c>
      <c r="H59" s="633">
        <f>H56+H57</f>
        <v>1.4505938566972163</v>
      </c>
      <c r="I59" s="547">
        <f>SUM(D59:INDEX(D59:H59,0,MATCH('RFPR cover'!$C$9,$D$6:$H$6,0)))</f>
        <v>1.7810645862068966</v>
      </c>
      <c r="J59" s="548">
        <f t="shared" si="6"/>
        <v>1.7810645862068966</v>
      </c>
    </row>
    <row r="60" spans="1:11">
      <c r="B60" s="586"/>
      <c r="C60" s="545"/>
      <c r="D60" s="545"/>
      <c r="E60" s="545"/>
      <c r="F60" s="545"/>
      <c r="G60" s="545"/>
      <c r="H60" s="545"/>
      <c r="I60" s="545"/>
    </row>
    <row r="61" spans="1:11">
      <c r="B61" s="586"/>
      <c r="C61" s="545"/>
      <c r="D61" s="545"/>
      <c r="E61" s="545"/>
      <c r="F61" s="545"/>
      <c r="G61" s="545"/>
      <c r="H61" s="545"/>
      <c r="I61" s="545"/>
    </row>
    <row r="62" spans="1:11" s="83" customFormat="1">
      <c r="B62" s="632" t="s">
        <v>770</v>
      </c>
      <c r="C62" s="444"/>
    </row>
    <row r="63" spans="1:11" s="83" customFormat="1" ht="16">
      <c r="B63" s="638" t="s">
        <v>771</v>
      </c>
      <c r="C63" s="639"/>
      <c r="D63" s="638"/>
      <c r="E63" s="638"/>
      <c r="F63" s="638"/>
      <c r="G63" s="638"/>
      <c r="H63" s="638"/>
      <c r="I63" s="638"/>
      <c r="J63" s="638"/>
      <c r="K63" s="638"/>
    </row>
    <row r="64" spans="1:11" s="83" customFormat="1">
      <c r="B64" s="640" t="s">
        <v>772</v>
      </c>
      <c r="C64" s="444"/>
    </row>
    <row r="65" spans="1:13" s="83" customFormat="1" ht="19.399999999999999" customHeight="1">
      <c r="A65" s="619"/>
      <c r="B65" s="622" t="s">
        <v>773</v>
      </c>
    </row>
    <row r="66" spans="1:13" s="83" customFormat="1" ht="14.9" customHeight="1">
      <c r="A66" s="619" t="s">
        <v>550</v>
      </c>
      <c r="B66" s="641" t="str">
        <f>Data!B199</f>
        <v/>
      </c>
      <c r="C66" s="545" t="str">
        <f>Data!$C$9</f>
        <v>£m 18/19</v>
      </c>
      <c r="D66" s="642">
        <v>0</v>
      </c>
      <c r="E66" s="642">
        <v>0</v>
      </c>
      <c r="F66" s="642">
        <v>0</v>
      </c>
      <c r="G66" s="642">
        <v>0</v>
      </c>
      <c r="H66" s="642">
        <v>0</v>
      </c>
      <c r="I66" s="547">
        <f>SUM(D66:INDEX(D66:H66,0,MATCH('RFPR cover'!$C$9,$D$6:$H$6,0)))</f>
        <v>0</v>
      </c>
      <c r="J66" s="548">
        <f t="shared" ref="J66:J71" si="7">SUM(D66:H66)</f>
        <v>0</v>
      </c>
    </row>
    <row r="67" spans="1:13" s="83" customFormat="1" ht="14.9" customHeight="1">
      <c r="A67" s="619" t="s">
        <v>551</v>
      </c>
      <c r="B67" s="641" t="str">
        <f>Data!B200</f>
        <v/>
      </c>
      <c r="C67" s="545" t="str">
        <f>Data!$C$9</f>
        <v>£m 18/19</v>
      </c>
      <c r="D67" s="642">
        <v>0</v>
      </c>
      <c r="E67" s="642">
        <v>0</v>
      </c>
      <c r="F67" s="642">
        <v>0</v>
      </c>
      <c r="G67" s="642">
        <v>0</v>
      </c>
      <c r="H67" s="642">
        <v>0</v>
      </c>
      <c r="I67" s="547">
        <f>SUM(D67:INDEX(D67:H67,0,MATCH('RFPR cover'!$C$9,$D$6:$H$6,0)))</f>
        <v>0</v>
      </c>
      <c r="J67" s="548">
        <f t="shared" si="7"/>
        <v>0</v>
      </c>
    </row>
    <row r="68" spans="1:13" s="83" customFormat="1" ht="14.9" customHeight="1">
      <c r="A68" s="619" t="s">
        <v>552</v>
      </c>
      <c r="B68" s="641" t="str">
        <f>Data!B201</f>
        <v/>
      </c>
      <c r="C68" s="545" t="str">
        <f>Data!$C$9</f>
        <v>£m 18/19</v>
      </c>
      <c r="D68" s="642">
        <v>0</v>
      </c>
      <c r="E68" s="642">
        <v>0</v>
      </c>
      <c r="F68" s="642">
        <v>0</v>
      </c>
      <c r="G68" s="642">
        <v>0</v>
      </c>
      <c r="H68" s="642">
        <v>0</v>
      </c>
      <c r="I68" s="547">
        <f>SUM(D68:INDEX(D68:H68,0,MATCH('RFPR cover'!$C$9,$D$6:$H$6,0)))</f>
        <v>0</v>
      </c>
      <c r="J68" s="548">
        <f t="shared" si="7"/>
        <v>0</v>
      </c>
    </row>
    <row r="69" spans="1:13" s="83" customFormat="1" ht="14.9" customHeight="1">
      <c r="A69" s="619" t="s">
        <v>553</v>
      </c>
      <c r="B69" s="641" t="str">
        <f>Data!B202</f>
        <v/>
      </c>
      <c r="C69" s="545" t="str">
        <f>Data!$C$9</f>
        <v>£m 18/19</v>
      </c>
      <c r="D69" s="642">
        <v>0</v>
      </c>
      <c r="E69" s="642">
        <v>0</v>
      </c>
      <c r="F69" s="642">
        <v>0</v>
      </c>
      <c r="G69" s="642">
        <v>0</v>
      </c>
      <c r="H69" s="642">
        <v>0</v>
      </c>
      <c r="I69" s="547">
        <f>SUM(D69:INDEX(D69:H69,0,MATCH('RFPR cover'!$C$9,$D$6:$H$6,0)))</f>
        <v>0</v>
      </c>
      <c r="J69" s="548">
        <f t="shared" si="7"/>
        <v>0</v>
      </c>
    </row>
    <row r="70" spans="1:13" s="83" customFormat="1" ht="14.9" customHeight="1">
      <c r="A70" s="619" t="s">
        <v>554</v>
      </c>
      <c r="B70" s="641" t="str">
        <f>Data!B203</f>
        <v/>
      </c>
      <c r="C70" s="545" t="str">
        <f>Data!$C$9</f>
        <v>£m 18/19</v>
      </c>
      <c r="D70" s="642">
        <v>0</v>
      </c>
      <c r="E70" s="642">
        <v>0</v>
      </c>
      <c r="F70" s="642">
        <v>0</v>
      </c>
      <c r="G70" s="642">
        <v>0</v>
      </c>
      <c r="H70" s="642">
        <v>0</v>
      </c>
      <c r="I70" s="547">
        <f>SUM(D70:INDEX(D70:H70,0,MATCH('RFPR cover'!$C$9,$D$6:$H$6,0)))</f>
        <v>0</v>
      </c>
      <c r="J70" s="548">
        <f t="shared" si="7"/>
        <v>0</v>
      </c>
    </row>
    <row r="71" spans="1:13" s="83" customFormat="1" ht="14.9" customHeight="1">
      <c r="B71" s="586"/>
      <c r="C71" s="567" t="str">
        <f>Data!$C$9</f>
        <v>£m 18/19</v>
      </c>
      <c r="D71" s="588">
        <f>SUM(D66:D70)</f>
        <v>0</v>
      </c>
      <c r="E71" s="588">
        <f>SUM(E66:E70)</f>
        <v>0</v>
      </c>
      <c r="F71" s="588">
        <f>SUM(F66:F70)</f>
        <v>0</v>
      </c>
      <c r="G71" s="588">
        <f>SUM(G66:G70)</f>
        <v>0</v>
      </c>
      <c r="H71" s="588">
        <f>SUM(H66:H70)</f>
        <v>0</v>
      </c>
      <c r="I71" s="547">
        <f>SUM(D71:INDEX(D71:H71,0,MATCH('RFPR cover'!$C$9,$D$6:$H$6,0)))</f>
        <v>0</v>
      </c>
      <c r="J71" s="548">
        <f t="shared" si="7"/>
        <v>0</v>
      </c>
    </row>
    <row r="72" spans="1:13" s="83" customFormat="1" ht="14.9" customHeight="1">
      <c r="B72" s="586"/>
      <c r="C72" s="567"/>
      <c r="D72" s="567"/>
      <c r="E72" s="567"/>
      <c r="F72" s="567"/>
      <c r="G72" s="567"/>
      <c r="H72" s="567"/>
      <c r="I72" s="567"/>
    </row>
    <row r="73" spans="1:13" s="626" customFormat="1" ht="14.25" customHeight="1">
      <c r="A73" s="625"/>
      <c r="M73" s="83"/>
    </row>
    <row r="74" spans="1:13" s="83" customFormat="1">
      <c r="A74" s="627"/>
      <c r="B74" s="628" t="s">
        <v>749</v>
      </c>
      <c r="C74" s="629"/>
      <c r="D74" s="629"/>
      <c r="E74" s="629"/>
      <c r="F74" s="629"/>
      <c r="G74" s="629"/>
      <c r="H74" s="629"/>
      <c r="I74" s="629"/>
      <c r="J74" s="629"/>
    </row>
    <row r="75" spans="1:13" s="83" customFormat="1">
      <c r="A75" s="630" t="s">
        <v>547</v>
      </c>
      <c r="B75" s="628"/>
      <c r="C75" s="629"/>
      <c r="D75" s="629"/>
      <c r="E75" s="629"/>
      <c r="F75" s="629"/>
      <c r="G75" s="629"/>
      <c r="H75" s="629"/>
      <c r="I75" s="629"/>
      <c r="J75" s="629"/>
    </row>
    <row r="76" spans="1:13" s="83" customFormat="1">
      <c r="A76" s="630" t="s">
        <v>548</v>
      </c>
      <c r="B76" s="628"/>
      <c r="C76" s="629"/>
      <c r="D76" s="629"/>
      <c r="E76" s="629"/>
      <c r="F76" s="629"/>
      <c r="G76" s="629"/>
      <c r="H76" s="629"/>
      <c r="I76" s="629"/>
      <c r="J76" s="629"/>
    </row>
    <row r="77" spans="1:13" s="83" customFormat="1">
      <c r="A77" s="630" t="s">
        <v>549</v>
      </c>
      <c r="B77" s="631"/>
      <c r="C77" s="631"/>
      <c r="D77" s="631"/>
      <c r="E77" s="631"/>
      <c r="F77" s="631"/>
      <c r="G77" s="631"/>
      <c r="H77" s="631"/>
      <c r="I77" s="631"/>
      <c r="J77" s="631"/>
    </row>
    <row r="78" spans="1:13" s="83" customFormat="1">
      <c r="A78" s="630" t="s">
        <v>550</v>
      </c>
      <c r="B78" s="631"/>
      <c r="C78" s="631"/>
      <c r="D78" s="631"/>
      <c r="E78" s="631"/>
      <c r="F78" s="631"/>
      <c r="G78" s="631"/>
      <c r="H78" s="631"/>
      <c r="I78" s="631"/>
      <c r="J78" s="631"/>
    </row>
    <row r="79" spans="1:13" s="83" customFormat="1">
      <c r="A79" s="630" t="s">
        <v>551</v>
      </c>
      <c r="B79" s="631"/>
      <c r="C79" s="631"/>
      <c r="D79" s="631"/>
      <c r="E79" s="631"/>
      <c r="F79" s="631"/>
      <c r="G79" s="631"/>
      <c r="H79" s="631"/>
      <c r="I79" s="631"/>
      <c r="J79" s="631"/>
    </row>
    <row r="80" spans="1:13" s="83" customFormat="1">
      <c r="A80" s="630" t="s">
        <v>552</v>
      </c>
      <c r="B80" s="631"/>
      <c r="C80" s="631"/>
      <c r="D80" s="631"/>
      <c r="E80" s="631"/>
      <c r="F80" s="631"/>
      <c r="G80" s="631"/>
      <c r="H80" s="631"/>
      <c r="I80" s="631"/>
      <c r="J80" s="631"/>
    </row>
    <row r="81" spans="1:10" s="83" customFormat="1">
      <c r="A81" s="630" t="s">
        <v>553</v>
      </c>
      <c r="B81" s="463"/>
      <c r="C81" s="463"/>
      <c r="D81" s="463"/>
      <c r="E81" s="463"/>
      <c r="F81" s="463"/>
      <c r="G81" s="463"/>
      <c r="H81" s="463"/>
      <c r="I81" s="463"/>
      <c r="J81" s="463"/>
    </row>
    <row r="82" spans="1:10" s="83" customFormat="1">
      <c r="A82" s="630" t="s">
        <v>554</v>
      </c>
      <c r="B82" s="631"/>
      <c r="C82" s="631"/>
      <c r="D82" s="631"/>
      <c r="E82" s="631"/>
      <c r="F82" s="631"/>
      <c r="G82" s="631"/>
      <c r="H82" s="631"/>
      <c r="I82" s="631"/>
      <c r="J82" s="631"/>
    </row>
  </sheetData>
  <sheetProtection insertRows="0" sort="0" autoFilter="0" pivotTables="0"/>
  <mergeCells count="11">
    <mergeCell ref="B77:J77"/>
    <mergeCell ref="B78:J78"/>
    <mergeCell ref="B79:J79"/>
    <mergeCell ref="B80:J80"/>
    <mergeCell ref="B82:J82"/>
    <mergeCell ref="B27:J27"/>
    <mergeCell ref="B28:J28"/>
    <mergeCell ref="B29:J29"/>
    <mergeCell ref="B30:J30"/>
    <mergeCell ref="B31:J31"/>
    <mergeCell ref="B34:J34"/>
  </mergeCells>
  <conditionalFormatting sqref="D7:H7">
    <cfRule type="expression" dxfId="36" priority="1">
      <formula>AND(D$5="Actuals",E$5="Forecast")</formula>
    </cfRule>
  </conditionalFormatting>
  <conditionalFormatting sqref="H5:H6">
    <cfRule type="expression" dxfId="35" priority="3">
      <formula>AND(H$5="Actuals",#REF!="Forecast")</formula>
    </cfRule>
  </conditionalFormatting>
  <conditionalFormatting sqref="I5 D5:G6">
    <cfRule type="expression" dxfId="34" priority="2">
      <formula>AND(D$5="Actuals",E$5="Forecast")</formula>
    </cfRule>
  </conditionalFormatting>
  <pageMargins left="0.70866141732283472" right="0.70866141732283472" top="0.74803149606299213" bottom="0.74803149606299213" header="0.31496062992125984" footer="0.31496062992125984"/>
  <pageSetup paperSize="8" fitToHeight="2" orientation="landscape" r:id="rId1"/>
  <headerFooter>
    <oddFooter>&amp;C_x000D_&amp;1#&amp;"Calibri"&amp;10&amp;K000000 OFFICIAL-InternalOnly</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5CB5C-60D0-4964-9266-852C11829A50}">
  <sheetPr>
    <tabColor rgb="FFFFFFCC"/>
    <pageSetUpPr fitToPage="1"/>
  </sheetPr>
  <dimension ref="A1:AA100"/>
  <sheetViews>
    <sheetView topLeftCell="A22" zoomScale="80" zoomScaleNormal="80" workbookViewId="0">
      <selection activeCell="E18" sqref="E18"/>
    </sheetView>
  </sheetViews>
  <sheetFormatPr defaultColWidth="0" defaultRowHeight="13.5" customHeight="1" zeroHeight="1"/>
  <cols>
    <col min="1" max="1" width="8.3828125" style="427" customWidth="1"/>
    <col min="2" max="2" width="74.84375" style="427" customWidth="1"/>
    <col min="3" max="3" width="14.15234375" style="427" customWidth="1"/>
    <col min="4" max="4" width="9.15234375" style="427" bestFit="1" customWidth="1"/>
    <col min="5" max="8" width="11.61328125" style="427" bestFit="1" customWidth="1"/>
    <col min="9" max="9" width="12.765625" style="427" bestFit="1" customWidth="1"/>
    <col min="10" max="10" width="11.61328125" style="427" bestFit="1" customWidth="1"/>
    <col min="11" max="11" width="5" style="427" customWidth="1"/>
    <col min="12" max="23" width="9.23046875" style="427" customWidth="1"/>
    <col min="24" max="27" width="9" style="427" hidden="1" customWidth="1"/>
    <col min="28" max="16384" width="9" style="427" hidden="1"/>
  </cols>
  <sheetData>
    <row r="1" spans="1:27" ht="20">
      <c r="A1" s="428" t="s">
        <v>266</v>
      </c>
      <c r="B1" s="643"/>
      <c r="C1" s="528"/>
      <c r="D1" s="528"/>
      <c r="E1" s="528"/>
      <c r="F1" s="528"/>
      <c r="G1" s="528"/>
      <c r="H1" s="528"/>
      <c r="I1" s="529"/>
      <c r="J1" s="529"/>
      <c r="K1" s="530"/>
    </row>
    <row r="2" spans="1:27" ht="20">
      <c r="A2" s="433" t="str">
        <f>Licensee</f>
        <v>NGET (TO)</v>
      </c>
      <c r="B2" s="644"/>
      <c r="C2" s="436"/>
      <c r="D2" s="436"/>
      <c r="E2" s="436"/>
      <c r="F2" s="436"/>
      <c r="G2" s="436"/>
      <c r="H2" s="436"/>
      <c r="I2" s="531"/>
      <c r="J2" s="531"/>
      <c r="K2" s="437"/>
    </row>
    <row r="3" spans="1:27" ht="20">
      <c r="A3" s="645">
        <f>Reporting_Year</f>
        <v>2026</v>
      </c>
      <c r="B3" s="646" t="str">
        <f>IF('RFPR cover'!C7=Data!B86,"Not required to be completed for System Operator","")</f>
        <v/>
      </c>
      <c r="C3" s="647"/>
      <c r="D3" s="441"/>
      <c r="E3" s="441"/>
      <c r="F3" s="441"/>
      <c r="G3" s="441"/>
      <c r="H3" s="441"/>
      <c r="I3" s="532"/>
      <c r="J3" s="532"/>
      <c r="K3" s="442"/>
    </row>
    <row r="4" spans="1:27" ht="12.75" customHeight="1">
      <c r="A4" s="648"/>
      <c r="B4" s="648"/>
      <c r="C4" s="648"/>
      <c r="D4" s="648"/>
      <c r="E4" s="648"/>
      <c r="F4" s="648"/>
      <c r="G4" s="648"/>
      <c r="H4" s="648"/>
      <c r="I4" s="649"/>
    </row>
    <row r="5" spans="1:27">
      <c r="A5" s="83"/>
      <c r="B5" s="584"/>
      <c r="C5" s="584"/>
      <c r="D5" s="445" t="str">
        <f t="shared" ref="D5:I5" si="0">IF(D6&lt;=Reporting_Year,"Actuals","Forecast")</f>
        <v>Actuals</v>
      </c>
      <c r="E5" s="445" t="str">
        <f t="shared" si="0"/>
        <v>Actuals</v>
      </c>
      <c r="F5" s="445" t="str">
        <f t="shared" si="0"/>
        <v>Actuals</v>
      </c>
      <c r="G5" s="445" t="str">
        <f t="shared" si="0"/>
        <v>Actuals</v>
      </c>
      <c r="H5" s="445" t="str">
        <f t="shared" si="0"/>
        <v>Actuals</v>
      </c>
      <c r="I5" s="445" t="str">
        <f t="shared" si="0"/>
        <v>Forecast</v>
      </c>
      <c r="J5" s="83"/>
      <c r="K5" s="83"/>
      <c r="L5" s="83"/>
      <c r="M5" s="83"/>
      <c r="N5" s="83"/>
      <c r="O5" s="83"/>
      <c r="P5" s="83"/>
      <c r="Q5" s="83"/>
      <c r="R5" s="83"/>
      <c r="S5" s="83"/>
      <c r="T5" s="83"/>
      <c r="U5" s="83"/>
      <c r="V5" s="83"/>
      <c r="W5" s="83"/>
      <c r="X5" s="83"/>
      <c r="Y5" s="83"/>
      <c r="Z5" s="83"/>
      <c r="AA5" s="83"/>
    </row>
    <row r="6" spans="1:27" ht="27">
      <c r="A6" s="83"/>
      <c r="B6" s="83"/>
      <c r="C6" s="83"/>
      <c r="D6" s="533">
        <f>'RFPR cover'!$C$6</f>
        <v>2022</v>
      </c>
      <c r="E6" s="534">
        <f>D6+1</f>
        <v>2023</v>
      </c>
      <c r="F6" s="534">
        <f t="shared" ref="F6:H6" si="1">E6+1</f>
        <v>2024</v>
      </c>
      <c r="G6" s="534">
        <f t="shared" si="1"/>
        <v>2025</v>
      </c>
      <c r="H6" s="650">
        <f t="shared" si="1"/>
        <v>2026</v>
      </c>
      <c r="I6" s="651" t="str">
        <f>"Cumulative to "&amp;'RFPR cover'!$C$9</f>
        <v>Cumulative to 2026</v>
      </c>
      <c r="J6" s="652" t="s">
        <v>535</v>
      </c>
      <c r="K6" s="83"/>
      <c r="L6" s="83"/>
      <c r="M6" s="83"/>
      <c r="N6" s="83"/>
      <c r="O6" s="83"/>
      <c r="P6" s="83"/>
      <c r="Q6" s="83"/>
      <c r="R6" s="83"/>
      <c r="S6" s="83"/>
      <c r="T6" s="83"/>
      <c r="U6" s="83"/>
      <c r="V6" s="83"/>
      <c r="W6" s="83"/>
      <c r="X6" s="83"/>
      <c r="Y6" s="83"/>
      <c r="Z6" s="83"/>
      <c r="AA6" s="83"/>
    </row>
    <row r="7" spans="1:27">
      <c r="A7" s="83"/>
      <c r="B7" s="83"/>
      <c r="C7" s="83"/>
      <c r="D7" s="533" t="str">
        <f>RIIO_2_start_date-1&amp;"/"&amp;RIGHT(RIIO_2_start_date,2)</f>
        <v>2021/22</v>
      </c>
      <c r="E7" s="533" t="str">
        <f>RIIO_2_start_date&amp;"/"&amp;RIGHT(RIIO_2_start_date+1,2)</f>
        <v>2022/23</v>
      </c>
      <c r="F7" s="533" t="str">
        <f>RIIO_2_start_date+1&amp;"/"&amp;RIGHT(RIIO_2_start_date+2,2)</f>
        <v>2023/24</v>
      </c>
      <c r="G7" s="533" t="str">
        <f>RIIO_2_start_date+2&amp;"/"&amp;RIGHT(RIIO_2_start_date+3,2)</f>
        <v>2024/25</v>
      </c>
      <c r="H7" s="653" t="str">
        <f>RIIO_2_start_date+3&amp;"/"&amp;RIGHT(RIIO_2_start_date+4,2)</f>
        <v>2025/26</v>
      </c>
      <c r="I7" s="83"/>
      <c r="J7" s="83"/>
      <c r="K7" s="83"/>
      <c r="L7" s="83"/>
      <c r="M7" s="83"/>
      <c r="N7" s="83"/>
      <c r="O7" s="83"/>
      <c r="P7" s="83"/>
      <c r="Q7" s="83"/>
      <c r="R7" s="83"/>
      <c r="S7" s="83"/>
      <c r="T7" s="83"/>
      <c r="U7" s="83"/>
      <c r="V7" s="83"/>
      <c r="W7" s="83"/>
      <c r="X7" s="83"/>
      <c r="Y7" s="83"/>
      <c r="Z7" s="83"/>
      <c r="AA7" s="83"/>
    </row>
    <row r="8" spans="1:27">
      <c r="A8" s="83"/>
      <c r="B8" s="83"/>
      <c r="C8" s="83"/>
      <c r="D8" s="83"/>
      <c r="E8" s="83"/>
      <c r="F8" s="83"/>
      <c r="G8" s="83"/>
      <c r="H8" s="83"/>
      <c r="I8" s="83"/>
      <c r="J8" s="83"/>
      <c r="K8" s="83"/>
      <c r="L8" s="83"/>
      <c r="M8" s="83"/>
      <c r="N8" s="83"/>
      <c r="O8" s="83"/>
      <c r="P8" s="83"/>
      <c r="Q8" s="83"/>
      <c r="R8" s="83"/>
      <c r="S8" s="83"/>
      <c r="T8" s="83"/>
      <c r="U8" s="83"/>
      <c r="V8" s="83"/>
      <c r="W8" s="83"/>
      <c r="X8" s="83"/>
      <c r="Y8" s="83"/>
      <c r="Z8" s="83"/>
      <c r="AA8" s="83"/>
    </row>
    <row r="9" spans="1:27">
      <c r="B9" s="654" t="s">
        <v>1022</v>
      </c>
      <c r="C9" s="444" t="s">
        <v>575</v>
      </c>
      <c r="D9" s="655">
        <v>243.3971789166601</v>
      </c>
      <c r="E9" s="655">
        <v>315.60579724643401</v>
      </c>
      <c r="F9" s="655">
        <v>241.99008056775813</v>
      </c>
      <c r="G9" s="655">
        <v>225.85626319293689</v>
      </c>
      <c r="H9" s="655">
        <v>183.68348842195539</v>
      </c>
      <c r="I9" s="83"/>
      <c r="J9" s="83"/>
    </row>
    <row r="10" spans="1:27">
      <c r="B10" s="511"/>
      <c r="C10" s="444"/>
      <c r="D10" s="656"/>
      <c r="E10" s="656"/>
      <c r="F10" s="656"/>
      <c r="G10" s="656"/>
      <c r="H10" s="656"/>
      <c r="I10" s="83"/>
      <c r="J10" s="83"/>
    </row>
    <row r="11" spans="1:27">
      <c r="B11" s="511" t="s">
        <v>774</v>
      </c>
      <c r="C11" s="657"/>
      <c r="D11" s="658"/>
      <c r="E11" s="658"/>
      <c r="F11" s="658"/>
      <c r="G11" s="658"/>
      <c r="H11" s="658"/>
      <c r="I11" s="83"/>
      <c r="J11" s="83"/>
    </row>
    <row r="12" spans="1:27">
      <c r="B12" s="659" t="s">
        <v>1023</v>
      </c>
      <c r="C12" s="444" t="s">
        <v>575</v>
      </c>
      <c r="D12" s="655">
        <v>0</v>
      </c>
      <c r="E12" s="655">
        <v>0</v>
      </c>
      <c r="F12" s="655">
        <v>0</v>
      </c>
      <c r="G12" s="655">
        <v>0</v>
      </c>
      <c r="H12" s="655">
        <v>0</v>
      </c>
      <c r="I12" s="83"/>
      <c r="J12" s="83"/>
    </row>
    <row r="13" spans="1:27">
      <c r="B13" s="659" t="s">
        <v>1024</v>
      </c>
      <c r="C13" s="444" t="s">
        <v>575</v>
      </c>
      <c r="D13" s="655">
        <v>37.00412086</v>
      </c>
      <c r="E13" s="655">
        <v>84.253097339999982</v>
      </c>
      <c r="F13" s="655">
        <v>18.672183350000065</v>
      </c>
      <c r="G13" s="655">
        <v>-4.4492413499999923</v>
      </c>
      <c r="H13" s="655">
        <v>-5.8567575899999973</v>
      </c>
      <c r="I13" s="83"/>
      <c r="J13" s="83"/>
    </row>
    <row r="14" spans="1:27">
      <c r="B14" s="659" t="s">
        <v>1025</v>
      </c>
      <c r="C14" s="444" t="s">
        <v>575</v>
      </c>
      <c r="D14" s="655">
        <v>0</v>
      </c>
      <c r="E14" s="655">
        <v>0</v>
      </c>
      <c r="F14" s="655">
        <v>0</v>
      </c>
      <c r="G14" s="655">
        <v>0</v>
      </c>
      <c r="H14" s="655">
        <v>0</v>
      </c>
      <c r="I14" s="83"/>
      <c r="J14" s="83"/>
    </row>
    <row r="15" spans="1:27">
      <c r="B15" s="659" t="s">
        <v>1026</v>
      </c>
      <c r="C15" s="444" t="s">
        <v>575</v>
      </c>
      <c r="D15" s="655">
        <v>0</v>
      </c>
      <c r="E15" s="655">
        <v>0</v>
      </c>
      <c r="F15" s="655">
        <v>0</v>
      </c>
      <c r="G15" s="655">
        <v>0</v>
      </c>
      <c r="H15" s="655">
        <v>0</v>
      </c>
      <c r="I15" s="83"/>
      <c r="J15" s="83"/>
    </row>
    <row r="16" spans="1:27">
      <c r="B16" s="659" t="s">
        <v>1027</v>
      </c>
      <c r="C16" s="444" t="s">
        <v>575</v>
      </c>
      <c r="D16" s="655">
        <v>-0.3088720134154927</v>
      </c>
      <c r="E16" s="655">
        <v>0</v>
      </c>
      <c r="F16" s="655">
        <v>0.30887201341549225</v>
      </c>
      <c r="G16" s="655">
        <v>-0.24670861892622559</v>
      </c>
      <c r="H16" s="655">
        <v>-3.1927797593110929</v>
      </c>
      <c r="I16" s="83"/>
      <c r="J16" s="83"/>
    </row>
    <row r="17" spans="2:9">
      <c r="B17" s="659" t="s">
        <v>1028</v>
      </c>
      <c r="C17" s="444" t="s">
        <v>575</v>
      </c>
      <c r="D17" s="655">
        <v>2.0000000400000002</v>
      </c>
      <c r="E17" s="655">
        <v>17</v>
      </c>
      <c r="F17" s="655">
        <v>26.795408630000004</v>
      </c>
      <c r="G17" s="655">
        <v>21</v>
      </c>
      <c r="H17" s="655">
        <v>13.00000008</v>
      </c>
      <c r="I17" s="83"/>
    </row>
    <row r="18" spans="2:9">
      <c r="B18" s="659" t="s">
        <v>1029</v>
      </c>
      <c r="C18" s="444" t="s">
        <v>575</v>
      </c>
      <c r="D18" s="655">
        <v>0</v>
      </c>
      <c r="E18" s="655">
        <v>0</v>
      </c>
      <c r="F18" s="655">
        <v>0</v>
      </c>
      <c r="G18" s="655">
        <v>0</v>
      </c>
      <c r="H18" s="655">
        <v>0</v>
      </c>
      <c r="I18" s="83"/>
    </row>
    <row r="19" spans="2:9" ht="12.75" customHeight="1">
      <c r="B19" s="659" t="s">
        <v>1030</v>
      </c>
      <c r="C19" s="444" t="s">
        <v>575</v>
      </c>
      <c r="D19" s="655">
        <v>-0.85069508999999999</v>
      </c>
      <c r="E19" s="655">
        <v>-0.86491622000000001</v>
      </c>
      <c r="F19" s="655">
        <v>-1.9452780400000007</v>
      </c>
      <c r="G19" s="655">
        <v>-1.8715609099999995</v>
      </c>
      <c r="H19" s="655">
        <v>-1.91214039</v>
      </c>
      <c r="I19" s="83"/>
    </row>
    <row r="20" spans="2:9">
      <c r="B20" s="659" t="s">
        <v>1031</v>
      </c>
      <c r="C20" s="444" t="s">
        <v>575</v>
      </c>
      <c r="D20" s="655">
        <v>55.538800250000001</v>
      </c>
      <c r="E20" s="655">
        <v>118.52832678</v>
      </c>
      <c r="F20" s="655">
        <v>117.04022311999999</v>
      </c>
      <c r="G20" s="655">
        <v>133.17536939999999</v>
      </c>
      <c r="H20" s="655">
        <v>230.40482603000001</v>
      </c>
      <c r="I20" s="83"/>
    </row>
    <row r="21" spans="2:9">
      <c r="B21" s="659" t="s">
        <v>1032</v>
      </c>
      <c r="C21" s="444" t="s">
        <v>575</v>
      </c>
      <c r="D21" s="655">
        <v>-1.824794</v>
      </c>
      <c r="E21" s="655">
        <v>-1.696825</v>
      </c>
      <c r="F21" s="655">
        <v>-4.0050228599999995</v>
      </c>
      <c r="G21" s="655">
        <v>-1.7757464999999999</v>
      </c>
      <c r="H21" s="655">
        <v>-1.91214039</v>
      </c>
      <c r="I21" s="83"/>
    </row>
    <row r="22" spans="2:9">
      <c r="B22" s="659" t="s">
        <v>1033</v>
      </c>
      <c r="C22" s="444" t="s">
        <v>575</v>
      </c>
      <c r="D22" s="655">
        <v>-0.73452318999999999</v>
      </c>
      <c r="E22" s="655">
        <v>0</v>
      </c>
      <c r="F22" s="655">
        <v>-2.3307091899999999</v>
      </c>
      <c r="G22" s="655">
        <v>-2.87369421</v>
      </c>
      <c r="H22" s="655">
        <v>-3.0234974800000001</v>
      </c>
      <c r="I22" s="83"/>
    </row>
    <row r="23" spans="2:9">
      <c r="B23" s="659" t="s">
        <v>1034</v>
      </c>
      <c r="C23" s="444" t="s">
        <v>575</v>
      </c>
      <c r="D23" s="655">
        <v>0</v>
      </c>
      <c r="E23" s="655">
        <v>6</v>
      </c>
      <c r="F23" s="655">
        <v>0</v>
      </c>
      <c r="G23" s="655">
        <v>0</v>
      </c>
      <c r="H23" s="655">
        <v>0</v>
      </c>
      <c r="I23" s="83"/>
    </row>
    <row r="24" spans="2:9">
      <c r="B24" s="659" t="s">
        <v>1035</v>
      </c>
      <c r="C24" s="444" t="s">
        <v>575</v>
      </c>
      <c r="D24" s="655">
        <v>-0.12464473</v>
      </c>
      <c r="E24" s="655">
        <v>1.1134146</v>
      </c>
      <c r="F24" s="655">
        <v>0</v>
      </c>
      <c r="G24" s="655">
        <v>0</v>
      </c>
      <c r="H24" s="655">
        <v>0</v>
      </c>
      <c r="I24" s="83"/>
    </row>
    <row r="25" spans="2:9">
      <c r="B25" s="659" t="s">
        <v>1036</v>
      </c>
      <c r="C25" s="444" t="s">
        <v>575</v>
      </c>
      <c r="D25" s="655">
        <v>0</v>
      </c>
      <c r="E25" s="655">
        <v>0</v>
      </c>
      <c r="F25" s="655">
        <v>4.3459697899999998</v>
      </c>
      <c r="G25" s="655">
        <v>8.8662365899999998</v>
      </c>
      <c r="H25" s="655">
        <v>0</v>
      </c>
      <c r="I25" s="83"/>
    </row>
    <row r="26" spans="2:9">
      <c r="B26" s="659" t="s">
        <v>1037</v>
      </c>
      <c r="C26" s="444" t="s">
        <v>575</v>
      </c>
      <c r="D26" s="655">
        <v>0</v>
      </c>
      <c r="E26" s="655">
        <v>0</v>
      </c>
      <c r="F26" s="655">
        <v>-1.2087301000000001</v>
      </c>
      <c r="G26" s="655">
        <v>-1.0304699100000001</v>
      </c>
      <c r="H26" s="655">
        <v>-0.96638155999998798</v>
      </c>
      <c r="I26" s="83"/>
    </row>
    <row r="27" spans="2:9">
      <c r="B27" s="659" t="s">
        <v>1038</v>
      </c>
      <c r="C27" s="444" t="s">
        <v>575</v>
      </c>
      <c r="D27" s="655">
        <v>0</v>
      </c>
      <c r="E27" s="655">
        <v>0</v>
      </c>
      <c r="F27" s="655">
        <v>0</v>
      </c>
      <c r="G27" s="655">
        <v>0</v>
      </c>
      <c r="H27" s="655">
        <v>47.173000000000002</v>
      </c>
      <c r="I27" s="83"/>
    </row>
    <row r="28" spans="2:9">
      <c r="B28" s="659" t="s">
        <v>1039</v>
      </c>
      <c r="C28" s="444" t="s">
        <v>575</v>
      </c>
      <c r="D28" s="655">
        <v>0</v>
      </c>
      <c r="E28" s="655">
        <v>0</v>
      </c>
      <c r="F28" s="655">
        <v>0</v>
      </c>
      <c r="G28" s="655">
        <v>0</v>
      </c>
      <c r="H28" s="655">
        <v>3.0868211799999998</v>
      </c>
      <c r="I28" s="83"/>
    </row>
    <row r="29" spans="2:9">
      <c r="B29" s="660" t="s">
        <v>635</v>
      </c>
      <c r="C29" s="444" t="s">
        <v>575</v>
      </c>
      <c r="D29" s="661">
        <f>SUM(D9,D12:D28)</f>
        <v>334.09657104324458</v>
      </c>
      <c r="E29" s="662">
        <f t="shared" ref="E29:H29" si="2">SUM(E9,E12:E28)</f>
        <v>539.93889474643402</v>
      </c>
      <c r="F29" s="662">
        <f t="shared" si="2"/>
        <v>399.66299728117372</v>
      </c>
      <c r="G29" s="662">
        <f t="shared" si="2"/>
        <v>376.65044768401066</v>
      </c>
      <c r="H29" s="662">
        <f t="shared" si="2"/>
        <v>460.48443854264434</v>
      </c>
      <c r="I29" s="83"/>
    </row>
    <row r="30" spans="2:9" ht="14">
      <c r="B30" s="663" t="s">
        <v>775</v>
      </c>
      <c r="C30" s="444" t="s">
        <v>575</v>
      </c>
      <c r="D30" s="636"/>
      <c r="E30" s="664"/>
      <c r="F30" s="664"/>
      <c r="G30" s="664"/>
      <c r="H30" s="664"/>
      <c r="I30" s="83"/>
    </row>
    <row r="31" spans="2:9">
      <c r="B31" s="660" t="s">
        <v>776</v>
      </c>
      <c r="C31" s="444" t="s">
        <v>575</v>
      </c>
      <c r="D31" s="661">
        <f>SUM(D29:D30)</f>
        <v>334.09657104324458</v>
      </c>
      <c r="E31" s="662">
        <f t="shared" ref="E31:H31" si="3">SUM(E29:E30)</f>
        <v>539.93889474643402</v>
      </c>
      <c r="F31" s="662">
        <f t="shared" si="3"/>
        <v>399.66299728117372</v>
      </c>
      <c r="G31" s="662">
        <f t="shared" si="3"/>
        <v>376.65044768401066</v>
      </c>
      <c r="H31" s="662">
        <f t="shared" si="3"/>
        <v>460.48443854264434</v>
      </c>
      <c r="I31" s="83"/>
    </row>
    <row r="32" spans="2:9">
      <c r="B32" s="456" t="s">
        <v>777</v>
      </c>
      <c r="C32" s="444" t="s">
        <v>575</v>
      </c>
      <c r="D32" s="664">
        <v>333.13267204324455</v>
      </c>
      <c r="E32" s="664">
        <v>556.84060464776337</v>
      </c>
      <c r="F32" s="664">
        <v>440.76661943117369</v>
      </c>
      <c r="G32" s="664">
        <v>376.95202650925228</v>
      </c>
      <c r="H32" s="664">
        <v>378.82747749114066</v>
      </c>
      <c r="I32" s="83"/>
    </row>
    <row r="33" spans="2:21">
      <c r="B33" s="456" t="s">
        <v>778</v>
      </c>
      <c r="C33" s="444" t="s">
        <v>575</v>
      </c>
      <c r="D33" s="664">
        <v>0.96389900000000006</v>
      </c>
      <c r="E33" s="664">
        <v>-16.901709901329284</v>
      </c>
      <c r="F33" s="664">
        <v>-41.103622150000007</v>
      </c>
      <c r="G33" s="664">
        <v>-0.30157882524177637</v>
      </c>
      <c r="H33" s="664">
        <v>81.656961051503629</v>
      </c>
      <c r="I33" s="83"/>
    </row>
    <row r="34" spans="2:21">
      <c r="B34" s="456"/>
      <c r="D34" s="665" t="str">
        <f>IF(ABS(D31-SUM(D32:D33))&lt;Data!$F$7,"OK","ERROR")</f>
        <v>OK</v>
      </c>
      <c r="E34" s="666" t="str">
        <f>IF(ABS(E31-SUM(E32:E33))&lt;Data!$F$7,"OK","ERROR")</f>
        <v>OK</v>
      </c>
      <c r="F34" s="666" t="str">
        <f>IF(ABS(F31-SUM(F32:F33))&lt;Data!$F$7,"OK","ERROR")</f>
        <v>OK</v>
      </c>
      <c r="G34" s="666" t="str">
        <f>IF(ABS(G31-SUM(G32:G33))&lt;Data!$F$7,"OK","ERROR")</f>
        <v>OK</v>
      </c>
      <c r="H34" s="666" t="str">
        <f>IF(ABS(H31-SUM(H32:H33))&lt;Data!$F$7,"OK","ERROR")</f>
        <v>OK</v>
      </c>
      <c r="I34" s="83"/>
    </row>
    <row r="35" spans="2:21">
      <c r="D35" s="667"/>
      <c r="E35" s="667"/>
      <c r="F35" s="667"/>
      <c r="G35" s="667"/>
      <c r="H35" s="667"/>
      <c r="I35" s="83"/>
    </row>
    <row r="36" spans="2:21">
      <c r="B36" s="456" t="s">
        <v>779</v>
      </c>
      <c r="C36" s="444" t="s">
        <v>575</v>
      </c>
      <c r="D36" s="664">
        <v>0</v>
      </c>
      <c r="E36" s="664">
        <v>0</v>
      </c>
      <c r="F36" s="664">
        <v>0</v>
      </c>
      <c r="G36" s="664">
        <v>0</v>
      </c>
      <c r="H36" s="664">
        <v>0</v>
      </c>
      <c r="I36" s="83"/>
    </row>
    <row r="37" spans="2:21">
      <c r="D37" s="667"/>
      <c r="E37" s="667"/>
      <c r="F37" s="667"/>
      <c r="G37" s="667"/>
      <c r="H37" s="667"/>
      <c r="I37" s="83"/>
    </row>
    <row r="38" spans="2:21">
      <c r="B38" s="456" t="s">
        <v>780</v>
      </c>
      <c r="C38" s="444" t="s">
        <v>575</v>
      </c>
      <c r="D38" s="655">
        <v>371.39208863647758</v>
      </c>
      <c r="E38" s="655">
        <v>766.09833627969545</v>
      </c>
      <c r="F38" s="655">
        <v>512.70763248436606</v>
      </c>
      <c r="G38" s="655">
        <v>322.47927635940721</v>
      </c>
      <c r="H38" s="655">
        <v>444.23262496338072</v>
      </c>
      <c r="I38"/>
      <c r="J38"/>
      <c r="K38"/>
      <c r="L38"/>
      <c r="M38"/>
      <c r="N38"/>
      <c r="O38"/>
      <c r="P38"/>
      <c r="Q38"/>
      <c r="R38"/>
      <c r="S38"/>
      <c r="T38"/>
      <c r="U38"/>
    </row>
    <row r="39" spans="2:21">
      <c r="B39" s="456"/>
      <c r="C39" s="444"/>
      <c r="D39" s="668"/>
      <c r="E39" s="668"/>
      <c r="F39" s="668"/>
      <c r="G39" s="668"/>
      <c r="H39" s="668"/>
      <c r="I39" s="83"/>
      <c r="K39" s="669"/>
    </row>
    <row r="40" spans="2:21">
      <c r="B40" s="456" t="s">
        <v>781</v>
      </c>
      <c r="C40" s="444" t="s">
        <v>575</v>
      </c>
      <c r="D40" s="554">
        <f>D31-D38</f>
        <v>-37.295517593233001</v>
      </c>
      <c r="E40" s="554">
        <f t="shared" ref="E40:H40" si="4">E31-E38</f>
        <v>-226.15944153326143</v>
      </c>
      <c r="F40" s="554">
        <f t="shared" si="4"/>
        <v>-113.04463520319234</v>
      </c>
      <c r="G40" s="554">
        <f t="shared" si="4"/>
        <v>54.171171324603449</v>
      </c>
      <c r="H40" s="554">
        <f t="shared" si="4"/>
        <v>16.251813579263626</v>
      </c>
    </row>
    <row r="41" spans="2:21">
      <c r="B41" s="456"/>
      <c r="C41" s="444"/>
      <c r="D41" s="444"/>
      <c r="E41" s="444"/>
      <c r="F41" s="444"/>
      <c r="G41" s="444"/>
      <c r="H41" s="444"/>
      <c r="I41" s="444"/>
      <c r="K41" s="669"/>
    </row>
    <row r="42" spans="2:21">
      <c r="B42" s="670" t="s">
        <v>782</v>
      </c>
      <c r="C42" s="444" t="s">
        <v>783</v>
      </c>
      <c r="D42" s="671">
        <f t="shared" ref="D42:H42" si="5">INDEX(real_to_nominal_CF,MATCH(D$6,calendar_year,0))</f>
        <v>1.0847835302284383</v>
      </c>
      <c r="E42" s="671">
        <f t="shared" si="5"/>
        <v>1.1799638149272795</v>
      </c>
      <c r="F42" s="671">
        <f t="shared" si="5"/>
        <v>1.2454152449594804</v>
      </c>
      <c r="G42" s="671">
        <f t="shared" si="5"/>
        <v>1.2854532992282626</v>
      </c>
      <c r="H42" s="671">
        <f t="shared" si="5"/>
        <v>1.3341223113034886</v>
      </c>
      <c r="I42" s="444"/>
      <c r="K42" s="669"/>
    </row>
    <row r="43" spans="2:21">
      <c r="I43" s="545"/>
      <c r="J43" s="545"/>
      <c r="K43" s="545"/>
    </row>
    <row r="44" spans="2:21">
      <c r="B44" s="447" t="s">
        <v>781</v>
      </c>
      <c r="C44" s="567" t="str">
        <f>Data!$C$9</f>
        <v>£m 18/19</v>
      </c>
      <c r="D44" s="661">
        <f>D40/D42</f>
        <v>-34.380608254053371</v>
      </c>
      <c r="E44" s="662">
        <f t="shared" ref="E44:H44" si="6">E40/E42</f>
        <v>-191.66642118360173</v>
      </c>
      <c r="F44" s="662">
        <f t="shared" si="6"/>
        <v>-90.768629708615975</v>
      </c>
      <c r="G44" s="662">
        <f t="shared" si="6"/>
        <v>42.141687572100651</v>
      </c>
      <c r="H44" s="662">
        <f t="shared" si="6"/>
        <v>12.181651893209837</v>
      </c>
      <c r="I44" s="672">
        <f>SUM(D44:INDEX(D44:H44,0,MATCH('RFPR cover'!$C$9,$D$6:$H$6,0)))</f>
        <v>-262.49231968096058</v>
      </c>
      <c r="J44" s="673">
        <f>SUM(D44:H44)</f>
        <v>-262.49231968096058</v>
      </c>
    </row>
    <row r="45" spans="2:21">
      <c r="B45" s="456"/>
      <c r="C45" s="545"/>
      <c r="D45" s="674"/>
      <c r="E45" s="674"/>
      <c r="F45" s="674"/>
      <c r="G45" s="674"/>
      <c r="H45" s="674"/>
      <c r="I45" s="675"/>
      <c r="J45" s="675"/>
    </row>
    <row r="46" spans="2:21">
      <c r="B46" s="447" t="s">
        <v>784</v>
      </c>
      <c r="C46" s="444"/>
      <c r="D46" s="674"/>
      <c r="E46" s="674"/>
      <c r="F46" s="674"/>
      <c r="G46" s="674"/>
      <c r="H46" s="674"/>
      <c r="I46" s="675"/>
      <c r="J46" s="675"/>
    </row>
    <row r="47" spans="2:21">
      <c r="B47" s="659" t="s">
        <v>1040</v>
      </c>
      <c r="C47" s="444" t="s">
        <v>575</v>
      </c>
      <c r="D47" s="676">
        <v>0</v>
      </c>
      <c r="E47" s="676">
        <v>0</v>
      </c>
      <c r="F47" s="676">
        <v>0</v>
      </c>
      <c r="G47" s="676">
        <v>0</v>
      </c>
      <c r="H47" s="676">
        <v>0</v>
      </c>
      <c r="I47" s="672">
        <f>SUM(D47:INDEX(D47:H47,0,MATCH('RFPR cover'!$C$9,$D$6:$H$6,0)))</f>
        <v>0</v>
      </c>
      <c r="J47" s="672">
        <f t="shared" ref="J47:J54" si="7">SUM(D47:H47)</f>
        <v>0</v>
      </c>
    </row>
    <row r="48" spans="2:21" ht="14">
      <c r="B48" s="659" t="s">
        <v>785</v>
      </c>
      <c r="C48" s="444" t="s">
        <v>575</v>
      </c>
      <c r="D48" s="636"/>
      <c r="E48" s="664">
        <v>0</v>
      </c>
      <c r="F48" s="664">
        <v>0</v>
      </c>
      <c r="G48" s="664">
        <v>0</v>
      </c>
      <c r="H48" s="664">
        <v>0</v>
      </c>
      <c r="I48" s="672">
        <f>SUM(D48:INDEX(D48:H48,0,MATCH('RFPR cover'!$C$9,$D$6:$H$6,0)))</f>
        <v>0</v>
      </c>
      <c r="J48" s="672">
        <f t="shared" si="7"/>
        <v>0</v>
      </c>
    </row>
    <row r="49" spans="1:11">
      <c r="B49" s="659" t="s">
        <v>1041</v>
      </c>
      <c r="C49" s="444" t="s">
        <v>575</v>
      </c>
      <c r="D49" s="676">
        <v>0</v>
      </c>
      <c r="E49" s="676">
        <v>-21.227006339064324</v>
      </c>
      <c r="F49" s="676">
        <v>-38.582296291512144</v>
      </c>
      <c r="G49" s="676">
        <v>-23.657895547504197</v>
      </c>
      <c r="H49" s="676">
        <v>-20.867216500105275</v>
      </c>
      <c r="I49" s="672">
        <f>SUM(D49:INDEX(D49:H49,0,MATCH('RFPR cover'!$C$9,$D$6:$H$6,0)))</f>
        <v>-104.33441467818594</v>
      </c>
      <c r="J49" s="672">
        <f t="shared" si="7"/>
        <v>-104.33441467818594</v>
      </c>
    </row>
    <row r="50" spans="1:11">
      <c r="B50" s="659" t="s">
        <v>1042</v>
      </c>
      <c r="C50" s="444" t="s">
        <v>575</v>
      </c>
      <c r="D50" s="676">
        <v>0</v>
      </c>
      <c r="E50" s="676">
        <v>12.128296372295868</v>
      </c>
      <c r="F50" s="676">
        <v>20.459576615057326</v>
      </c>
      <c r="G50" s="676">
        <v>20.403676132502525</v>
      </c>
      <c r="H50" s="676">
        <v>20.403676132502525</v>
      </c>
      <c r="I50" s="672">
        <f>SUM(D50:INDEX(D50:H50,0,MATCH('RFPR cover'!$C$9,$D$6:$H$6,0)))</f>
        <v>73.395225252358244</v>
      </c>
      <c r="J50" s="672">
        <f t="shared" si="7"/>
        <v>73.395225252358244</v>
      </c>
    </row>
    <row r="51" spans="1:11">
      <c r="B51" s="659" t="s">
        <v>1043</v>
      </c>
      <c r="C51" s="444" t="s">
        <v>575</v>
      </c>
      <c r="D51" s="676">
        <v>0</v>
      </c>
      <c r="E51" s="676">
        <v>0</v>
      </c>
      <c r="F51" s="676">
        <v>0</v>
      </c>
      <c r="G51" s="676">
        <v>0</v>
      </c>
      <c r="H51" s="676">
        <v>-3.0868211799999998</v>
      </c>
      <c r="I51" s="672">
        <f>SUM(D51:INDEX(D51:H51,0,MATCH('RFPR cover'!$C$9,$D$6:$H$6,0)))</f>
        <v>-3.0868211799999998</v>
      </c>
      <c r="J51" s="672">
        <f t="shared" si="7"/>
        <v>-3.0868211799999998</v>
      </c>
    </row>
    <row r="52" spans="1:11">
      <c r="B52" s="659" t="s">
        <v>1044</v>
      </c>
      <c r="C52" s="444" t="s">
        <v>575</v>
      </c>
      <c r="D52" s="676">
        <v>0</v>
      </c>
      <c r="E52" s="676">
        <v>0</v>
      </c>
      <c r="F52" s="676">
        <v>0</v>
      </c>
      <c r="G52" s="676">
        <v>0</v>
      </c>
      <c r="H52" s="676">
        <v>0</v>
      </c>
      <c r="I52" s="672">
        <f>SUM(D52:INDEX(D52:H52,0,MATCH('RFPR cover'!$C$9,$D$6:$H$6,0)))</f>
        <v>0</v>
      </c>
      <c r="J52" s="672">
        <f t="shared" si="7"/>
        <v>0</v>
      </c>
    </row>
    <row r="53" spans="1:11">
      <c r="B53" s="659" t="s">
        <v>1045</v>
      </c>
      <c r="C53" s="444" t="s">
        <v>575</v>
      </c>
      <c r="D53" s="676">
        <v>0</v>
      </c>
      <c r="E53" s="676">
        <v>0</v>
      </c>
      <c r="F53" s="676">
        <v>0</v>
      </c>
      <c r="G53" s="676">
        <v>0</v>
      </c>
      <c r="H53" s="676">
        <v>0</v>
      </c>
      <c r="I53" s="672">
        <f>SUM(D53:INDEX(D53:H53,0,MATCH('RFPR cover'!$C$9,$D$6:$H$6,0)))</f>
        <v>0</v>
      </c>
      <c r="J53" s="672">
        <f t="shared" si="7"/>
        <v>0</v>
      </c>
    </row>
    <row r="54" spans="1:11">
      <c r="B54" s="659" t="s">
        <v>1045</v>
      </c>
      <c r="C54" s="444" t="s">
        <v>575</v>
      </c>
      <c r="D54" s="676">
        <v>0</v>
      </c>
      <c r="E54" s="676">
        <v>0</v>
      </c>
      <c r="F54" s="676">
        <v>0</v>
      </c>
      <c r="G54" s="676">
        <v>0</v>
      </c>
      <c r="H54" s="676">
        <v>0</v>
      </c>
      <c r="I54" s="672">
        <f>SUM(D54:INDEX(D54:H54,0,MATCH('RFPR cover'!$C$9,$D$6:$H$6,0)))</f>
        <v>0</v>
      </c>
      <c r="J54" s="672">
        <f t="shared" si="7"/>
        <v>0</v>
      </c>
    </row>
    <row r="55" spans="1:11">
      <c r="A55" s="677"/>
      <c r="B55" s="678"/>
      <c r="C55" s="679"/>
      <c r="D55" s="680"/>
      <c r="E55" s="680"/>
      <c r="F55" s="680"/>
      <c r="G55" s="680"/>
      <c r="H55" s="680"/>
      <c r="I55" s="681"/>
      <c r="J55" s="681"/>
      <c r="K55" s="677"/>
    </row>
    <row r="56" spans="1:11">
      <c r="B56" s="682" t="s">
        <v>786</v>
      </c>
      <c r="C56" s="587" t="s">
        <v>575</v>
      </c>
      <c r="D56" s="661">
        <f>SUM(D47:D54)</f>
        <v>0</v>
      </c>
      <c r="E56" s="661">
        <f t="shared" ref="E56:H56" si="8">SUM(E47:E54)</f>
        <v>-9.0987099667684568</v>
      </c>
      <c r="F56" s="661">
        <f t="shared" si="8"/>
        <v>-18.122719676454818</v>
      </c>
      <c r="G56" s="661">
        <f t="shared" si="8"/>
        <v>-3.2542194150016712</v>
      </c>
      <c r="H56" s="661">
        <f t="shared" si="8"/>
        <v>-3.5503615476027499</v>
      </c>
      <c r="I56" s="672">
        <f>SUM(D56:INDEX(D56:H56,0,MATCH('RFPR cover'!$C$9,$D$6:$H$6,0)))</f>
        <v>-34.026010605827693</v>
      </c>
      <c r="J56" s="673">
        <f>SUM(D56:H56)</f>
        <v>-34.026010605827693</v>
      </c>
    </row>
    <row r="57" spans="1:11">
      <c r="B57" s="682" t="s">
        <v>786</v>
      </c>
      <c r="C57" s="567" t="str">
        <f>Data!$C$9</f>
        <v>£m 18/19</v>
      </c>
      <c r="D57" s="661">
        <f>D56/D42</f>
        <v>0</v>
      </c>
      <c r="E57" s="661">
        <f t="shared" ref="E57:H57" si="9">E56/E42</f>
        <v>-7.7110076187626184</v>
      </c>
      <c r="F57" s="661">
        <f t="shared" si="9"/>
        <v>-14.551547967476855</v>
      </c>
      <c r="G57" s="661">
        <f t="shared" si="9"/>
        <v>-2.5315734277981012</v>
      </c>
      <c r="H57" s="661">
        <f t="shared" si="9"/>
        <v>-2.6611964416770086</v>
      </c>
      <c r="I57" s="672">
        <f>SUM(D57:INDEX(D57:H57,0,MATCH('RFPR cover'!$C$9,$D$6:$H$6,0)))</f>
        <v>-27.455325455714583</v>
      </c>
      <c r="J57" s="673">
        <f>SUM(D57:H57)</f>
        <v>-27.455325455714583</v>
      </c>
    </row>
    <row r="58" spans="1:11">
      <c r="B58" s="456"/>
      <c r="C58" s="545"/>
      <c r="D58" s="674"/>
      <c r="E58" s="674"/>
      <c r="F58" s="674"/>
      <c r="G58" s="674"/>
      <c r="H58" s="674"/>
      <c r="I58" s="675"/>
      <c r="J58" s="675"/>
    </row>
    <row r="59" spans="1:11">
      <c r="A59" s="544"/>
      <c r="B59" s="83"/>
      <c r="C59" s="83"/>
      <c r="D59" s="83"/>
      <c r="E59" s="83"/>
      <c r="F59" s="83"/>
      <c r="G59" s="83"/>
      <c r="H59" s="83"/>
      <c r="I59" s="83"/>
      <c r="J59" s="83"/>
      <c r="K59" s="83"/>
    </row>
    <row r="60" spans="1:11">
      <c r="A60" s="544"/>
      <c r="B60" s="683" t="s">
        <v>787</v>
      </c>
      <c r="C60" s="452"/>
      <c r="D60" s="452"/>
      <c r="E60" s="452"/>
      <c r="F60" s="452"/>
      <c r="G60" s="452"/>
      <c r="H60" s="452"/>
      <c r="I60" s="452"/>
      <c r="J60" s="452"/>
      <c r="K60" s="452"/>
    </row>
    <row r="61" spans="1:11">
      <c r="A61" s="544"/>
      <c r="B61" s="684" t="s">
        <v>788</v>
      </c>
      <c r="C61" s="685"/>
      <c r="D61" s="685"/>
      <c r="E61" s="685"/>
      <c r="F61" s="685"/>
      <c r="G61" s="685"/>
      <c r="H61" s="685"/>
      <c r="I61" s="685"/>
      <c r="J61" s="685"/>
      <c r="K61" s="685"/>
    </row>
    <row r="62" spans="1:11">
      <c r="A62" s="544"/>
      <c r="B62" s="83"/>
      <c r="C62" s="83"/>
      <c r="D62" s="83"/>
      <c r="E62" s="83"/>
      <c r="F62" s="83"/>
      <c r="G62" s="83"/>
      <c r="H62" s="83"/>
      <c r="I62" s="83"/>
      <c r="J62" s="83"/>
      <c r="K62" s="83"/>
    </row>
    <row r="63" spans="1:11">
      <c r="B63" s="456" t="s">
        <v>24</v>
      </c>
      <c r="C63" s="545" t="s">
        <v>538</v>
      </c>
      <c r="D63" s="686">
        <f>Data!$C$8</f>
        <v>0.55000000000000004</v>
      </c>
      <c r="E63" s="687">
        <f>Data!$C$8</f>
        <v>0.55000000000000004</v>
      </c>
      <c r="F63" s="687">
        <f>Data!$C$8</f>
        <v>0.55000000000000004</v>
      </c>
      <c r="G63" s="687">
        <f>Data!$C$8</f>
        <v>0.55000000000000004</v>
      </c>
      <c r="H63" s="687">
        <f>Data!$C$8</f>
        <v>0.55000000000000004</v>
      </c>
      <c r="I63" s="83"/>
      <c r="K63" s="669"/>
    </row>
    <row r="64" spans="1:11">
      <c r="B64" s="456" t="s">
        <v>789</v>
      </c>
      <c r="C64" s="545" t="s">
        <v>538</v>
      </c>
      <c r="D64" s="687">
        <f>'R6 - Net Debt'!D75</f>
        <v>0.5316973134470756</v>
      </c>
      <c r="E64" s="687">
        <f>'R6 - Net Debt'!E75</f>
        <v>0.50275052980888979</v>
      </c>
      <c r="F64" s="687">
        <f>'R6 - Net Debt'!F75</f>
        <v>0.49217095920619514</v>
      </c>
      <c r="G64" s="687">
        <f>'R6 - Net Debt'!G75</f>
        <v>0.49283713882384017</v>
      </c>
      <c r="H64" s="687">
        <f>'R6 - Net Debt'!H75</f>
        <v>0.51087280800150736</v>
      </c>
      <c r="I64" s="83"/>
      <c r="K64" s="669"/>
    </row>
    <row r="65" spans="1:12">
      <c r="B65" s="456"/>
      <c r="C65" s="545"/>
      <c r="D65" s="545"/>
      <c r="E65" s="545"/>
      <c r="F65" s="545"/>
      <c r="G65" s="545"/>
      <c r="H65" s="545"/>
      <c r="I65" s="83"/>
      <c r="K65" s="669"/>
    </row>
    <row r="66" spans="1:12">
      <c r="B66" s="456" t="s">
        <v>790</v>
      </c>
      <c r="C66" s="444" t="s">
        <v>575</v>
      </c>
      <c r="D66" s="410">
        <f t="shared" ref="D66:H66" si="10">D40</f>
        <v>-37.295517593233001</v>
      </c>
      <c r="E66" s="688">
        <f t="shared" si="10"/>
        <v>-226.15944153326143</v>
      </c>
      <c r="F66" s="688">
        <f t="shared" si="10"/>
        <v>-113.04463520319234</v>
      </c>
      <c r="G66" s="688">
        <f t="shared" si="10"/>
        <v>54.171171324603449</v>
      </c>
      <c r="H66" s="688">
        <f t="shared" si="10"/>
        <v>16.251813579263626</v>
      </c>
    </row>
    <row r="67" spans="1:12">
      <c r="B67" s="456" t="s">
        <v>791</v>
      </c>
      <c r="C67" s="444" t="s">
        <v>575</v>
      </c>
      <c r="D67" s="410">
        <f>((D63-D64)/D64)*D66</f>
        <v>-1.2838285074501667</v>
      </c>
      <c r="E67" s="410">
        <f t="shared" ref="E67:H67" si="11">((E63-E64)/E64)*E66</f>
        <v>-21.254903093241904</v>
      </c>
      <c r="F67" s="410">
        <f t="shared" si="11"/>
        <v>-13.282504175439202</v>
      </c>
      <c r="G67" s="410">
        <f t="shared" si="11"/>
        <v>6.2831692302416382</v>
      </c>
      <c r="H67" s="410">
        <f t="shared" si="11"/>
        <v>1.2447087029883224</v>
      </c>
      <c r="K67" s="669"/>
    </row>
    <row r="68" spans="1:12">
      <c r="B68" s="456" t="s">
        <v>792</v>
      </c>
      <c r="C68" s="444" t="s">
        <v>575</v>
      </c>
      <c r="D68" s="554">
        <f>SUM(D66:D67)</f>
        <v>-38.579346100683168</v>
      </c>
      <c r="E68" s="689">
        <f t="shared" ref="E68:H68" si="12">SUM(E66:E67)</f>
        <v>-247.41434462650332</v>
      </c>
      <c r="F68" s="689">
        <f t="shared" si="12"/>
        <v>-126.32713937863154</v>
      </c>
      <c r="G68" s="689">
        <f t="shared" si="12"/>
        <v>60.454340554845089</v>
      </c>
      <c r="H68" s="689">
        <f t="shared" si="12"/>
        <v>17.496522282251949</v>
      </c>
    </row>
    <row r="69" spans="1:12">
      <c r="B69" s="456"/>
      <c r="C69" s="444"/>
      <c r="D69" s="444"/>
      <c r="E69" s="444"/>
      <c r="F69" s="444"/>
      <c r="G69" s="444"/>
      <c r="H69" s="444"/>
      <c r="I69" s="444"/>
      <c r="J69" s="444"/>
      <c r="K69" s="444"/>
      <c r="L69" s="444"/>
    </row>
    <row r="70" spans="1:12">
      <c r="B70" s="447" t="s">
        <v>792</v>
      </c>
      <c r="C70" s="567" t="str">
        <f>Data!$C$9</f>
        <v>£m 18/19</v>
      </c>
      <c r="D70" s="661">
        <f t="shared" ref="D70:H70" si="13">D68/D42</f>
        <v>-35.564096453933963</v>
      </c>
      <c r="E70" s="662">
        <f t="shared" si="13"/>
        <v>-209.67960330355666</v>
      </c>
      <c r="F70" s="662">
        <f t="shared" si="13"/>
        <v>-101.43375062246135</v>
      </c>
      <c r="G70" s="662">
        <f t="shared" si="13"/>
        <v>47.029589166047174</v>
      </c>
      <c r="H70" s="662">
        <f t="shared" si="13"/>
        <v>13.114631345275365</v>
      </c>
      <c r="I70" s="672">
        <f>SUM(D70:INDEX(D70:H70,0,MATCH('RFPR cover'!$C$9,$D$6:$H$6,0)))</f>
        <v>-286.53322986862941</v>
      </c>
      <c r="J70" s="673">
        <f>SUM(D70:H70)</f>
        <v>-286.53322986862941</v>
      </c>
    </row>
    <row r="71" spans="1:12">
      <c r="B71" s="456" t="s">
        <v>793</v>
      </c>
      <c r="C71" s="545" t="str">
        <f>Data!$C$9</f>
        <v>£m 18/19</v>
      </c>
      <c r="D71" s="410">
        <f>D57*((D63-D64)/D64)+D57</f>
        <v>0</v>
      </c>
      <c r="E71" s="410">
        <f t="shared" ref="E71:H71" si="14">E57*((E63-E64)/E64)+E57</f>
        <v>-8.4357030751048434</v>
      </c>
      <c r="F71" s="410">
        <f t="shared" si="14"/>
        <v>-16.261323900582411</v>
      </c>
      <c r="G71" s="410">
        <f t="shared" si="14"/>
        <v>-2.8252038566165023</v>
      </c>
      <c r="H71" s="410">
        <f t="shared" si="14"/>
        <v>-2.8650145789674446</v>
      </c>
      <c r="I71" s="690">
        <f>SUM(D71:INDEX(D71:H71,0,MATCH('RFPR cover'!$C$9,$D$6:$H$6,0)))</f>
        <v>-30.387245411271198</v>
      </c>
      <c r="J71" s="691">
        <f>SUM(D71:H71)</f>
        <v>-30.387245411271198</v>
      </c>
      <c r="K71" s="545"/>
    </row>
    <row r="72" spans="1:12"/>
    <row r="73" spans="1:12">
      <c r="B73" s="692" t="s">
        <v>794</v>
      </c>
      <c r="C73" s="693"/>
      <c r="D73" s="693"/>
      <c r="E73" s="693"/>
      <c r="F73" s="693"/>
      <c r="G73" s="693"/>
      <c r="H73" s="693"/>
      <c r="I73" s="693"/>
      <c r="J73" s="693"/>
      <c r="K73" s="693"/>
      <c r="L73" s="545"/>
    </row>
    <row r="74" spans="1:12">
      <c r="B74" s="593"/>
      <c r="C74" s="545"/>
      <c r="D74" s="545"/>
      <c r="E74" s="545"/>
      <c r="F74" s="545"/>
      <c r="G74" s="545"/>
      <c r="H74" s="545"/>
      <c r="I74" s="545"/>
      <c r="J74" s="545"/>
      <c r="K74" s="545"/>
      <c r="L74" s="545"/>
    </row>
    <row r="75" spans="1:12">
      <c r="B75" s="684" t="s">
        <v>795</v>
      </c>
      <c r="C75" s="694"/>
      <c r="D75" s="694"/>
      <c r="E75" s="694"/>
      <c r="F75" s="694"/>
      <c r="G75" s="694"/>
      <c r="H75" s="694"/>
      <c r="I75" s="694"/>
      <c r="J75" s="694"/>
      <c r="K75" s="694"/>
      <c r="L75" s="545"/>
    </row>
    <row r="76" spans="1:12">
      <c r="B76" s="695"/>
      <c r="C76" s="695"/>
      <c r="D76" s="695"/>
      <c r="E76" s="695"/>
      <c r="F76" s="695"/>
      <c r="G76" s="695"/>
      <c r="H76" s="695"/>
      <c r="I76" s="695"/>
      <c r="J76" s="695"/>
      <c r="K76" s="695"/>
      <c r="L76" s="545"/>
    </row>
    <row r="77" spans="1:12">
      <c r="A77" s="696"/>
      <c r="B77" s="456" t="s">
        <v>796</v>
      </c>
      <c r="C77" s="545" t="str">
        <f>Data!$C$9</f>
        <v>£m 18/19</v>
      </c>
      <c r="D77" s="605">
        <f>'R7 - RAV'!F43</f>
        <v>156.3491160442388</v>
      </c>
      <c r="E77" s="605">
        <f>'R7 - RAV'!G43</f>
        <v>147.77873913586757</v>
      </c>
      <c r="F77" s="605">
        <f>'R7 - RAV'!H43</f>
        <v>152.81770238918691</v>
      </c>
      <c r="G77" s="605">
        <f>'R7 - RAV'!I43</f>
        <v>176.3461083198253</v>
      </c>
      <c r="H77" s="605">
        <f>'R7 - RAV'!J43</f>
        <v>206.22281604796831</v>
      </c>
      <c r="I77" s="695"/>
      <c r="J77" s="697"/>
      <c r="L77" s="545"/>
    </row>
    <row r="78" spans="1:12">
      <c r="B78" s="456"/>
      <c r="C78" s="545"/>
      <c r="D78" s="698"/>
      <c r="E78" s="698"/>
      <c r="F78" s="698"/>
      <c r="G78" s="698"/>
      <c r="H78" s="698"/>
      <c r="I78" s="695"/>
      <c r="J78" s="675"/>
      <c r="L78" s="545"/>
    </row>
    <row r="79" spans="1:12">
      <c r="B79" s="456"/>
      <c r="C79" s="545"/>
      <c r="D79" s="698"/>
      <c r="E79" s="699"/>
      <c r="F79" s="699"/>
      <c r="G79" s="699"/>
      <c r="H79" s="699"/>
      <c r="I79" s="675"/>
      <c r="J79" s="675"/>
      <c r="L79" s="545"/>
    </row>
    <row r="80" spans="1:12">
      <c r="B80" s="700" t="s">
        <v>797</v>
      </c>
      <c r="C80" s="693"/>
      <c r="D80" s="693"/>
      <c r="E80" s="693"/>
      <c r="F80" s="693"/>
      <c r="G80" s="693"/>
      <c r="H80" s="693"/>
      <c r="I80" s="693"/>
      <c r="J80" s="693"/>
      <c r="K80" s="693"/>
    </row>
    <row r="81" spans="2:11">
      <c r="B81" s="684" t="s">
        <v>798</v>
      </c>
      <c r="C81" s="685"/>
      <c r="D81" s="685"/>
      <c r="E81" s="685"/>
      <c r="F81" s="685"/>
      <c r="G81" s="685"/>
      <c r="H81" s="685"/>
      <c r="I81" s="685"/>
      <c r="J81" s="685"/>
      <c r="K81" s="685"/>
    </row>
    <row r="82" spans="2:11" ht="24.75" customHeight="1">
      <c r="B82" s="657" t="s">
        <v>799</v>
      </c>
      <c r="C82" s="545"/>
      <c r="D82" s="545"/>
      <c r="E82" s="545"/>
      <c r="F82" s="545"/>
      <c r="G82" s="545"/>
      <c r="H82" s="545"/>
      <c r="I82" s="545"/>
      <c r="J82" s="545"/>
      <c r="K82" s="545"/>
    </row>
    <row r="83" spans="2:11">
      <c r="B83" s="456" t="s">
        <v>800</v>
      </c>
      <c r="C83" s="545" t="str">
        <f>Data!$C$9</f>
        <v>£m 18/19</v>
      </c>
      <c r="D83" s="661">
        <f>D77-D44-D57</f>
        <v>190.72972429829218</v>
      </c>
      <c r="E83" s="661">
        <f>E77-E44-E57</f>
        <v>347.15616793823193</v>
      </c>
      <c r="F83" s="661">
        <f>F77-F44-F57</f>
        <v>258.13788006527972</v>
      </c>
      <c r="G83" s="661">
        <f>G77-G44-G57</f>
        <v>136.73599417552276</v>
      </c>
      <c r="H83" s="661">
        <f>H77-H44-H57</f>
        <v>196.70236059643548</v>
      </c>
      <c r="I83" s="672">
        <f>SUM(D83:INDEX(D83:H83,0,MATCH('RFPR cover'!$C$9,$D$6:$H$6,0)))</f>
        <v>1129.4621270737621</v>
      </c>
      <c r="J83" s="673">
        <f>SUM(D83:H83)</f>
        <v>1129.4621270737621</v>
      </c>
      <c r="K83" s="545"/>
    </row>
    <row r="84" spans="2:11">
      <c r="B84" s="456"/>
      <c r="K84" s="545"/>
    </row>
    <row r="85" spans="2:11">
      <c r="B85" s="456" t="s">
        <v>801</v>
      </c>
      <c r="C85" s="545" t="str">
        <f>Data!$C$9</f>
        <v>£m 18/19</v>
      </c>
      <c r="D85" s="661">
        <f>D77-D70-D71</f>
        <v>191.91321249817275</v>
      </c>
      <c r="E85" s="661">
        <f>E77-E70-E71</f>
        <v>365.89404551452907</v>
      </c>
      <c r="F85" s="661">
        <f>F77-F70-F71</f>
        <v>270.51277691223066</v>
      </c>
      <c r="G85" s="661">
        <f>G77-G70-G71</f>
        <v>132.14172301039463</v>
      </c>
      <c r="H85" s="661">
        <f>H77-H70-H71</f>
        <v>195.97319928166038</v>
      </c>
      <c r="I85" s="672">
        <f>SUM(D85:INDEX(D85:H85,0,MATCH('RFPR cover'!$C$9,$D$6:$H$6,0)))</f>
        <v>1156.4349572169874</v>
      </c>
      <c r="J85" s="673">
        <f>SUM(D85:H85)</f>
        <v>1156.4349572169874</v>
      </c>
      <c r="K85" s="545"/>
    </row>
    <row r="86" spans="2:11">
      <c r="B86" s="456"/>
      <c r="K86" s="545"/>
    </row>
    <row r="87" spans="2:11">
      <c r="B87" s="456" t="s">
        <v>802</v>
      </c>
      <c r="C87" s="545" t="str">
        <f>Data!$C$9</f>
        <v>£m 18/19</v>
      </c>
      <c r="D87" s="661">
        <f>D83-D85</f>
        <v>-1.1834881998805713</v>
      </c>
      <c r="E87" s="661">
        <f t="shared" ref="E87:H87" si="15">E83-E85</f>
        <v>-18.737877576297137</v>
      </c>
      <c r="F87" s="661">
        <f t="shared" si="15"/>
        <v>-12.374896846950946</v>
      </c>
      <c r="G87" s="661">
        <f t="shared" si="15"/>
        <v>4.5942711651281343</v>
      </c>
      <c r="H87" s="661">
        <f t="shared" si="15"/>
        <v>0.72916131477509794</v>
      </c>
      <c r="I87" s="672">
        <f>SUM(D87:INDEX(D87:H87,0,MATCH('RFPR cover'!$C$9,$D$6:$H$6,0)))</f>
        <v>-26.972830143225423</v>
      </c>
      <c r="J87" s="673">
        <f>SUM(D87:H87)</f>
        <v>-26.972830143225423</v>
      </c>
      <c r="K87" s="545"/>
    </row>
    <row r="88" spans="2:11">
      <c r="K88" s="545"/>
    </row>
    <row r="89" spans="2:11">
      <c r="K89" s="545"/>
    </row>
    <row r="90" spans="2:11">
      <c r="K90" s="545"/>
    </row>
    <row r="91" spans="2:11">
      <c r="K91" s="545"/>
    </row>
    <row r="92" spans="2:11"/>
    <row r="93" spans="2:11"/>
    <row r="94" spans="2:11"/>
    <row r="95" spans="2:11"/>
    <row r="96" spans="2:11"/>
    <row r="97"/>
    <row r="98"/>
    <row r="99"/>
    <row r="100"/>
  </sheetData>
  <sheetProtection insertRows="0" sort="0" autoFilter="0" pivotTables="0"/>
  <conditionalFormatting sqref="D48">
    <cfRule type="expression" dxfId="33" priority="2">
      <formula>D$5="Forecast"</formula>
    </cfRule>
    <cfRule type="expression" dxfId="32" priority="3">
      <formula>C$12="N/A"</formula>
    </cfRule>
  </conditionalFormatting>
  <conditionalFormatting sqref="D30:H30">
    <cfRule type="expression" dxfId="31" priority="1">
      <formula>D$5="Actuals"</formula>
    </cfRule>
  </conditionalFormatting>
  <pageMargins left="0.70866141732283472" right="0.70866141732283472" top="0.74803149606299213" bottom="0.74803149606299213" header="0.31496062992125984" footer="0.31496062992125984"/>
  <pageSetup paperSize="8" scale="65" orientation="landscape" r:id="rId1"/>
  <headerFooter>
    <oddFooter>&amp;C_x000D_&amp;1#&amp;"Calibri"&amp;10&amp;K000000 OFFICIAL-InternalOnly</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7B140-9552-4D68-8B93-4556D217BEA1}">
  <sheetPr>
    <tabColor rgb="FFFFFFCC"/>
    <pageSetUpPr fitToPage="1"/>
  </sheetPr>
  <dimension ref="A1:W113"/>
  <sheetViews>
    <sheetView tabSelected="1" topLeftCell="A68" zoomScale="80" zoomScaleNormal="80" workbookViewId="0">
      <selection activeCell="E18" sqref="E18"/>
    </sheetView>
  </sheetViews>
  <sheetFormatPr defaultColWidth="0" defaultRowHeight="13.5" customHeight="1" zeroHeight="1"/>
  <cols>
    <col min="1" max="1" width="8.3828125" style="427" customWidth="1"/>
    <col min="2" max="2" width="85.765625" style="427" bestFit="1" customWidth="1"/>
    <col min="3" max="3" width="14.15234375" style="427" customWidth="1"/>
    <col min="4" max="8" width="11.15234375" style="427" customWidth="1"/>
    <col min="9" max="9" width="5" style="427" customWidth="1"/>
    <col min="10" max="10" width="12.84375" style="427" customWidth="1"/>
    <col min="11" max="23" width="9.23046875" style="427" customWidth="1"/>
    <col min="24" max="16384" width="9" style="427" hidden="1"/>
  </cols>
  <sheetData>
    <row r="1" spans="1:23" ht="20">
      <c r="A1" s="428" t="s">
        <v>268</v>
      </c>
      <c r="B1" s="643"/>
      <c r="C1" s="528"/>
      <c r="D1" s="528"/>
      <c r="E1" s="528"/>
      <c r="F1" s="528"/>
      <c r="G1" s="528"/>
      <c r="H1" s="528"/>
      <c r="I1" s="530"/>
    </row>
    <row r="2" spans="1:23" ht="20">
      <c r="A2" s="433" t="str">
        <f>Licensee</f>
        <v>NGET (TO)</v>
      </c>
      <c r="B2" s="644"/>
      <c r="C2" s="436"/>
      <c r="D2" s="436"/>
      <c r="E2" s="436"/>
      <c r="F2" s="436"/>
      <c r="G2" s="436"/>
      <c r="H2" s="436"/>
      <c r="I2" s="437"/>
    </row>
    <row r="3" spans="1:23" ht="20">
      <c r="A3" s="645">
        <f>Reporting_Year</f>
        <v>2026</v>
      </c>
      <c r="B3" s="646" t="str">
        <f>'R5 - Financing'!B3</f>
        <v/>
      </c>
      <c r="C3" s="441"/>
      <c r="D3" s="441"/>
      <c r="E3" s="441"/>
      <c r="F3" s="441"/>
      <c r="G3" s="441"/>
      <c r="H3" s="441"/>
      <c r="I3" s="442"/>
    </row>
    <row r="4" spans="1:23" ht="12.75" customHeight="1">
      <c r="A4" s="648"/>
      <c r="B4" s="648"/>
      <c r="C4" s="648"/>
      <c r="D4" s="648"/>
      <c r="E4" s="648"/>
      <c r="F4" s="648"/>
      <c r="G4" s="648"/>
      <c r="H4" s="648"/>
      <c r="I4" s="649"/>
    </row>
    <row r="5" spans="1:23">
      <c r="A5" s="83"/>
      <c r="B5" s="584"/>
      <c r="C5" s="584"/>
      <c r="D5" s="445" t="str">
        <f t="shared" ref="D5:H5" si="0">IF(D6&lt;=Reporting_Year,"Actuals","Forecast")</f>
        <v>Actuals</v>
      </c>
      <c r="E5" s="445" t="str">
        <f t="shared" si="0"/>
        <v>Actuals</v>
      </c>
      <c r="F5" s="445" t="str">
        <f t="shared" si="0"/>
        <v>Actuals</v>
      </c>
      <c r="G5" s="445" t="str">
        <f t="shared" si="0"/>
        <v>Actuals</v>
      </c>
      <c r="H5" s="445" t="str">
        <f t="shared" si="0"/>
        <v>Actuals</v>
      </c>
      <c r="I5" s="83"/>
      <c r="J5" s="83"/>
      <c r="K5" s="83"/>
      <c r="L5" s="83"/>
      <c r="M5" s="83"/>
      <c r="N5" s="83"/>
      <c r="O5" s="83"/>
      <c r="P5" s="83"/>
      <c r="Q5" s="83"/>
      <c r="R5" s="83"/>
      <c r="S5" s="83"/>
      <c r="T5" s="83"/>
      <c r="U5" s="83"/>
      <c r="V5" s="83"/>
      <c r="W5" s="83"/>
    </row>
    <row r="6" spans="1:23">
      <c r="A6" s="83"/>
      <c r="B6" s="83"/>
      <c r="C6" s="83"/>
      <c r="D6" s="533">
        <f>'RFPR cover'!$C$6</f>
        <v>2022</v>
      </c>
      <c r="E6" s="534">
        <f>D6+1</f>
        <v>2023</v>
      </c>
      <c r="F6" s="534">
        <f t="shared" ref="F6:H6" si="1">E6+1</f>
        <v>2024</v>
      </c>
      <c r="G6" s="534">
        <f t="shared" si="1"/>
        <v>2025</v>
      </c>
      <c r="H6" s="534">
        <f t="shared" si="1"/>
        <v>2026</v>
      </c>
      <c r="I6" s="83"/>
      <c r="J6" s="83"/>
      <c r="K6" s="83"/>
      <c r="L6" s="83"/>
      <c r="M6" s="83"/>
      <c r="N6" s="83"/>
      <c r="O6" s="83"/>
      <c r="P6" s="83"/>
      <c r="Q6" s="83"/>
      <c r="R6" s="83"/>
      <c r="S6" s="83"/>
      <c r="T6" s="83"/>
      <c r="U6" s="83"/>
      <c r="V6" s="83"/>
      <c r="W6" s="83"/>
    </row>
    <row r="7" spans="1:23">
      <c r="A7" s="83"/>
      <c r="B7" s="83"/>
      <c r="C7" s="83"/>
      <c r="D7" s="533" t="str">
        <f>RIIO_2_start_date-1&amp;"/"&amp;RIGHT(RIIO_2_start_date,2)</f>
        <v>2021/22</v>
      </c>
      <c r="E7" s="533" t="str">
        <f>RIIO_2_start_date&amp;"/"&amp;RIGHT(RIIO_2_start_date+1,2)</f>
        <v>2022/23</v>
      </c>
      <c r="F7" s="533" t="str">
        <f>RIIO_2_start_date+1&amp;"/"&amp;RIGHT(RIIO_2_start_date+2,2)</f>
        <v>2023/24</v>
      </c>
      <c r="G7" s="533" t="str">
        <f>RIIO_2_start_date+2&amp;"/"&amp;RIGHT(RIIO_2_start_date+3,2)</f>
        <v>2024/25</v>
      </c>
      <c r="H7" s="653" t="str">
        <f>RIIO_2_start_date+3&amp;"/"&amp;RIGHT(RIIO_2_start_date+4,2)</f>
        <v>2025/26</v>
      </c>
      <c r="I7" s="83"/>
      <c r="J7" s="83"/>
      <c r="K7" s="83"/>
      <c r="L7" s="83"/>
      <c r="M7" s="83"/>
      <c r="N7" s="83"/>
      <c r="O7" s="83"/>
      <c r="P7" s="83"/>
      <c r="Q7" s="83"/>
      <c r="R7" s="83"/>
      <c r="S7" s="83"/>
      <c r="T7" s="83"/>
      <c r="U7" s="83"/>
      <c r="V7" s="83"/>
      <c r="W7" s="83"/>
    </row>
    <row r="8" spans="1:23">
      <c r="A8" s="83"/>
      <c r="B8" s="83"/>
      <c r="C8" s="83"/>
      <c r="D8" s="83"/>
      <c r="E8" s="83"/>
      <c r="F8" s="83"/>
      <c r="G8" s="83"/>
      <c r="H8" s="83"/>
      <c r="I8" s="83"/>
      <c r="J8" s="83"/>
      <c r="K8" s="83"/>
      <c r="L8" s="83"/>
      <c r="M8" s="83"/>
      <c r="N8" s="83"/>
      <c r="O8" s="83"/>
      <c r="P8" s="83"/>
      <c r="Q8" s="83"/>
      <c r="R8" s="83"/>
      <c r="S8" s="83"/>
      <c r="T8" s="83"/>
      <c r="U8" s="83"/>
      <c r="V8" s="83"/>
      <c r="W8" s="83"/>
    </row>
    <row r="9" spans="1:23">
      <c r="A9" s="83"/>
      <c r="B9" s="456" t="s">
        <v>803</v>
      </c>
      <c r="C9" s="444" t="s">
        <v>575</v>
      </c>
      <c r="D9" s="701">
        <v>-262.5</v>
      </c>
      <c r="E9" s="702">
        <f>D11</f>
        <v>-510.72603506000002</v>
      </c>
      <c r="F9" s="702">
        <f t="shared" ref="F9:H9" si="2">E11</f>
        <v>-466.90407900000002</v>
      </c>
      <c r="G9" s="702">
        <f t="shared" si="2"/>
        <v>-385.91380595999999</v>
      </c>
      <c r="H9" s="702">
        <f t="shared" si="2"/>
        <v>-420.02504079000005</v>
      </c>
      <c r="I9" s="83"/>
      <c r="J9" s="83"/>
      <c r="K9" s="83"/>
      <c r="L9" s="83"/>
      <c r="M9" s="83"/>
      <c r="N9" s="83"/>
      <c r="O9" s="83"/>
      <c r="P9" s="83"/>
      <c r="Q9" s="83"/>
      <c r="R9" s="83"/>
      <c r="S9" s="83"/>
      <c r="T9" s="83"/>
      <c r="U9" s="83"/>
      <c r="V9" s="83"/>
      <c r="W9" s="83"/>
    </row>
    <row r="10" spans="1:23">
      <c r="A10" s="83"/>
      <c r="B10" s="456"/>
      <c r="C10" s="83"/>
      <c r="D10" s="83"/>
      <c r="E10" s="83"/>
      <c r="F10" s="83"/>
      <c r="G10" s="83"/>
      <c r="H10" s="83"/>
      <c r="I10" s="83"/>
      <c r="J10" s="83"/>
      <c r="K10" s="83"/>
      <c r="L10" s="83"/>
      <c r="M10" s="83"/>
      <c r="N10" s="83"/>
      <c r="O10" s="83"/>
      <c r="P10" s="83"/>
      <c r="Q10" s="83"/>
      <c r="R10" s="83"/>
      <c r="S10" s="83"/>
      <c r="T10" s="83"/>
      <c r="U10" s="83"/>
      <c r="V10" s="83"/>
      <c r="W10" s="83"/>
    </row>
    <row r="11" spans="1:23">
      <c r="B11" s="456" t="s">
        <v>804</v>
      </c>
      <c r="C11" s="444" t="s">
        <v>575</v>
      </c>
      <c r="D11" s="703">
        <v>-510.72603506000002</v>
      </c>
      <c r="E11" s="703">
        <v>-466.90407900000002</v>
      </c>
      <c r="F11" s="703">
        <v>-385.91380595999999</v>
      </c>
      <c r="G11" s="703">
        <v>-420.02504079000005</v>
      </c>
      <c r="H11" s="703">
        <v>-378.50740834999999</v>
      </c>
    </row>
    <row r="12" spans="1:23">
      <c r="B12" s="704" t="s">
        <v>1046</v>
      </c>
      <c r="C12" s="444" t="s">
        <v>575</v>
      </c>
      <c r="D12" s="705">
        <v>7722.5351486719492</v>
      </c>
      <c r="E12" s="705">
        <v>8845.1371068930312</v>
      </c>
      <c r="F12" s="705">
        <v>8867.2735605513317</v>
      </c>
      <c r="G12" s="705">
        <v>8388.7660920370508</v>
      </c>
      <c r="H12" s="705">
        <v>8775.7935970303697</v>
      </c>
    </row>
    <row r="13" spans="1:23">
      <c r="B13" s="704" t="s">
        <v>1047</v>
      </c>
      <c r="C13" s="444" t="s">
        <v>575</v>
      </c>
      <c r="D13" s="705">
        <v>1556.1754267986214</v>
      </c>
      <c r="E13" s="705">
        <v>1158.4752606553193</v>
      </c>
      <c r="F13" s="705">
        <v>1418.7577306919611</v>
      </c>
      <c r="G13" s="705">
        <v>1363.5735325957971</v>
      </c>
      <c r="H13" s="705">
        <v>1304.1860794849426</v>
      </c>
    </row>
    <row r="14" spans="1:23">
      <c r="B14" s="704" t="s">
        <v>1048</v>
      </c>
      <c r="C14" s="444" t="s">
        <v>575</v>
      </c>
      <c r="D14" s="705">
        <v>0</v>
      </c>
      <c r="E14" s="705">
        <v>0</v>
      </c>
      <c r="F14" s="705">
        <v>0</v>
      </c>
      <c r="G14" s="705">
        <v>0</v>
      </c>
      <c r="H14" s="705">
        <v>0</v>
      </c>
    </row>
    <row r="15" spans="1:23">
      <c r="B15" s="704" t="s">
        <v>1049</v>
      </c>
      <c r="C15" s="444" t="s">
        <v>575</v>
      </c>
      <c r="D15" s="705">
        <v>-484</v>
      </c>
      <c r="E15" s="705">
        <v>-882</v>
      </c>
      <c r="F15" s="705">
        <v>-530.69162535999999</v>
      </c>
      <c r="G15" s="705">
        <v>0</v>
      </c>
      <c r="H15" s="705">
        <v>0</v>
      </c>
    </row>
    <row r="16" spans="1:23">
      <c r="B16" s="704" t="s">
        <v>1050</v>
      </c>
      <c r="C16" s="444" t="s">
        <v>575</v>
      </c>
      <c r="D16" s="705">
        <v>0</v>
      </c>
      <c r="E16" s="705">
        <v>0</v>
      </c>
      <c r="F16" s="705">
        <v>0</v>
      </c>
      <c r="G16" s="705">
        <v>1021.3511156400001</v>
      </c>
      <c r="H16" s="705">
        <v>3068.5904387699998</v>
      </c>
    </row>
    <row r="17" spans="2:10">
      <c r="B17" s="704" t="s">
        <v>1051</v>
      </c>
      <c r="C17" s="444" t="s">
        <v>575</v>
      </c>
      <c r="D17" s="705">
        <v>0</v>
      </c>
      <c r="E17" s="705">
        <v>0</v>
      </c>
      <c r="F17" s="705">
        <v>0</v>
      </c>
      <c r="G17" s="705">
        <v>0</v>
      </c>
      <c r="H17" s="705">
        <v>0</v>
      </c>
    </row>
    <row r="18" spans="2:10">
      <c r="B18" s="704" t="s">
        <v>1052</v>
      </c>
      <c r="C18" s="444" t="s">
        <v>575</v>
      </c>
      <c r="D18" s="705">
        <v>2107.25</v>
      </c>
      <c r="E18" s="705">
        <v>4093.2629999999999</v>
      </c>
      <c r="F18" s="705">
        <v>3930.2629999999999</v>
      </c>
      <c r="G18" s="705">
        <v>3853.2629999999999</v>
      </c>
      <c r="H18" s="705">
        <v>4367.723</v>
      </c>
    </row>
    <row r="19" spans="2:10">
      <c r="B19" s="704" t="s">
        <v>1053</v>
      </c>
      <c r="C19" s="444" t="s">
        <v>575</v>
      </c>
      <c r="D19" s="705">
        <v>-2107.25</v>
      </c>
      <c r="E19" s="705">
        <v>-4093.2629999999999</v>
      </c>
      <c r="F19" s="705">
        <v>-3930.2629999999999</v>
      </c>
      <c r="G19" s="705">
        <v>-3853.2629999999999</v>
      </c>
      <c r="H19" s="705">
        <v>-4367.723</v>
      </c>
    </row>
    <row r="20" spans="2:10">
      <c r="B20" s="704" t="s">
        <v>216</v>
      </c>
      <c r="C20" s="444" t="s">
        <v>575</v>
      </c>
      <c r="D20" s="705">
        <v>46.936295889999997</v>
      </c>
      <c r="E20" s="705">
        <v>40.241</v>
      </c>
      <c r="F20" s="705">
        <v>26.91854485</v>
      </c>
      <c r="G20" s="705">
        <v>17.86220028</v>
      </c>
      <c r="H20" s="705">
        <v>14.486934430000002</v>
      </c>
    </row>
    <row r="21" spans="2:10">
      <c r="B21" s="511" t="s">
        <v>805</v>
      </c>
      <c r="C21" s="587" t="s">
        <v>575</v>
      </c>
      <c r="D21" s="706">
        <f>SUM(D11:D20)</f>
        <v>8330.920836300571</v>
      </c>
      <c r="E21" s="706">
        <f>SUM(E11:E20)</f>
        <v>8694.9492885483505</v>
      </c>
      <c r="F21" s="706">
        <f>SUM(F11:F20)</f>
        <v>9396.3444047732955</v>
      </c>
      <c r="G21" s="706">
        <f>SUM(G11:G20)</f>
        <v>10371.527899762848</v>
      </c>
      <c r="H21" s="706">
        <f>SUM(H11:H20)</f>
        <v>12784.549641365313</v>
      </c>
      <c r="I21" s="83"/>
      <c r="J21" s="707"/>
    </row>
    <row r="22" spans="2:10">
      <c r="B22" s="511"/>
      <c r="C22" s="444"/>
      <c r="D22" s="708"/>
      <c r="E22" s="708"/>
      <c r="F22" s="708"/>
      <c r="G22" s="708"/>
      <c r="H22" s="708"/>
      <c r="I22" s="83"/>
      <c r="J22" s="83"/>
    </row>
    <row r="23" spans="2:10">
      <c r="B23" s="511" t="s">
        <v>806</v>
      </c>
      <c r="C23" s="657"/>
      <c r="D23" s="709"/>
      <c r="E23" s="709"/>
      <c r="F23" s="709"/>
      <c r="G23" s="709"/>
      <c r="H23" s="709"/>
      <c r="I23" s="83"/>
      <c r="J23" s="83"/>
    </row>
    <row r="24" spans="2:10">
      <c r="B24" s="659" t="s">
        <v>1054</v>
      </c>
      <c r="C24" s="444" t="s">
        <v>575</v>
      </c>
      <c r="D24" s="710">
        <v>0</v>
      </c>
      <c r="E24" s="710">
        <v>0</v>
      </c>
      <c r="F24" s="710">
        <v>0</v>
      </c>
      <c r="G24" s="710">
        <v>0</v>
      </c>
      <c r="H24" s="710">
        <v>0</v>
      </c>
      <c r="J24" s="83"/>
    </row>
    <row r="25" spans="2:10">
      <c r="B25" s="659" t="s">
        <v>1055</v>
      </c>
      <c r="C25" s="444" t="s">
        <v>575</v>
      </c>
      <c r="D25" s="710">
        <v>0</v>
      </c>
      <c r="E25" s="710">
        <v>0</v>
      </c>
      <c r="F25" s="710">
        <v>0</v>
      </c>
      <c r="G25" s="710">
        <v>0</v>
      </c>
      <c r="H25" s="710">
        <v>0</v>
      </c>
      <c r="J25" s="83"/>
    </row>
    <row r="26" spans="2:10">
      <c r="B26" s="659" t="s">
        <v>1056</v>
      </c>
      <c r="C26" s="444" t="s">
        <v>575</v>
      </c>
      <c r="D26" s="710">
        <v>0</v>
      </c>
      <c r="E26" s="710">
        <v>0</v>
      </c>
      <c r="F26" s="710">
        <v>0</v>
      </c>
      <c r="G26" s="710">
        <v>0</v>
      </c>
      <c r="H26" s="710">
        <v>0</v>
      </c>
      <c r="J26" s="83"/>
    </row>
    <row r="27" spans="2:10">
      <c r="B27" s="659" t="s">
        <v>1057</v>
      </c>
      <c r="C27" s="444" t="s">
        <v>575</v>
      </c>
      <c r="D27" s="710">
        <v>0</v>
      </c>
      <c r="E27" s="710">
        <v>0</v>
      </c>
      <c r="F27" s="710">
        <v>0</v>
      </c>
      <c r="G27" s="710">
        <v>0</v>
      </c>
      <c r="H27" s="710">
        <v>0</v>
      </c>
      <c r="J27" s="83"/>
    </row>
    <row r="28" spans="2:10">
      <c r="B28" s="659" t="s">
        <v>1058</v>
      </c>
      <c r="C28" s="444" t="s">
        <v>575</v>
      </c>
      <c r="D28" s="710">
        <v>-25.743434906334933</v>
      </c>
      <c r="E28" s="710">
        <v>-24.542183922249176</v>
      </c>
      <c r="F28" s="710">
        <v>-23.648491154645377</v>
      </c>
      <c r="G28" s="710">
        <v>-22.757240170559623</v>
      </c>
      <c r="H28" s="710">
        <v>-22.345989186473869</v>
      </c>
      <c r="J28" s="83"/>
    </row>
    <row r="29" spans="2:10">
      <c r="B29" s="659" t="s">
        <v>1059</v>
      </c>
      <c r="C29" s="444" t="s">
        <v>575</v>
      </c>
      <c r="D29" s="710">
        <v>-10.521615440000053</v>
      </c>
      <c r="E29" s="710">
        <v>0</v>
      </c>
      <c r="F29" s="710">
        <v>0</v>
      </c>
      <c r="G29" s="710">
        <v>0</v>
      </c>
      <c r="H29" s="710">
        <v>0</v>
      </c>
      <c r="J29" s="83"/>
    </row>
    <row r="30" spans="2:10" ht="12.75" customHeight="1">
      <c r="B30" s="659" t="s">
        <v>1060</v>
      </c>
      <c r="C30" s="444" t="s">
        <v>575</v>
      </c>
      <c r="D30" s="710">
        <v>0</v>
      </c>
      <c r="E30" s="710">
        <v>0</v>
      </c>
      <c r="F30" s="710">
        <v>0</v>
      </c>
      <c r="G30" s="710">
        <v>0</v>
      </c>
      <c r="H30" s="710">
        <v>0</v>
      </c>
      <c r="J30" s="83"/>
    </row>
    <row r="31" spans="2:10">
      <c r="B31" s="659" t="s">
        <v>1061</v>
      </c>
      <c r="C31" s="444" t="s">
        <v>575</v>
      </c>
      <c r="D31" s="710">
        <v>0</v>
      </c>
      <c r="E31" s="710">
        <v>0</v>
      </c>
      <c r="F31" s="710">
        <v>0</v>
      </c>
      <c r="G31" s="710">
        <v>0</v>
      </c>
      <c r="H31" s="710">
        <v>0</v>
      </c>
      <c r="J31" s="83"/>
    </row>
    <row r="32" spans="2:10">
      <c r="B32" s="659" t="s">
        <v>1062</v>
      </c>
      <c r="C32" s="444" t="s">
        <v>575</v>
      </c>
      <c r="D32" s="710">
        <v>0</v>
      </c>
      <c r="E32" s="710">
        <v>0</v>
      </c>
      <c r="F32" s="710">
        <v>0</v>
      </c>
      <c r="G32" s="710">
        <v>0</v>
      </c>
      <c r="H32" s="710">
        <v>0</v>
      </c>
      <c r="J32" s="83"/>
    </row>
    <row r="33" spans="2:11">
      <c r="B33" s="659" t="s">
        <v>1063</v>
      </c>
      <c r="C33" s="444" t="s">
        <v>575</v>
      </c>
      <c r="D33" s="710">
        <v>0</v>
      </c>
      <c r="E33" s="710">
        <v>0</v>
      </c>
      <c r="F33" s="710">
        <v>0</v>
      </c>
      <c r="G33" s="710">
        <v>0</v>
      </c>
      <c r="H33" s="710">
        <v>0</v>
      </c>
      <c r="J33" s="83"/>
    </row>
    <row r="34" spans="2:11">
      <c r="B34" s="659" t="s">
        <v>1064</v>
      </c>
      <c r="C34" s="444" t="s">
        <v>575</v>
      </c>
      <c r="D34" s="710">
        <v>10.287913754176138</v>
      </c>
      <c r="E34" s="710">
        <v>1.6871196585245585</v>
      </c>
      <c r="F34" s="710">
        <v>-29.422681783290955</v>
      </c>
      <c r="G34" s="710">
        <v>-31.013414812845824</v>
      </c>
      <c r="H34" s="710">
        <v>-33.707538615309744</v>
      </c>
      <c r="J34" s="83"/>
    </row>
    <row r="35" spans="2:11">
      <c r="B35" s="659" t="s">
        <v>819</v>
      </c>
      <c r="C35" s="444" t="s">
        <v>575</v>
      </c>
      <c r="D35" s="710">
        <v>0</v>
      </c>
      <c r="E35" s="710">
        <v>0</v>
      </c>
      <c r="F35" s="710">
        <v>0</v>
      </c>
      <c r="G35" s="710">
        <v>0</v>
      </c>
      <c r="H35" s="710">
        <v>0</v>
      </c>
      <c r="J35" s="83"/>
      <c r="K35" s="711"/>
    </row>
    <row r="36" spans="2:11">
      <c r="B36" s="659" t="s">
        <v>820</v>
      </c>
      <c r="C36" s="444" t="s">
        <v>575</v>
      </c>
      <c r="D36" s="710">
        <v>0</v>
      </c>
      <c r="E36" s="710">
        <v>0</v>
      </c>
      <c r="F36" s="710">
        <v>0</v>
      </c>
      <c r="G36" s="710">
        <v>0</v>
      </c>
      <c r="H36" s="710">
        <v>0</v>
      </c>
    </row>
    <row r="37" spans="2:11">
      <c r="B37" s="659" t="s">
        <v>821</v>
      </c>
      <c r="C37" s="444" t="s">
        <v>575</v>
      </c>
      <c r="D37" s="710">
        <v>0</v>
      </c>
      <c r="E37" s="710">
        <v>0</v>
      </c>
      <c r="F37" s="710">
        <v>0</v>
      </c>
      <c r="G37" s="710">
        <v>0</v>
      </c>
      <c r="H37" s="710">
        <v>0</v>
      </c>
    </row>
    <row r="38" spans="2:11">
      <c r="B38" s="659" t="s">
        <v>822</v>
      </c>
      <c r="C38" s="444" t="s">
        <v>575</v>
      </c>
      <c r="D38" s="710">
        <v>0</v>
      </c>
      <c r="E38" s="710">
        <v>0</v>
      </c>
      <c r="F38" s="710">
        <v>0</v>
      </c>
      <c r="G38" s="710">
        <v>0</v>
      </c>
      <c r="H38" s="710">
        <v>0</v>
      </c>
    </row>
    <row r="39" spans="2:11">
      <c r="B39" s="659" t="s">
        <v>1065</v>
      </c>
      <c r="C39" s="444" t="s">
        <v>575</v>
      </c>
      <c r="D39" s="710">
        <v>0</v>
      </c>
      <c r="E39" s="710">
        <v>0</v>
      </c>
      <c r="F39" s="710">
        <v>0</v>
      </c>
      <c r="G39" s="710">
        <v>0</v>
      </c>
      <c r="H39" s="710">
        <v>0</v>
      </c>
    </row>
    <row r="40" spans="2:11">
      <c r="B40" s="660" t="s">
        <v>807</v>
      </c>
      <c r="C40" s="444" t="s">
        <v>575</v>
      </c>
      <c r="D40" s="712">
        <f>SUM(D21,D24:D39)</f>
        <v>8304.9436997084122</v>
      </c>
      <c r="E40" s="712">
        <f t="shared" ref="E40:H40" si="3">SUM(E21,E24:E39)</f>
        <v>8672.0942242846268</v>
      </c>
      <c r="F40" s="712">
        <f t="shared" si="3"/>
        <v>9343.2732318353592</v>
      </c>
      <c r="G40" s="712">
        <f t="shared" si="3"/>
        <v>10317.757244779443</v>
      </c>
      <c r="H40" s="712">
        <f t="shared" si="3"/>
        <v>12728.496113563529</v>
      </c>
    </row>
    <row r="41" spans="2:11">
      <c r="B41" s="663" t="s">
        <v>808</v>
      </c>
      <c r="C41" s="444" t="s">
        <v>575</v>
      </c>
      <c r="D41" s="713"/>
      <c r="E41" s="714"/>
      <c r="F41" s="714"/>
      <c r="G41" s="714"/>
      <c r="H41" s="714"/>
    </row>
    <row r="42" spans="2:11">
      <c r="B42" s="660" t="s">
        <v>809</v>
      </c>
      <c r="C42" s="444" t="s">
        <v>575</v>
      </c>
      <c r="D42" s="410">
        <f>SUM(D40:D41)</f>
        <v>8304.9436997084122</v>
      </c>
      <c r="E42" s="688">
        <f t="shared" ref="E42:H42" si="4">SUM(E40:E41)</f>
        <v>8672.0942242846268</v>
      </c>
      <c r="F42" s="688">
        <f t="shared" si="4"/>
        <v>9343.2732318353592</v>
      </c>
      <c r="G42" s="688">
        <f t="shared" si="4"/>
        <v>10317.757244779443</v>
      </c>
      <c r="H42" s="688">
        <f t="shared" si="4"/>
        <v>12728.496113563529</v>
      </c>
    </row>
    <row r="43" spans="2:11">
      <c r="D43" s="665" t="s">
        <v>1066</v>
      </c>
      <c r="E43" s="665" t="s">
        <v>1066</v>
      </c>
      <c r="F43" s="665" t="s">
        <v>1066</v>
      </c>
      <c r="G43" s="665" t="s">
        <v>1066</v>
      </c>
      <c r="H43" s="665" t="s">
        <v>1066</v>
      </c>
    </row>
    <row r="44" spans="2:11"/>
    <row r="45" spans="2:11">
      <c r="B45" s="715" t="s">
        <v>810</v>
      </c>
      <c r="C45" s="444" t="s">
        <v>575</v>
      </c>
      <c r="D45" s="701">
        <v>8036.4</v>
      </c>
      <c r="E45" s="688">
        <f>D46</f>
        <v>8304.9436997084122</v>
      </c>
      <c r="F45" s="688">
        <f t="shared" ref="F45:H45" si="5">E46</f>
        <v>8672.0942242846268</v>
      </c>
      <c r="G45" s="688">
        <f t="shared" si="5"/>
        <v>9343.2732318353592</v>
      </c>
      <c r="H45" s="688">
        <f t="shared" si="5"/>
        <v>10317.757244779443</v>
      </c>
      <c r="I45" s="557"/>
    </row>
    <row r="46" spans="2:11">
      <c r="B46" s="715" t="s">
        <v>811</v>
      </c>
      <c r="C46" s="444" t="s">
        <v>575</v>
      </c>
      <c r="D46" s="716">
        <f>D42</f>
        <v>8304.9436997084122</v>
      </c>
      <c r="E46" s="717">
        <f>E42</f>
        <v>8672.0942242846268</v>
      </c>
      <c r="F46" s="717">
        <f t="shared" ref="F46:H46" si="6">F42</f>
        <v>9343.2732318353592</v>
      </c>
      <c r="G46" s="717">
        <f t="shared" si="6"/>
        <v>10317.757244779443</v>
      </c>
      <c r="H46" s="717">
        <f t="shared" si="6"/>
        <v>12728.496113563529</v>
      </c>
      <c r="I46" s="557"/>
    </row>
    <row r="47" spans="2:11">
      <c r="D47" s="718"/>
      <c r="E47" s="718"/>
      <c r="F47" s="718"/>
      <c r="G47" s="718"/>
      <c r="H47" s="718"/>
    </row>
    <row r="48" spans="2:11">
      <c r="B48" s="511" t="s">
        <v>812</v>
      </c>
      <c r="D48" s="718"/>
      <c r="E48" s="718"/>
      <c r="F48" s="718"/>
      <c r="G48" s="718"/>
      <c r="H48" s="718"/>
    </row>
    <row r="49" spans="2:10">
      <c r="B49" s="659" t="s">
        <v>813</v>
      </c>
      <c r="C49" s="444" t="s">
        <v>575</v>
      </c>
      <c r="D49" s="701">
        <v>-185.11170008000002</v>
      </c>
      <c r="E49" s="701">
        <v>-376.52484529000009</v>
      </c>
      <c r="F49" s="701">
        <v>-377.86250763000004</v>
      </c>
      <c r="G49" s="701">
        <v>-365.00539443000002</v>
      </c>
      <c r="H49" s="701">
        <v>-384.65586809000007</v>
      </c>
    </row>
    <row r="50" spans="2:10">
      <c r="B50" s="659" t="s">
        <v>814</v>
      </c>
      <c r="C50" s="444" t="s">
        <v>575</v>
      </c>
      <c r="D50" s="701">
        <v>69.541119960000003</v>
      </c>
      <c r="E50" s="701">
        <v>74.685422999999872</v>
      </c>
      <c r="F50" s="701">
        <v>78.667065800000003</v>
      </c>
      <c r="G50" s="701">
        <v>74.057931860000011</v>
      </c>
      <c r="H50" s="701">
        <v>75.878790559999999</v>
      </c>
    </row>
    <row r="51" spans="2:10">
      <c r="B51" s="659" t="s">
        <v>815</v>
      </c>
      <c r="C51" s="444" t="s">
        <v>575</v>
      </c>
      <c r="D51" s="701">
        <v>197</v>
      </c>
      <c r="E51" s="701">
        <v>147.07314743999996</v>
      </c>
      <c r="F51" s="701">
        <v>145.07080530332055</v>
      </c>
      <c r="G51" s="701">
        <v>177.79155388999996</v>
      </c>
      <c r="H51" s="701">
        <v>137.99166137</v>
      </c>
    </row>
    <row r="52" spans="2:10">
      <c r="B52" s="659" t="s">
        <v>816</v>
      </c>
      <c r="C52" s="444" t="s">
        <v>575</v>
      </c>
      <c r="D52" s="701">
        <v>-71.099999999999994</v>
      </c>
      <c r="E52" s="701">
        <v>-46.933029799027281</v>
      </c>
      <c r="F52" s="701">
        <v>-155.70160554286122</v>
      </c>
      <c r="G52" s="701">
        <v>-223.44554956001093</v>
      </c>
      <c r="H52" s="701">
        <v>-134.96703078251085</v>
      </c>
    </row>
    <row r="53" spans="2:10">
      <c r="B53" s="659" t="s">
        <v>817</v>
      </c>
      <c r="C53" s="444" t="s">
        <v>575</v>
      </c>
      <c r="D53" s="701">
        <v>65.014675490000002</v>
      </c>
      <c r="E53" s="701">
        <v>61.468898410000008</v>
      </c>
      <c r="F53" s="701">
        <v>71.183359480000007</v>
      </c>
      <c r="G53" s="701">
        <v>94.724132409999996</v>
      </c>
      <c r="H53" s="701">
        <v>102.42762571999999</v>
      </c>
    </row>
    <row r="54" spans="2:10">
      <c r="B54" s="659" t="s">
        <v>818</v>
      </c>
      <c r="C54" s="444" t="s">
        <v>575</v>
      </c>
      <c r="D54" s="701">
        <v>7.3264479063000003</v>
      </c>
      <c r="E54" s="701">
        <v>-10.29187709</v>
      </c>
      <c r="F54" s="701">
        <v>-9.2550174700000003</v>
      </c>
      <c r="G54" s="701">
        <v>-8.4045980300000007</v>
      </c>
      <c r="H54" s="701">
        <v>-11.71585722647386</v>
      </c>
    </row>
    <row r="55" spans="2:10">
      <c r="B55" s="659" t="s">
        <v>819</v>
      </c>
      <c r="C55" s="444" t="s">
        <v>575</v>
      </c>
      <c r="D55" s="701">
        <v>196.49999999999997</v>
      </c>
      <c r="E55" s="701">
        <v>268.5861492100002</v>
      </c>
      <c r="F55" s="701">
        <v>309.68967955999995</v>
      </c>
      <c r="G55" s="701">
        <v>289.99505060999996</v>
      </c>
      <c r="H55" s="701">
        <v>261.39648068999992</v>
      </c>
    </row>
    <row r="56" spans="2:10">
      <c r="B56" s="659" t="s">
        <v>820</v>
      </c>
      <c r="C56" s="444" t="s">
        <v>575</v>
      </c>
      <c r="D56" s="701">
        <v>0</v>
      </c>
      <c r="E56" s="701">
        <v>0</v>
      </c>
      <c r="F56" s="701">
        <v>-2.395241529999999</v>
      </c>
      <c r="G56" s="701">
        <v>-2.0174942700000011</v>
      </c>
      <c r="H56" s="701">
        <v>-1.8716361999999995</v>
      </c>
    </row>
    <row r="57" spans="2:10">
      <c r="B57" s="659" t="s">
        <v>821</v>
      </c>
      <c r="C57" s="444" t="s">
        <v>575</v>
      </c>
      <c r="D57" s="701">
        <v>0</v>
      </c>
      <c r="E57" s="701">
        <v>0</v>
      </c>
      <c r="F57" s="701">
        <v>0</v>
      </c>
      <c r="G57" s="701">
        <v>0</v>
      </c>
      <c r="H57" s="701">
        <v>0</v>
      </c>
    </row>
    <row r="58" spans="2:10">
      <c r="B58" s="659" t="s">
        <v>822</v>
      </c>
      <c r="C58" s="444" t="s">
        <v>575</v>
      </c>
      <c r="D58" s="701">
        <v>0</v>
      </c>
      <c r="E58" s="701">
        <v>0</v>
      </c>
      <c r="F58" s="701">
        <v>0</v>
      </c>
      <c r="G58" s="701">
        <v>0</v>
      </c>
      <c r="H58" s="701">
        <v>0</v>
      </c>
    </row>
    <row r="59" spans="2:10">
      <c r="B59" s="659" t="s">
        <v>823</v>
      </c>
      <c r="C59" s="444" t="s">
        <v>575</v>
      </c>
      <c r="D59" s="410">
        <f>SUM(D49:D58)+D42</f>
        <v>8584.1142429847114</v>
      </c>
      <c r="E59" s="410">
        <f t="shared" ref="E59:H59" si="7">SUM(E49:E58)+E42</f>
        <v>8790.1580901655998</v>
      </c>
      <c r="F59" s="410">
        <f t="shared" si="7"/>
        <v>9402.6697698058179</v>
      </c>
      <c r="G59" s="410">
        <f t="shared" si="7"/>
        <v>10355.452877259431</v>
      </c>
      <c r="H59" s="410">
        <f t="shared" si="7"/>
        <v>12772.980279604544</v>
      </c>
    </row>
    <row r="60" spans="2:10">
      <c r="D60" s="718"/>
      <c r="E60" s="718"/>
      <c r="F60" s="718"/>
      <c r="G60" s="718"/>
      <c r="H60" s="718"/>
    </row>
    <row r="61" spans="2:10">
      <c r="B61" s="511" t="s">
        <v>824</v>
      </c>
    </row>
    <row r="62" spans="2:10">
      <c r="B62" s="427" t="s">
        <v>825</v>
      </c>
      <c r="C62" s="557" t="s">
        <v>538</v>
      </c>
      <c r="D62" s="719">
        <v>0</v>
      </c>
      <c r="E62" s="719">
        <v>0</v>
      </c>
      <c r="F62" s="719">
        <v>0</v>
      </c>
      <c r="G62" s="719">
        <v>0</v>
      </c>
      <c r="H62" s="719">
        <v>0</v>
      </c>
    </row>
    <row r="63" spans="2:10">
      <c r="B63" s="427" t="s">
        <v>826</v>
      </c>
      <c r="C63" s="557" t="s">
        <v>538</v>
      </c>
      <c r="D63" s="720">
        <f>1-D62</f>
        <v>1</v>
      </c>
      <c r="E63" s="721">
        <f t="shared" ref="E63:H63" si="8">1-E62</f>
        <v>1</v>
      </c>
      <c r="F63" s="721">
        <f t="shared" si="8"/>
        <v>1</v>
      </c>
      <c r="G63" s="721">
        <f t="shared" si="8"/>
        <v>1</v>
      </c>
      <c r="H63" s="721">
        <f t="shared" si="8"/>
        <v>1</v>
      </c>
      <c r="J63" s="711"/>
    </row>
    <row r="64" spans="2:10">
      <c r="C64" s="557"/>
      <c r="D64" s="557"/>
      <c r="E64" s="557"/>
      <c r="F64" s="557"/>
      <c r="G64" s="557"/>
      <c r="H64" s="557"/>
      <c r="I64" s="557"/>
    </row>
    <row r="65" spans="2:8">
      <c r="B65" s="427" t="s">
        <v>827</v>
      </c>
      <c r="C65" s="444" t="s">
        <v>575</v>
      </c>
      <c r="D65" s="722">
        <f>AVERAGE(D45:D46)*D63</f>
        <v>8170.6718498542059</v>
      </c>
      <c r="E65" s="723">
        <f t="shared" ref="E65:H65" si="9">AVERAGE(E45:E46)*E63</f>
        <v>8488.5189619965204</v>
      </c>
      <c r="F65" s="723">
        <f t="shared" si="9"/>
        <v>9007.6837280599939</v>
      </c>
      <c r="G65" s="723">
        <f t="shared" si="9"/>
        <v>9830.5152383074019</v>
      </c>
      <c r="H65" s="723">
        <f t="shared" si="9"/>
        <v>11523.126679171486</v>
      </c>
    </row>
    <row r="66" spans="2:8">
      <c r="B66" s="427" t="s">
        <v>828</v>
      </c>
      <c r="C66" s="444" t="s">
        <v>575</v>
      </c>
      <c r="D66" s="724">
        <f>D67-D65</f>
        <v>7196.4771712354077</v>
      </c>
      <c r="E66" s="725">
        <f t="shared" ref="E66:H66" si="10">E67-E65</f>
        <v>8395.6382068149287</v>
      </c>
      <c r="F66" s="725">
        <f t="shared" si="10"/>
        <v>9294.2570093377653</v>
      </c>
      <c r="G66" s="725">
        <f t="shared" si="10"/>
        <v>10116.267306871734</v>
      </c>
      <c r="H66" s="725">
        <f t="shared" si="10"/>
        <v>11032.637688575969</v>
      </c>
    </row>
    <row r="67" spans="2:8">
      <c r="B67" s="427" t="s">
        <v>829</v>
      </c>
      <c r="C67" s="444" t="s">
        <v>575</v>
      </c>
      <c r="D67" s="726">
        <f>IF(D6=RIIO_2_start_date,AVERAGE(('R7 - RAV'!F15*'R7 - RAV'!F30),'R7 - RAV'!F32),AVERAGE('R7 - RAV'!E32:F32))</f>
        <v>15367.149021089614</v>
      </c>
      <c r="E67" s="726">
        <f>IF(E6=RIIO_2_start_date,AVERAGE(('R7 - RAV'!G15*'R7 - RAV'!G30),'R7 - RAV'!G32),AVERAGE('R7 - RAV'!F32:G32))</f>
        <v>16884.157168811449</v>
      </c>
      <c r="F67" s="726">
        <f>IF(F6=RIIO_2_start_date,AVERAGE(('R7 - RAV'!H15*'R7 - RAV'!H30),'R7 - RAV'!H32),AVERAGE('R7 - RAV'!G32:H32))</f>
        <v>18301.940737397759</v>
      </c>
      <c r="G67" s="726">
        <f>IF(G6=RIIO_2_start_date,AVERAGE(('R7 - RAV'!I15*'R7 - RAV'!I30),'R7 - RAV'!I32),AVERAGE('R7 - RAV'!H32:I32))</f>
        <v>19946.782545179136</v>
      </c>
      <c r="H67" s="726">
        <f>IF(H6=RIIO_2_start_date,AVERAGE(('R7 - RAV'!J15*'R7 - RAV'!J30),'R7 - RAV'!J32),AVERAGE('R7 - RAV'!I32:J32))</f>
        <v>22555.764367747455</v>
      </c>
    </row>
    <row r="68" spans="2:8">
      <c r="B68" s="427" t="s">
        <v>830</v>
      </c>
      <c r="C68" s="444" t="s">
        <v>538</v>
      </c>
      <c r="D68" s="727">
        <f>D65/D67</f>
        <v>0.5316973134470756</v>
      </c>
      <c r="E68" s="728">
        <f t="shared" ref="E68:H68" si="11">E65/E67</f>
        <v>0.50275052980888979</v>
      </c>
      <c r="F68" s="728">
        <f t="shared" si="11"/>
        <v>0.49217095920619514</v>
      </c>
      <c r="G68" s="728">
        <f t="shared" si="11"/>
        <v>0.49283713882384017</v>
      </c>
      <c r="H68" s="728">
        <f t="shared" si="11"/>
        <v>0.51087280800150736</v>
      </c>
    </row>
    <row r="69" spans="2:8">
      <c r="B69" s="427" t="s">
        <v>24</v>
      </c>
      <c r="C69" s="444" t="s">
        <v>538</v>
      </c>
      <c r="D69" s="729">
        <f>Data!$C$8</f>
        <v>0.55000000000000004</v>
      </c>
      <c r="E69" s="730">
        <f>Data!$C$8</f>
        <v>0.55000000000000004</v>
      </c>
      <c r="F69" s="730">
        <f>Data!$C$8</f>
        <v>0.55000000000000004</v>
      </c>
      <c r="G69" s="730">
        <f>Data!$C$8</f>
        <v>0.55000000000000004</v>
      </c>
      <c r="H69" s="730">
        <f>Data!$C$8</f>
        <v>0.55000000000000004</v>
      </c>
    </row>
    <row r="70" spans="2:8">
      <c r="B70" s="427" t="s">
        <v>831</v>
      </c>
      <c r="C70" s="444" t="s">
        <v>538</v>
      </c>
      <c r="D70" s="731">
        <f t="shared" ref="D70:H70" si="12">IF(ISBLANK(D21),"n/a",D68-D69)</f>
        <v>-1.8302686552924441E-2</v>
      </c>
      <c r="E70" s="732">
        <f t="shared" si="12"/>
        <v>-4.7249470191110254E-2</v>
      </c>
      <c r="F70" s="732">
        <f t="shared" si="12"/>
        <v>-5.7829040793804909E-2</v>
      </c>
      <c r="G70" s="732">
        <f t="shared" si="12"/>
        <v>-5.7162861176159874E-2</v>
      </c>
      <c r="H70" s="732">
        <f t="shared" si="12"/>
        <v>-3.9127191998492683E-2</v>
      </c>
    </row>
    <row r="71" spans="2:8"/>
    <row r="72" spans="2:8">
      <c r="B72" s="427" t="s">
        <v>832</v>
      </c>
      <c r="C72" s="545" t="str">
        <f>Data!$C$9</f>
        <v>£m 18/19</v>
      </c>
      <c r="D72" s="733">
        <f>D74*D68</f>
        <v>7372.9849188955059</v>
      </c>
      <c r="E72" s="734">
        <f t="shared" ref="E72:H72" si="13">E74*E68</f>
        <v>7109.6497028753238</v>
      </c>
      <c r="F72" s="734">
        <f t="shared" si="13"/>
        <v>7122.3896939936531</v>
      </c>
      <c r="G72" s="734">
        <f t="shared" si="13"/>
        <v>7489.0057274503833</v>
      </c>
      <c r="H72" s="734">
        <f t="shared" si="13"/>
        <v>8475.7545541756954</v>
      </c>
    </row>
    <row r="73" spans="2:8">
      <c r="B73" s="427" t="s">
        <v>833</v>
      </c>
      <c r="C73" s="545" t="str">
        <f>Data!$C$9</f>
        <v>£m 18/19</v>
      </c>
      <c r="D73" s="735">
        <f>D74*(1-D68)</f>
        <v>6493.8989874671361</v>
      </c>
      <c r="E73" s="736">
        <f t="shared" ref="E73:H73" si="14">E74*(1-E68)</f>
        <v>7031.8564345282703</v>
      </c>
      <c r="F73" s="736">
        <f t="shared" si="14"/>
        <v>7348.9836383157126</v>
      </c>
      <c r="G73" s="736">
        <f t="shared" si="14"/>
        <v>7706.6951187215509</v>
      </c>
      <c r="H73" s="736">
        <f t="shared" si="14"/>
        <v>8114.9788366503963</v>
      </c>
    </row>
    <row r="74" spans="2:8">
      <c r="B74" s="427" t="s">
        <v>834</v>
      </c>
      <c r="C74" s="545" t="str">
        <f>Data!$C$9</f>
        <v>£m 18/19</v>
      </c>
      <c r="D74" s="726">
        <f>'R7 - RAV'!F41</f>
        <v>13866.883906362642</v>
      </c>
      <c r="E74" s="726">
        <f>'R7 - RAV'!G41</f>
        <v>14141.506137403594</v>
      </c>
      <c r="F74" s="726">
        <f>'R7 - RAV'!H41</f>
        <v>14471.373332309366</v>
      </c>
      <c r="G74" s="726">
        <f>'R7 - RAV'!I41</f>
        <v>15195.700846171934</v>
      </c>
      <c r="H74" s="726">
        <f>'R7 - RAV'!J41</f>
        <v>16590.733390826092</v>
      </c>
    </row>
    <row r="75" spans="2:8">
      <c r="B75" s="427" t="s">
        <v>830</v>
      </c>
      <c r="C75" s="444" t="s">
        <v>538</v>
      </c>
      <c r="D75" s="727">
        <f>D72/D74</f>
        <v>0.5316973134470756</v>
      </c>
      <c r="E75" s="728">
        <f t="shared" ref="E75:H75" si="15">E72/E74</f>
        <v>0.50275052980888979</v>
      </c>
      <c r="F75" s="728">
        <f t="shared" si="15"/>
        <v>0.49217095920619514</v>
      </c>
      <c r="G75" s="728">
        <f t="shared" si="15"/>
        <v>0.49283713882384017</v>
      </c>
      <c r="H75" s="728">
        <f t="shared" si="15"/>
        <v>0.51087280800150736</v>
      </c>
    </row>
    <row r="76" spans="2:8">
      <c r="B76" s="427" t="s">
        <v>24</v>
      </c>
      <c r="C76" s="444" t="s">
        <v>538</v>
      </c>
      <c r="D76" s="729">
        <f>Data!$C$8</f>
        <v>0.55000000000000004</v>
      </c>
      <c r="E76" s="730">
        <f>Data!$C$8</f>
        <v>0.55000000000000004</v>
      </c>
      <c r="F76" s="730">
        <f>Data!$C$8</f>
        <v>0.55000000000000004</v>
      </c>
      <c r="G76" s="730">
        <f>Data!$C$8</f>
        <v>0.55000000000000004</v>
      </c>
      <c r="H76" s="730">
        <f>Data!$C$8</f>
        <v>0.55000000000000004</v>
      </c>
    </row>
    <row r="77" spans="2:8">
      <c r="B77" s="427" t="s">
        <v>831</v>
      </c>
      <c r="C77" s="444" t="s">
        <v>538</v>
      </c>
      <c r="D77" s="731">
        <f t="shared" ref="D77:H77" si="16">IF(ISBLANK(D21),"n/a",D75-D76)</f>
        <v>-1.8302686552924441E-2</v>
      </c>
      <c r="E77" s="732">
        <f t="shared" si="16"/>
        <v>-4.7249470191110254E-2</v>
      </c>
      <c r="F77" s="732">
        <f t="shared" si="16"/>
        <v>-5.7829040793804909E-2</v>
      </c>
      <c r="G77" s="732">
        <f t="shared" si="16"/>
        <v>-5.7162861176159874E-2</v>
      </c>
      <c r="H77" s="732">
        <f t="shared" si="16"/>
        <v>-3.9127191998492683E-2</v>
      </c>
    </row>
    <row r="78" spans="2:8"/>
    <row r="79" spans="2:8"/>
    <row r="80" spans="2:8"/>
    <row r="81"/>
    <row r="82"/>
    <row r="83"/>
    <row r="84"/>
    <row r="85"/>
    <row r="86"/>
    <row r="87"/>
    <row r="88"/>
    <row r="89"/>
    <row r="90"/>
    <row r="91"/>
    <row r="92"/>
    <row r="93"/>
    <row r="94"/>
    <row r="95"/>
    <row r="96"/>
    <row r="97"/>
    <row r="98"/>
    <row r="99"/>
    <row r="100"/>
    <row r="101"/>
    <row r="102"/>
    <row r="103"/>
    <row r="104"/>
    <row r="105"/>
    <row r="106"/>
    <row r="107"/>
    <row r="108"/>
    <row r="109"/>
    <row r="110"/>
    <row r="111"/>
    <row r="112"/>
    <row r="113"/>
  </sheetData>
  <sheetProtection insertRows="0" sort="0" autoFilter="0" pivotTables="0"/>
  <conditionalFormatting sqref="D41">
    <cfRule type="expression" dxfId="30" priority="2">
      <formula>D$5="Forecast"</formula>
    </cfRule>
    <cfRule type="expression" dxfId="29" priority="3">
      <formula>C$12="N/A"</formula>
    </cfRule>
  </conditionalFormatting>
  <conditionalFormatting sqref="D41:H41">
    <cfRule type="expression" dxfId="28" priority="1">
      <formula>D$5="Actuals"</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&amp;C_x000D_&amp;1#&amp;"Calibri"&amp;10&amp;K000000 OFFICIAL-InternalOnly</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59F72-8A32-483C-9F12-9F37B5393BF6}">
  <sheetPr>
    <tabColor rgb="FFFFFFCC"/>
    <pageSetUpPr fitToPage="1"/>
  </sheetPr>
  <dimension ref="A1:S64"/>
  <sheetViews>
    <sheetView topLeftCell="A25" zoomScale="90" zoomScaleNormal="90" workbookViewId="0">
      <selection activeCell="E18" sqref="E18"/>
    </sheetView>
  </sheetViews>
  <sheetFormatPr defaultColWidth="9" defaultRowHeight="13.5"/>
  <cols>
    <col min="1" max="1" width="8.3828125" style="427" customWidth="1"/>
    <col min="2" max="2" width="52.15234375" style="427" bestFit="1" customWidth="1"/>
    <col min="3" max="4" width="4.23046875" style="427" customWidth="1"/>
    <col min="5" max="5" width="14.15234375" style="557" customWidth="1"/>
    <col min="6" max="10" width="11.15234375" style="427" customWidth="1"/>
    <col min="11" max="11" width="5" style="427" customWidth="1"/>
    <col min="12" max="12" width="9.3046875" style="427" bestFit="1" customWidth="1"/>
    <col min="13" max="13" width="9" style="456"/>
    <col min="14" max="16384" width="9" style="427"/>
  </cols>
  <sheetData>
    <row r="1" spans="1:19" ht="20">
      <c r="A1" s="428" t="s">
        <v>835</v>
      </c>
      <c r="B1" s="643"/>
      <c r="C1" s="643"/>
      <c r="D1" s="643"/>
      <c r="E1" s="737"/>
      <c r="F1" s="528"/>
      <c r="G1" s="528"/>
      <c r="H1" s="528"/>
      <c r="I1" s="528"/>
      <c r="J1" s="528"/>
      <c r="K1" s="530"/>
    </row>
    <row r="2" spans="1:19" ht="20">
      <c r="A2" s="433" t="str">
        <f>Licensee</f>
        <v>NGET (TO)</v>
      </c>
      <c r="B2" s="644"/>
      <c r="C2" s="644"/>
      <c r="D2" s="644"/>
      <c r="E2" s="738"/>
      <c r="F2" s="436"/>
      <c r="G2" s="436"/>
      <c r="H2" s="436"/>
      <c r="I2" s="436"/>
      <c r="J2" s="436"/>
      <c r="K2" s="437"/>
    </row>
    <row r="3" spans="1:19" ht="20">
      <c r="A3" s="438">
        <f>Reporting_Year</f>
        <v>2026</v>
      </c>
      <c r="B3" s="441"/>
      <c r="C3" s="441"/>
      <c r="D3" s="441"/>
      <c r="E3" s="441"/>
      <c r="F3" s="441"/>
      <c r="G3" s="441"/>
      <c r="H3" s="441"/>
      <c r="I3" s="441"/>
      <c r="J3" s="441"/>
      <c r="K3" s="442"/>
    </row>
    <row r="4" spans="1:19" s="83" customFormat="1" ht="12.75" customHeight="1">
      <c r="E4" s="544"/>
      <c r="M4" s="443"/>
    </row>
    <row r="5" spans="1:19" s="83" customFormat="1">
      <c r="B5" s="584"/>
      <c r="C5" s="584"/>
      <c r="D5" s="584"/>
      <c r="E5" s="544"/>
      <c r="F5" s="585" t="str">
        <f>IF(F6&lt;=Reporting_Year,"Actuals","Forecast")</f>
        <v>Actuals</v>
      </c>
      <c r="G5" s="585" t="str">
        <f>IF(G6&lt;=Reporting_Year,"Actuals","Forecast")</f>
        <v>Actuals</v>
      </c>
      <c r="H5" s="585" t="str">
        <f>IF(H6&lt;=Reporting_Year,"Actuals","Forecast")</f>
        <v>Actuals</v>
      </c>
      <c r="I5" s="585" t="str">
        <f>IF(I6&lt;=Reporting_Year,"Actuals","Forecast")</f>
        <v>Actuals</v>
      </c>
      <c r="J5" s="585" t="str">
        <f>IF(J6&lt;=Reporting_Year,"Actuals","Forecast")</f>
        <v>Actuals</v>
      </c>
      <c r="M5" s="443"/>
    </row>
    <row r="6" spans="1:19" s="83" customFormat="1">
      <c r="E6" s="544"/>
      <c r="F6" s="533">
        <f>'RFPR cover'!$C$6</f>
        <v>2022</v>
      </c>
      <c r="G6" s="534">
        <f>F6+1</f>
        <v>2023</v>
      </c>
      <c r="H6" s="534">
        <f t="shared" ref="H6:J6" si="0">G6+1</f>
        <v>2024</v>
      </c>
      <c r="I6" s="534">
        <f t="shared" si="0"/>
        <v>2025</v>
      </c>
      <c r="J6" s="534">
        <f t="shared" si="0"/>
        <v>2026</v>
      </c>
      <c r="M6" s="443"/>
    </row>
    <row r="7" spans="1:19" s="83" customFormat="1">
      <c r="E7" s="544"/>
      <c r="F7" s="533" t="str">
        <f>RIIO_2_start_date-1&amp;"/"&amp;RIGHT(RIIO_2_start_date,2)</f>
        <v>2021/22</v>
      </c>
      <c r="G7" s="533" t="str">
        <f>RIIO_2_start_date&amp;"/"&amp;RIGHT(RIIO_2_start_date+1,2)</f>
        <v>2022/23</v>
      </c>
      <c r="H7" s="533" t="str">
        <f>RIIO_2_start_date+1&amp;"/"&amp;RIGHT(RIIO_2_start_date+2,2)</f>
        <v>2023/24</v>
      </c>
      <c r="I7" s="533" t="str">
        <f>RIIO_2_start_date+2&amp;"/"&amp;RIGHT(RIIO_2_start_date+3,2)</f>
        <v>2024/25</v>
      </c>
      <c r="J7" s="653" t="str">
        <f>RIIO_2_start_date+3&amp;"/"&amp;RIGHT(RIIO_2_start_date+4,2)</f>
        <v>2025/26</v>
      </c>
      <c r="M7" s="443"/>
    </row>
    <row r="8" spans="1:19" s="83" customFormat="1">
      <c r="E8" s="544"/>
      <c r="F8" s="544"/>
      <c r="G8" s="544"/>
      <c r="H8" s="544"/>
      <c r="I8" s="544"/>
      <c r="J8" s="544"/>
      <c r="K8" s="544"/>
      <c r="L8" s="544"/>
      <c r="M8" s="544"/>
      <c r="N8" s="544"/>
      <c r="O8" s="544"/>
      <c r="P8" s="544"/>
      <c r="Q8" s="544"/>
      <c r="R8" s="544"/>
      <c r="S8" s="544"/>
    </row>
    <row r="9" spans="1:19" s="83" customFormat="1">
      <c r="B9" s="739" t="s">
        <v>836</v>
      </c>
      <c r="C9" s="739"/>
      <c r="D9" s="739"/>
      <c r="L9" s="544"/>
      <c r="M9" s="443"/>
    </row>
    <row r="10" spans="1:19" s="83" customFormat="1">
      <c r="L10" s="544"/>
    </row>
    <row r="11" spans="1:19" s="83" customFormat="1">
      <c r="B11" s="740"/>
      <c r="C11" s="740"/>
      <c r="D11" s="740"/>
      <c r="E11" s="740"/>
      <c r="F11" s="740"/>
      <c r="G11" s="740"/>
      <c r="H11" s="740"/>
      <c r="I11" s="740"/>
      <c r="J11" s="740"/>
      <c r="K11" s="740"/>
      <c r="L11" s="544"/>
      <c r="M11" s="443"/>
    </row>
    <row r="12" spans="1:19" s="83" customFormat="1">
      <c r="B12" s="427" t="s">
        <v>837</v>
      </c>
      <c r="C12" s="427"/>
      <c r="D12" s="427"/>
      <c r="E12" s="741" t="str">
        <f>Data!$C$9</f>
        <v>£m 18/19</v>
      </c>
      <c r="F12" s="742">
        <v>14173.298728547888</v>
      </c>
      <c r="G12" s="742">
        <v>14391.547952001183</v>
      </c>
      <c r="H12" s="742">
        <v>14885.212889059258</v>
      </c>
      <c r="I12" s="742">
        <v>15972.560769408581</v>
      </c>
      <c r="J12" s="742">
        <v>17843.103916200467</v>
      </c>
      <c r="L12" s="544"/>
      <c r="M12" s="443"/>
    </row>
    <row r="13" spans="1:19" s="83" customFormat="1">
      <c r="L13" s="544"/>
      <c r="M13" s="443"/>
    </row>
    <row r="14" spans="1:19" s="83" customFormat="1">
      <c r="B14" s="740"/>
      <c r="C14" s="740"/>
      <c r="D14" s="740"/>
      <c r="E14" s="544"/>
      <c r="F14" s="544"/>
      <c r="G14" s="544"/>
      <c r="H14" s="544"/>
      <c r="I14" s="544"/>
      <c r="J14" s="544"/>
      <c r="L14" s="544"/>
      <c r="M14" s="443"/>
    </row>
    <row r="15" spans="1:19" s="83" customFormat="1" ht="14">
      <c r="B15" s="83" t="s">
        <v>838</v>
      </c>
      <c r="E15" s="741" t="str">
        <f>Data!$C$9</f>
        <v>£m 18/19</v>
      </c>
      <c r="F15" s="742">
        <v>13928.089222961476</v>
      </c>
      <c r="G15" s="743">
        <f>F24</f>
        <v>14224.995047284683</v>
      </c>
      <c r="H15" s="743">
        <f>G24</f>
        <v>14474.517505962485</v>
      </c>
      <c r="I15" s="743">
        <f>H24</f>
        <v>14940.668602223015</v>
      </c>
      <c r="J15" s="743">
        <f>I24</f>
        <v>15991.666086180285</v>
      </c>
      <c r="L15" s="544"/>
      <c r="M15" s="443"/>
    </row>
    <row r="16" spans="1:19" s="83" customFormat="1">
      <c r="B16" s="83" t="s">
        <v>839</v>
      </c>
      <c r="E16" s="741" t="str">
        <f>Data!$C$9</f>
        <v>£m 18/19</v>
      </c>
      <c r="F16" s="742">
        <v>0</v>
      </c>
      <c r="G16" s="742">
        <v>0</v>
      </c>
      <c r="H16" s="742">
        <v>0</v>
      </c>
      <c r="I16" s="742">
        <v>0</v>
      </c>
      <c r="J16" s="742">
        <v>0</v>
      </c>
      <c r="L16" s="544"/>
      <c r="M16" s="443"/>
    </row>
    <row r="17" spans="1:19" s="83" customFormat="1">
      <c r="B17" s="586" t="s">
        <v>840</v>
      </c>
      <c r="C17" s="586"/>
      <c r="D17" s="586"/>
      <c r="E17" s="741" t="str">
        <f>Data!$C$9</f>
        <v>£m 18/19</v>
      </c>
      <c r="F17" s="744">
        <f>SUM(F15:F16)</f>
        <v>13928.089222961476</v>
      </c>
      <c r="G17" s="745">
        <f t="shared" ref="G17:J17" si="1">SUM(G15:G16)</f>
        <v>14224.995047284683</v>
      </c>
      <c r="H17" s="745">
        <f t="shared" si="1"/>
        <v>14474.517505962485</v>
      </c>
      <c r="I17" s="745">
        <f t="shared" si="1"/>
        <v>14940.668602223015</v>
      </c>
      <c r="J17" s="745">
        <f t="shared" si="1"/>
        <v>15991.666086180285</v>
      </c>
      <c r="L17" s="544"/>
      <c r="M17" s="443"/>
    </row>
    <row r="18" spans="1:19" s="83" customFormat="1">
      <c r="B18" s="746" t="s">
        <v>841</v>
      </c>
      <c r="C18" s="746"/>
      <c r="D18" s="746"/>
      <c r="E18" s="741" t="str">
        <f>Data!$C$9</f>
        <v>£m 18/19</v>
      </c>
      <c r="F18" s="742">
        <v>1110.7862975428739</v>
      </c>
      <c r="G18" s="742">
        <v>1081.7434731953542</v>
      </c>
      <c r="H18" s="742">
        <v>1356.3739850307454</v>
      </c>
      <c r="I18" s="742">
        <v>1954.999129318011</v>
      </c>
      <c r="J18" s="742">
        <v>2750.0649309592054</v>
      </c>
      <c r="L18" s="544"/>
      <c r="M18" s="443"/>
    </row>
    <row r="19" spans="1:19" s="83" customFormat="1">
      <c r="B19" s="746" t="s">
        <v>842</v>
      </c>
      <c r="C19" s="746"/>
      <c r="D19" s="746"/>
      <c r="E19" s="741" t="str">
        <f>Data!$C$9</f>
        <v>£m 18/19</v>
      </c>
      <c r="F19" s="747">
        <v>51.696318736794638</v>
      </c>
      <c r="G19" s="747">
        <v>32.42204230754578</v>
      </c>
      <c r="H19" s="747">
        <v>-25.644543885449139</v>
      </c>
      <c r="I19" s="747">
        <v>-35.050978232965235</v>
      </c>
      <c r="J19" s="747">
        <v>-64.225852519224645</v>
      </c>
      <c r="L19" s="544"/>
      <c r="M19" s="443"/>
    </row>
    <row r="20" spans="1:19" s="83" customFormat="1">
      <c r="B20" s="748" t="s">
        <v>843</v>
      </c>
      <c r="C20" s="748"/>
      <c r="D20" s="748"/>
      <c r="E20" s="741" t="str">
        <f>Data!$C$9</f>
        <v>£m 18/19</v>
      </c>
      <c r="F20" s="749">
        <f>SUM(F18:F19)</f>
        <v>1162.4826162796685</v>
      </c>
      <c r="G20" s="749">
        <f t="shared" ref="G20:J20" si="2">SUM(G18:G19)</f>
        <v>1114.1655155029</v>
      </c>
      <c r="H20" s="749">
        <f t="shared" si="2"/>
        <v>1330.7294411452963</v>
      </c>
      <c r="I20" s="749">
        <f t="shared" si="2"/>
        <v>1919.9481510850458</v>
      </c>
      <c r="J20" s="749">
        <f t="shared" si="2"/>
        <v>2685.8390784399808</v>
      </c>
      <c r="L20" s="544"/>
      <c r="M20" s="443"/>
    </row>
    <row r="21" spans="1:19" s="83" customFormat="1">
      <c r="B21" s="746" t="s">
        <v>844</v>
      </c>
      <c r="C21" s="746"/>
      <c r="D21" s="746"/>
      <c r="E21" s="741" t="str">
        <f>Data!$C$9</f>
        <v>£m 18/19</v>
      </c>
      <c r="F21" s="742">
        <v>-865.57679195646233</v>
      </c>
      <c r="G21" s="742">
        <v>-863.49424974205726</v>
      </c>
      <c r="H21" s="742">
        <v>-862.70904797266996</v>
      </c>
      <c r="I21" s="742">
        <v>-867.65124896869111</v>
      </c>
      <c r="J21" s="742">
        <v>-879.52178416731499</v>
      </c>
      <c r="L21" s="544"/>
      <c r="M21" s="443"/>
    </row>
    <row r="22" spans="1:19" s="83" customFormat="1">
      <c r="B22" s="746" t="s">
        <v>845</v>
      </c>
      <c r="C22" s="746"/>
      <c r="D22" s="746"/>
      <c r="E22" s="741" t="str">
        <f>Data!$C$9</f>
        <v>£m 18/19</v>
      </c>
      <c r="F22" s="750">
        <v>0</v>
      </c>
      <c r="G22" s="750">
        <v>-1.1488070830398556</v>
      </c>
      <c r="H22" s="750">
        <v>-1.869296912096388</v>
      </c>
      <c r="I22" s="750">
        <v>-1.2994181590863718</v>
      </c>
      <c r="J22" s="750">
        <v>-0.52050753168714436</v>
      </c>
      <c r="L22" s="544"/>
      <c r="M22" s="443"/>
    </row>
    <row r="23" spans="1:19" s="83" customFormat="1">
      <c r="B23" s="455" t="s">
        <v>846</v>
      </c>
      <c r="C23" s="455"/>
      <c r="D23" s="455"/>
      <c r="E23" s="741" t="str">
        <f>Data!$C$9</f>
        <v>£m 18/19</v>
      </c>
      <c r="F23" s="751">
        <f>SUM(F21:F22)</f>
        <v>-865.57679195646233</v>
      </c>
      <c r="G23" s="751">
        <f t="shared" ref="G23:J23" si="3">SUM(G21:G22)</f>
        <v>-864.64305682509712</v>
      </c>
      <c r="H23" s="751">
        <f t="shared" si="3"/>
        <v>-864.57834488476635</v>
      </c>
      <c r="I23" s="751">
        <f t="shared" si="3"/>
        <v>-868.95066712777748</v>
      </c>
      <c r="J23" s="751">
        <f t="shared" si="3"/>
        <v>-880.04229169900213</v>
      </c>
      <c r="L23" s="752"/>
      <c r="M23" s="752"/>
      <c r="N23" s="752"/>
      <c r="O23" s="752"/>
    </row>
    <row r="24" spans="1:19" s="83" customFormat="1">
      <c r="B24" s="586" t="s">
        <v>847</v>
      </c>
      <c r="C24" s="586"/>
      <c r="D24" s="586"/>
      <c r="E24" s="741" t="str">
        <f>Data!$C$9</f>
        <v>£m 18/19</v>
      </c>
      <c r="F24" s="753">
        <f>F17+F20+F23</f>
        <v>14224.995047284683</v>
      </c>
      <c r="G24" s="753">
        <f t="shared" ref="G24:J24" si="4">G17+G20+G23</f>
        <v>14474.517505962485</v>
      </c>
      <c r="H24" s="753">
        <f t="shared" si="4"/>
        <v>14940.668602223015</v>
      </c>
      <c r="I24" s="753">
        <f t="shared" si="4"/>
        <v>15991.666086180285</v>
      </c>
      <c r="J24" s="753">
        <f t="shared" si="4"/>
        <v>17797.462872921264</v>
      </c>
      <c r="L24" s="754"/>
      <c r="M24" s="443"/>
    </row>
    <row r="25" spans="1:19" s="83" customFormat="1">
      <c r="B25" s="586"/>
      <c r="C25" s="586"/>
      <c r="D25" s="586"/>
      <c r="E25" s="741"/>
      <c r="F25" s="741"/>
      <c r="G25" s="741"/>
      <c r="H25" s="741"/>
      <c r="I25" s="741"/>
      <c r="J25" s="741"/>
      <c r="K25" s="741"/>
      <c r="L25" s="544"/>
      <c r="M25" s="741"/>
      <c r="N25" s="741"/>
    </row>
    <row r="26" spans="1:19" s="83" customFormat="1">
      <c r="B26" s="586" t="s">
        <v>848</v>
      </c>
      <c r="C26" s="741"/>
      <c r="D26" s="741"/>
      <c r="E26" s="741" t="str">
        <f>Data!$C$9</f>
        <v>£m 18/19</v>
      </c>
      <c r="F26" s="753">
        <f>F19+F22</f>
        <v>51.696318736794638</v>
      </c>
      <c r="G26" s="755">
        <f>G19+G22</f>
        <v>31.273235224505925</v>
      </c>
      <c r="H26" s="755">
        <f t="shared" ref="H26:J26" si="5">H19+H22</f>
        <v>-27.513840797545527</v>
      </c>
      <c r="I26" s="755">
        <f t="shared" si="5"/>
        <v>-36.350396392051607</v>
      </c>
      <c r="J26" s="756">
        <f t="shared" si="5"/>
        <v>-64.74636005091179</v>
      </c>
      <c r="K26" s="741"/>
      <c r="L26" s="544"/>
      <c r="M26" s="741"/>
      <c r="N26" s="741"/>
    </row>
    <row r="27" spans="1:19" s="83" customFormat="1">
      <c r="B27" s="586" t="s">
        <v>849</v>
      </c>
      <c r="C27" s="741"/>
      <c r="D27" s="741"/>
      <c r="E27" s="757"/>
      <c r="F27" s="758" t="str">
        <f>IF(F5="Actuals",IF(ABS((F24-SUM($F26:F$26))-F12)&lt;0.1,"TRUE","FALSE"),"NA")</f>
        <v>TRUE</v>
      </c>
      <c r="G27" s="759" t="str">
        <f>IF(G5="Actuals",IF(ABS((G24-SUM($F26:G$26))-G12)&lt;0.1,"TRUE","FALSE"),"NA")</f>
        <v>TRUE</v>
      </c>
      <c r="H27" s="759" t="str">
        <f>IF(H5="Actuals",IF(ABS((H24-SUM($F26:H$26))-H12)&lt;0.1,"TRUE","FALSE"),"NA")</f>
        <v>TRUE</v>
      </c>
      <c r="I27" s="759" t="str">
        <f>IF(I5="Actuals",IF(ABS((I24-SUM($F26:I$26))-I12)&lt;0.1,"TRUE","FALSE"),"NA")</f>
        <v>TRUE</v>
      </c>
      <c r="J27" s="760" t="str">
        <f>IF(J5="Actuals",IF(ABS((J24-SUM($F26:J$26))-J12)&lt;0.1,"TRUE","FALSE"),"NA")</f>
        <v>TRUE</v>
      </c>
      <c r="K27" s="741"/>
      <c r="L27" s="544"/>
      <c r="N27" s="741"/>
    </row>
    <row r="28" spans="1:19" s="83" customFormat="1">
      <c r="B28" s="586"/>
      <c r="C28" s="586"/>
      <c r="D28" s="586"/>
      <c r="E28" s="741"/>
      <c r="F28" s="741"/>
      <c r="G28" s="741"/>
      <c r="H28" s="741"/>
      <c r="I28" s="741"/>
      <c r="J28" s="741"/>
      <c r="K28" s="741"/>
      <c r="L28" s="544"/>
      <c r="M28" s="741"/>
      <c r="N28" s="741"/>
    </row>
    <row r="29" spans="1:19" s="83" customFormat="1">
      <c r="B29" s="586"/>
      <c r="C29" s="586"/>
      <c r="D29" s="586"/>
      <c r="E29" s="741"/>
      <c r="F29" s="761"/>
      <c r="G29" s="741"/>
      <c r="H29" s="761"/>
      <c r="I29" s="761"/>
      <c r="J29" s="761"/>
      <c r="K29" s="741"/>
      <c r="L29" s="544"/>
      <c r="M29" s="741"/>
      <c r="N29" s="741"/>
    </row>
    <row r="30" spans="1:19" s="83" customFormat="1">
      <c r="A30" s="427"/>
      <c r="B30" s="83" t="s">
        <v>850</v>
      </c>
      <c r="E30" s="557" t="s">
        <v>851</v>
      </c>
      <c r="F30" s="762">
        <f>IF(Sector="ED2",(INDEX(Data!C29:N29,MATCH(RIIO_2_start_date-1,Data!C27:N27,0))/Data!$E$28),INDEX(Data!C20:N20,MATCH(RIIO_2_start_date-1,Data!C18:N18,0))/Data!$C$19)</f>
        <v>1.0533528227824487</v>
      </c>
      <c r="G30" s="741"/>
      <c r="H30" s="761"/>
      <c r="I30" s="761"/>
      <c r="J30" s="763"/>
      <c r="K30" s="764"/>
      <c r="L30" s="544"/>
      <c r="M30" s="765"/>
      <c r="N30" s="765"/>
    </row>
    <row r="31" spans="1:19" s="83" customFormat="1">
      <c r="B31" s="586"/>
      <c r="C31" s="586"/>
      <c r="D31" s="586"/>
      <c r="E31" s="741"/>
      <c r="F31" s="766"/>
      <c r="G31" s="766"/>
      <c r="H31" s="766"/>
      <c r="I31" s="766"/>
      <c r="J31" s="766"/>
      <c r="K31" s="741"/>
      <c r="L31" s="544"/>
    </row>
    <row r="32" spans="1:19" s="83" customFormat="1">
      <c r="B32" s="586" t="s">
        <v>847</v>
      </c>
      <c r="C32" s="586"/>
      <c r="D32" s="586"/>
      <c r="E32" s="444" t="s">
        <v>575</v>
      </c>
      <c r="F32" s="767">
        <f>IF(Sector="ED2",F24*Data!H36,F24*Combined_real_to_nominal_prices_conversion_factor__financial_year_end)</f>
        <v>16063.105943206954</v>
      </c>
      <c r="G32" s="767">
        <f>IF(Sector="ED2",G24*Data!I36,G24*Combined_real_to_nominal_prices_conversion_factor__financial_year_end)</f>
        <v>17705.208394415942</v>
      </c>
      <c r="H32" s="767">
        <f>IF(Sector="ED2",H24*Data!J36,H24*Combined_real_to_nominal_prices_conversion_factor__financial_year_end)</f>
        <v>18898.67308037958</v>
      </c>
      <c r="I32" s="767">
        <f>IF(Sector="ED2",I24*Data!K36,I24*Combined_real_to_nominal_prices_conversion_factor__financial_year_end)</f>
        <v>20994.892009978696</v>
      </c>
      <c r="J32" s="767">
        <f>IF(Sector="ED2",J24*Data!L36,J24*Combined_real_to_nominal_prices_conversion_factor__financial_year_end)</f>
        <v>24116.636725516219</v>
      </c>
      <c r="K32" s="741"/>
      <c r="L32" s="768"/>
      <c r="Q32" s="752"/>
      <c r="R32" s="752"/>
      <c r="S32" s="752"/>
    </row>
    <row r="33" spans="1:14" s="83" customFormat="1">
      <c r="B33" s="586"/>
      <c r="C33" s="586"/>
      <c r="D33" s="586"/>
      <c r="E33" s="741"/>
      <c r="F33" s="741"/>
      <c r="G33" s="741"/>
      <c r="H33" s="741"/>
      <c r="I33" s="741"/>
      <c r="J33" s="741"/>
      <c r="K33" s="741"/>
      <c r="L33" s="544"/>
      <c r="M33" s="741"/>
      <c r="N33" s="741"/>
    </row>
    <row r="34" spans="1:14" s="83" customFormat="1">
      <c r="B34" s="443" t="s">
        <v>852</v>
      </c>
      <c r="C34" s="443"/>
      <c r="D34" s="443"/>
      <c r="E34" s="741" t="s">
        <v>853</v>
      </c>
      <c r="F34" s="769">
        <f>INDEX(Data!$H$63:$P$91,MATCH('RFPR cover'!$C$7,Data!$B$63:$B$91,0),MATCH('R7 - RAV'!F$6,Data!$H$62:$P$62,0))</f>
        <v>2.0500000000000001E-2</v>
      </c>
      <c r="G34" s="769">
        <f>INDEX(Data!$H$63:$P$91,MATCH('RFPR cover'!$C$7,Data!$B$63:$B$91,0),MATCH('R7 - RAV'!G$6,Data!$H$62:$P$62,0))</f>
        <v>1.9E-2</v>
      </c>
      <c r="H34" s="769">
        <f>INDEX(Data!$H$63:$P$91,MATCH('RFPR cover'!$C$7,Data!$B$63:$B$91,0),MATCH('R7 - RAV'!H$6,Data!$H$62:$P$62,0))</f>
        <v>1.9199999999999998E-2</v>
      </c>
      <c r="I34" s="769">
        <f>INDEX(Data!$H$63:$P$91,MATCH('RFPR cover'!$C$7,Data!$B$63:$B$91,0),MATCH('R7 - RAV'!I$6,Data!$H$62:$P$62,0))</f>
        <v>2.1100000000000001E-2</v>
      </c>
      <c r="J34" s="769">
        <f>INDEX(Data!$H$63:$P$91,MATCH('RFPR cover'!$C$7,Data!$B$63:$B$91,0),MATCH('R7 - RAV'!J$6,Data!$H$62:$P$62,0))</f>
        <v>2.2599999999999999E-2</v>
      </c>
      <c r="K34" s="741"/>
      <c r="L34" s="544"/>
      <c r="M34" s="741"/>
      <c r="N34" s="741"/>
    </row>
    <row r="35" spans="1:14" s="83" customFormat="1">
      <c r="B35" s="443" t="s">
        <v>854</v>
      </c>
      <c r="C35" s="443"/>
      <c r="D35" s="443"/>
      <c r="E35" s="741" t="s">
        <v>853</v>
      </c>
      <c r="F35" s="770">
        <f>INDEX(Data!$O$63:$U$91,MATCH('RFPR cover'!$C$7,Data!$B$63:$B$91,0),MATCH('R7 - RAV'!F$6,Data!$O$62:$U$62,0))</f>
        <v>4.2439449777777784E-2</v>
      </c>
      <c r="G35" s="770">
        <f>INDEX(Data!$O$63:$U$91,MATCH('RFPR cover'!$C$7,Data!$B$63:$B$91,0),MATCH('R7 - RAV'!G$6,Data!$O$62:$U$62,0))</f>
        <v>4.2616093333333334E-2</v>
      </c>
      <c r="H35" s="770">
        <f>INDEX(Data!$O$63:$U$91,MATCH('RFPR cover'!$C$7,Data!$B$63:$B$91,0),MATCH('R7 - RAV'!H$6,Data!$O$62:$U$62,0))</f>
        <v>4.909683911111111E-2</v>
      </c>
      <c r="I35" s="770">
        <f>INDEX(Data!$O$63:$U$91,MATCH('RFPR cover'!$C$7,Data!$B$63:$B$91,0),MATCH('R7 - RAV'!I$6,Data!$O$62:$U$62,0))</f>
        <v>5.2011518222222233E-2</v>
      </c>
      <c r="J35" s="770">
        <f>INDEX(Data!$O$63:$U$91,MATCH('RFPR cover'!$C$7,Data!$B$63:$B$91,0),MATCH('R7 - RAV'!J$6,Data!$O$62:$U$62,0))</f>
        <v>5.0933685333333333E-2</v>
      </c>
      <c r="K35" s="741"/>
      <c r="L35" s="544"/>
      <c r="M35" s="741"/>
      <c r="N35" s="741"/>
    </row>
    <row r="36" spans="1:14">
      <c r="A36" s="83"/>
      <c r="B36" s="443" t="s">
        <v>855</v>
      </c>
      <c r="C36" s="443"/>
      <c r="D36" s="443"/>
      <c r="E36" s="741" t="s">
        <v>538</v>
      </c>
      <c r="F36" s="771">
        <f t="shared" ref="F36:J36" si="6">Notional_Gearing</f>
        <v>0.55000000000000004</v>
      </c>
      <c r="G36" s="771">
        <f t="shared" si="6"/>
        <v>0.55000000000000004</v>
      </c>
      <c r="H36" s="771">
        <f t="shared" si="6"/>
        <v>0.55000000000000004</v>
      </c>
      <c r="I36" s="771">
        <f t="shared" si="6"/>
        <v>0.55000000000000004</v>
      </c>
      <c r="J36" s="771">
        <f t="shared" si="6"/>
        <v>0.55000000000000004</v>
      </c>
      <c r="K36" s="741"/>
      <c r="L36" s="544"/>
      <c r="M36" s="741"/>
      <c r="N36" s="741"/>
    </row>
    <row r="37" spans="1:14">
      <c r="B37" s="427" t="s">
        <v>856</v>
      </c>
      <c r="E37" s="741" t="s">
        <v>853</v>
      </c>
      <c r="F37" s="772">
        <f t="shared" ref="F37:J37" si="7">F34*F36+F35*(1-F36)</f>
        <v>3.0372752400000001E-2</v>
      </c>
      <c r="G37" s="773">
        <f t="shared" si="7"/>
        <v>2.9627241999999998E-2</v>
      </c>
      <c r="H37" s="773">
        <f t="shared" si="7"/>
        <v>3.2653577599999997E-2</v>
      </c>
      <c r="I37" s="773">
        <f t="shared" si="7"/>
        <v>3.5010183200000003E-2</v>
      </c>
      <c r="J37" s="773">
        <f t="shared" si="7"/>
        <v>3.5350158399999998E-2</v>
      </c>
      <c r="K37" s="741"/>
      <c r="L37" s="544"/>
      <c r="M37" s="741"/>
      <c r="N37" s="741"/>
    </row>
    <row r="38" spans="1:14" s="83" customFormat="1">
      <c r="A38" s="427"/>
      <c r="B38" s="427"/>
      <c r="C38" s="427"/>
      <c r="D38" s="427"/>
      <c r="E38" s="774"/>
      <c r="F38" s="775"/>
      <c r="G38" s="775"/>
      <c r="H38" s="775"/>
      <c r="I38" s="775"/>
      <c r="J38" s="775"/>
      <c r="K38" s="741"/>
      <c r="L38" s="544"/>
      <c r="M38" s="741"/>
      <c r="N38" s="741"/>
    </row>
    <row r="39" spans="1:14" s="83" customFormat="1">
      <c r="A39" s="427"/>
      <c r="B39" s="456" t="s">
        <v>857</v>
      </c>
      <c r="C39" s="456"/>
      <c r="D39" s="456"/>
      <c r="E39" s="741" t="str">
        <f>Data!$C$9</f>
        <v>£m 18/19</v>
      </c>
      <c r="F39" s="410">
        <f>F41*F36</f>
        <v>7626.7861484994537</v>
      </c>
      <c r="G39" s="688">
        <f t="shared" ref="G39:J39" si="8">G41*G36</f>
        <v>7777.8283755719776</v>
      </c>
      <c r="H39" s="688">
        <f t="shared" si="8"/>
        <v>7959.2553327701517</v>
      </c>
      <c r="I39" s="688">
        <f t="shared" si="8"/>
        <v>8357.6354653945637</v>
      </c>
      <c r="J39" s="688">
        <f t="shared" si="8"/>
        <v>9124.9033649543508</v>
      </c>
      <c r="K39" s="741"/>
      <c r="L39" s="544"/>
      <c r="M39" s="741"/>
      <c r="N39" s="741"/>
    </row>
    <row r="40" spans="1:14" s="83" customFormat="1">
      <c r="A40" s="427"/>
      <c r="B40" s="456" t="s">
        <v>858</v>
      </c>
      <c r="C40" s="456"/>
      <c r="D40" s="456"/>
      <c r="E40" s="741" t="str">
        <f>Data!$C$9</f>
        <v>£m 18/19</v>
      </c>
      <c r="F40" s="776">
        <f>F41*(1-F36)</f>
        <v>6240.0977578631882</v>
      </c>
      <c r="G40" s="777">
        <f t="shared" ref="G40:J40" si="9">G41*(1-G36)</f>
        <v>6363.6777618316164</v>
      </c>
      <c r="H40" s="777">
        <f t="shared" si="9"/>
        <v>6512.117999539214</v>
      </c>
      <c r="I40" s="777">
        <f t="shared" si="9"/>
        <v>6838.0653807773697</v>
      </c>
      <c r="J40" s="777">
        <f t="shared" si="9"/>
        <v>7465.8300258717409</v>
      </c>
      <c r="K40" s="741"/>
      <c r="L40" s="544"/>
      <c r="M40" s="741"/>
      <c r="N40" s="741"/>
    </row>
    <row r="41" spans="1:14" s="83" customFormat="1">
      <c r="A41" s="427"/>
      <c r="B41" s="427" t="s">
        <v>859</v>
      </c>
      <c r="C41" s="427"/>
      <c r="D41" s="427"/>
      <c r="E41" s="741" t="str">
        <f>Data!$C$9</f>
        <v>£m 18/19</v>
      </c>
      <c r="F41" s="554">
        <f>AVERAGE(F17,F24*(1/(1+F37)))</f>
        <v>13866.883906362642</v>
      </c>
      <c r="G41" s="554">
        <f t="shared" ref="G41:J41" si="10">AVERAGE(G17,G24*(1/(1+G37)))</f>
        <v>14141.506137403594</v>
      </c>
      <c r="H41" s="554">
        <f t="shared" si="10"/>
        <v>14471.373332309366</v>
      </c>
      <c r="I41" s="554">
        <f t="shared" si="10"/>
        <v>15195.700846171934</v>
      </c>
      <c r="J41" s="554">
        <f t="shared" si="10"/>
        <v>16590.733390826092</v>
      </c>
      <c r="K41" s="741"/>
      <c r="L41" s="544"/>
      <c r="M41" s="741"/>
      <c r="N41" s="741"/>
    </row>
    <row r="42" spans="1:14" s="83" customFormat="1">
      <c r="A42" s="427"/>
      <c r="B42" s="427"/>
      <c r="C42" s="427"/>
      <c r="D42" s="427"/>
      <c r="E42" s="741"/>
      <c r="F42" s="741"/>
      <c r="G42" s="741"/>
      <c r="H42" s="741"/>
      <c r="I42" s="741"/>
      <c r="J42" s="741"/>
      <c r="K42" s="741"/>
      <c r="L42" s="544"/>
      <c r="M42" s="741"/>
      <c r="N42" s="741"/>
    </row>
    <row r="43" spans="1:14" s="83" customFormat="1">
      <c r="A43" s="427"/>
      <c r="B43" s="456" t="s">
        <v>860</v>
      </c>
      <c r="C43" s="456"/>
      <c r="D43" s="456"/>
      <c r="E43" s="741" t="str">
        <f>Data!$C$9</f>
        <v>£m 18/19</v>
      </c>
      <c r="F43" s="416">
        <f>F34*F39</f>
        <v>156.3491160442388</v>
      </c>
      <c r="G43" s="778">
        <f t="shared" ref="G43:J44" si="11">G34*G39</f>
        <v>147.77873913586757</v>
      </c>
      <c r="H43" s="778">
        <f t="shared" si="11"/>
        <v>152.81770238918691</v>
      </c>
      <c r="I43" s="778">
        <f t="shared" si="11"/>
        <v>176.3461083198253</v>
      </c>
      <c r="J43" s="778">
        <f t="shared" si="11"/>
        <v>206.22281604796831</v>
      </c>
      <c r="K43" s="741"/>
      <c r="L43" s="544"/>
      <c r="M43" s="741"/>
      <c r="N43" s="741"/>
    </row>
    <row r="44" spans="1:14">
      <c r="B44" s="456" t="s">
        <v>861</v>
      </c>
      <c r="C44" s="456"/>
      <c r="D44" s="456"/>
      <c r="E44" s="741" t="str">
        <f>Data!$C$9</f>
        <v>£m 18/19</v>
      </c>
      <c r="F44" s="563">
        <f>F35*F40</f>
        <v>264.82631540325855</v>
      </c>
      <c r="G44" s="779">
        <f t="shared" si="11"/>
        <v>271.19508544147396</v>
      </c>
      <c r="H44" s="779">
        <f t="shared" si="11"/>
        <v>319.72440969594754</v>
      </c>
      <c r="I44" s="779">
        <f t="shared" si="11"/>
        <v>355.65816215704916</v>
      </c>
      <c r="J44" s="779">
        <f t="shared" si="11"/>
        <v>380.26223728990311</v>
      </c>
      <c r="K44" s="741"/>
      <c r="L44" s="544"/>
      <c r="M44" s="741"/>
      <c r="N44" s="741"/>
    </row>
    <row r="45" spans="1:14">
      <c r="B45" s="427" t="s">
        <v>862</v>
      </c>
      <c r="E45" s="741" t="str">
        <f>Data!$C$9</f>
        <v>£m 18/19</v>
      </c>
      <c r="F45" s="554">
        <f>SUM(F43:F44)</f>
        <v>421.17543144749732</v>
      </c>
      <c r="G45" s="689">
        <f t="shared" ref="G45:J45" si="12">SUM(G43:G44)</f>
        <v>418.97382457734153</v>
      </c>
      <c r="H45" s="689">
        <f t="shared" si="12"/>
        <v>472.54211208513448</v>
      </c>
      <c r="I45" s="689">
        <f t="shared" si="12"/>
        <v>532.00427047687447</v>
      </c>
      <c r="J45" s="689">
        <f t="shared" si="12"/>
        <v>586.48505333787148</v>
      </c>
      <c r="K45" s="741"/>
      <c r="L45" s="544"/>
      <c r="M45" s="741"/>
      <c r="N45" s="741"/>
    </row>
    <row r="46" spans="1:14">
      <c r="K46" s="741"/>
      <c r="L46" s="544"/>
      <c r="M46" s="741"/>
      <c r="N46" s="741"/>
    </row>
    <row r="47" spans="1:14">
      <c r="B47" s="456"/>
      <c r="C47" s="456"/>
      <c r="D47" s="456"/>
      <c r="E47" s="444"/>
      <c r="F47" s="674"/>
      <c r="G47" s="674"/>
      <c r="H47" s="674"/>
      <c r="I47" s="674"/>
      <c r="J47" s="674"/>
      <c r="K47" s="741"/>
      <c r="L47" s="544"/>
      <c r="M47" s="741"/>
      <c r="N47" s="741"/>
    </row>
    <row r="48" spans="1:14">
      <c r="B48" s="456"/>
      <c r="C48" s="456"/>
      <c r="D48" s="456"/>
      <c r="E48" s="444"/>
      <c r="F48" s="674"/>
      <c r="G48" s="674"/>
      <c r="H48" s="674"/>
      <c r="I48" s="674"/>
      <c r="J48" s="674"/>
      <c r="K48" s="741"/>
      <c r="L48" s="544"/>
      <c r="M48" s="741"/>
      <c r="N48" s="741"/>
    </row>
    <row r="49" spans="2:14">
      <c r="E49" s="444"/>
      <c r="F49" s="780"/>
      <c r="G49" s="780"/>
      <c r="H49" s="780"/>
      <c r="I49" s="780"/>
      <c r="J49" s="780"/>
      <c r="K49" s="741"/>
      <c r="L49" s="544"/>
      <c r="M49" s="741"/>
      <c r="N49" s="741"/>
    </row>
    <row r="50" spans="2:14">
      <c r="E50" s="741"/>
      <c r="F50" s="741"/>
      <c r="G50" s="741"/>
      <c r="H50" s="741"/>
      <c r="I50" s="741"/>
      <c r="J50" s="741"/>
      <c r="K50" s="741"/>
      <c r="L50" s="544"/>
      <c r="M50" s="741"/>
      <c r="N50" s="741"/>
    </row>
    <row r="54" spans="2:14">
      <c r="E54" s="427"/>
      <c r="M54" s="427"/>
    </row>
    <row r="55" spans="2:14">
      <c r="E55" s="427"/>
      <c r="M55" s="427"/>
    </row>
    <row r="56" spans="2:14">
      <c r="B56" s="456"/>
      <c r="C56" s="456"/>
      <c r="D56" s="456"/>
      <c r="E56" s="444"/>
      <c r="F56" s="674"/>
      <c r="G56" s="674"/>
      <c r="H56" s="674"/>
      <c r="I56" s="674"/>
      <c r="J56" s="674"/>
      <c r="K56" s="511"/>
    </row>
    <row r="57" spans="2:14">
      <c r="B57" s="456"/>
      <c r="C57" s="456"/>
      <c r="D57" s="456"/>
      <c r="E57" s="444"/>
      <c r="F57" s="780"/>
      <c r="G57" s="780"/>
      <c r="H57" s="780"/>
      <c r="I57" s="780"/>
      <c r="J57" s="780"/>
    </row>
    <row r="58" spans="2:14">
      <c r="E58" s="444"/>
      <c r="F58" s="674"/>
      <c r="G58" s="674"/>
      <c r="H58" s="674"/>
      <c r="I58" s="674"/>
      <c r="J58" s="674"/>
    </row>
    <row r="59" spans="2:14">
      <c r="B59" s="511"/>
      <c r="C59" s="511"/>
      <c r="D59" s="511"/>
      <c r="E59" s="587"/>
      <c r="F59" s="587"/>
      <c r="G59" s="587"/>
      <c r="H59" s="587"/>
      <c r="I59" s="587"/>
      <c r="J59" s="587"/>
    </row>
    <row r="60" spans="2:14">
      <c r="B60" s="511"/>
      <c r="C60" s="511"/>
      <c r="D60" s="511"/>
      <c r="E60" s="587"/>
      <c r="F60" s="587"/>
      <c r="G60" s="587"/>
      <c r="H60" s="587"/>
      <c r="I60" s="587"/>
      <c r="J60" s="587"/>
    </row>
    <row r="61" spans="2:14">
      <c r="B61" s="511"/>
      <c r="C61" s="511"/>
      <c r="D61" s="511"/>
      <c r="E61" s="587"/>
      <c r="F61" s="587"/>
      <c r="G61" s="587"/>
      <c r="H61" s="587"/>
      <c r="I61" s="587"/>
      <c r="J61" s="587"/>
    </row>
    <row r="64" spans="2:14">
      <c r="B64" s="511"/>
      <c r="C64" s="511"/>
      <c r="D64" s="511"/>
      <c r="E64" s="587"/>
      <c r="F64" s="587"/>
      <c r="G64" s="587"/>
      <c r="H64" s="587"/>
      <c r="I64" s="587"/>
      <c r="J64" s="587"/>
    </row>
  </sheetData>
  <sheetProtection insertRows="0" sort="0" autoFilter="0" pivotTables="0"/>
  <conditionalFormatting sqref="F5:J5 F6:I6">
    <cfRule type="expression" dxfId="27" priority="2">
      <formula>AND(F$5="Actuals",G$5="Forecast")</formula>
    </cfRule>
  </conditionalFormatting>
  <conditionalFormatting sqref="F7:J7">
    <cfRule type="expression" dxfId="26" priority="1">
      <formula>AND(F$5="Actuals",G$5="Forecast")</formula>
    </cfRule>
  </conditionalFormatting>
  <conditionalFormatting sqref="J6">
    <cfRule type="expression" dxfId="25" priority="3">
      <formula>AND(J$5="Actuals",#REF!="Forecast")</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&amp;C_x000D_&amp;1#&amp;"Calibri"&amp;10&amp;K000000 OFFICIAL-InternalOnly</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1FDD3-4D1F-4803-BF5E-E07E3D4DD5B3}">
  <sheetPr>
    <tabColor rgb="FFFFFFCC"/>
    <pageSetUpPr fitToPage="1"/>
  </sheetPr>
  <dimension ref="A1:AL70"/>
  <sheetViews>
    <sheetView topLeftCell="B32" zoomScale="90" zoomScaleNormal="90" workbookViewId="0">
      <selection activeCell="E18" sqref="E18"/>
    </sheetView>
  </sheetViews>
  <sheetFormatPr defaultColWidth="9" defaultRowHeight="13.5"/>
  <cols>
    <col min="1" max="1" width="8.3828125" style="427" customWidth="1"/>
    <col min="2" max="2" width="54.765625" style="427" customWidth="1"/>
    <col min="3" max="3" width="1.765625" style="427" customWidth="1"/>
    <col min="4" max="4" width="14.15234375" style="427" customWidth="1"/>
    <col min="5" max="9" width="11.15234375" style="427" customWidth="1"/>
    <col min="10" max="10" width="7.765625" style="427" customWidth="1"/>
    <col min="11" max="16384" width="9" style="427"/>
  </cols>
  <sheetData>
    <row r="1" spans="1:20" ht="20">
      <c r="A1" s="428" t="s">
        <v>271</v>
      </c>
      <c r="B1" s="643"/>
      <c r="C1" s="643"/>
      <c r="D1" s="528"/>
      <c r="E1" s="528"/>
      <c r="F1" s="528"/>
      <c r="G1" s="528"/>
      <c r="H1" s="528"/>
      <c r="I1" s="528"/>
      <c r="J1" s="530"/>
    </row>
    <row r="2" spans="1:20" ht="20">
      <c r="A2" s="433" t="str">
        <f>Licensee</f>
        <v>NGET (TO)</v>
      </c>
      <c r="B2" s="436"/>
      <c r="C2" s="436"/>
      <c r="D2" s="436"/>
      <c r="E2" s="436"/>
      <c r="F2" s="436"/>
      <c r="G2" s="436"/>
      <c r="H2" s="436"/>
      <c r="I2" s="436"/>
      <c r="J2" s="437"/>
    </row>
    <row r="3" spans="1:20" ht="20">
      <c r="A3" s="438">
        <f>Reporting_Year</f>
        <v>2026</v>
      </c>
      <c r="B3" s="441"/>
      <c r="C3" s="441"/>
      <c r="D3" s="441"/>
      <c r="E3" s="781"/>
      <c r="F3" s="781"/>
      <c r="G3" s="781"/>
      <c r="H3" s="781"/>
      <c r="I3" s="781"/>
      <c r="J3" s="442"/>
    </row>
    <row r="4" spans="1:20" ht="12.75" customHeight="1">
      <c r="A4" s="782"/>
      <c r="B4" s="783"/>
      <c r="C4" s="783"/>
      <c r="D4" s="782"/>
      <c r="E4" s="782"/>
      <c r="F4" s="782"/>
      <c r="G4" s="782"/>
      <c r="H4" s="782"/>
      <c r="I4" s="782"/>
      <c r="J4" s="782"/>
      <c r="K4" s="783"/>
    </row>
    <row r="5" spans="1:20" s="83" customFormat="1">
      <c r="B5" s="584"/>
      <c r="C5" s="584"/>
      <c r="D5" s="584"/>
      <c r="E5" s="445" t="str">
        <f>IF(E6+1&lt;=Reporting_Year,"Actuals","Forecast")</f>
        <v>Actuals</v>
      </c>
      <c r="F5" s="445" t="str">
        <f>IF(F6+1&lt;=Reporting_Year,"Actuals","Forecast")</f>
        <v>Actuals</v>
      </c>
      <c r="G5" s="445" t="str">
        <f>IF(G6+1&lt;=Reporting_Year,"Actuals","Forecast")</f>
        <v>Actuals</v>
      </c>
      <c r="H5" s="445" t="str">
        <f>IF(H6+1&lt;=Reporting_Year,"Actuals","Forecast")</f>
        <v>Actuals</v>
      </c>
      <c r="I5" s="445" t="str">
        <f>IF(I6+1&lt;=Reporting_Year,"Actuals","Forecast")</f>
        <v>Forecast</v>
      </c>
    </row>
    <row r="6" spans="1:20" s="83" customFormat="1">
      <c r="E6" s="533">
        <f>'RFPR cover'!$C$6</f>
        <v>2022</v>
      </c>
      <c r="F6" s="534">
        <f>E6+1</f>
        <v>2023</v>
      </c>
      <c r="G6" s="534">
        <f t="shared" ref="G6:I6" si="0">F6+1</f>
        <v>2024</v>
      </c>
      <c r="H6" s="534">
        <f t="shared" si="0"/>
        <v>2025</v>
      </c>
      <c r="I6" s="534">
        <f t="shared" si="0"/>
        <v>2026</v>
      </c>
    </row>
    <row r="7" spans="1:20" s="83" customFormat="1">
      <c r="E7" s="533" t="str">
        <f>RIIO_2_start_date-1&amp;"/"&amp;RIGHT(RIIO_2_start_date,2)</f>
        <v>2021/22</v>
      </c>
      <c r="F7" s="533" t="str">
        <f>RIIO_2_start_date&amp;"/"&amp;RIGHT(RIIO_2_start_date+1,2)</f>
        <v>2022/23</v>
      </c>
      <c r="G7" s="533" t="str">
        <f>RIIO_2_start_date+1&amp;"/"&amp;RIGHT(RIIO_2_start_date+2,2)</f>
        <v>2023/24</v>
      </c>
      <c r="H7" s="533" t="str">
        <f>RIIO_2_start_date+2&amp;"/"&amp;RIGHT(RIIO_2_start_date+3,2)</f>
        <v>2024/25</v>
      </c>
      <c r="I7" s="653" t="str">
        <f>RIIO_2_start_date+3&amp;"/"&amp;RIGHT(RIIO_2_start_date+4,2)</f>
        <v>2025/26</v>
      </c>
    </row>
    <row r="8" spans="1:20" s="83" customFormat="1">
      <c r="B8" s="784" t="s">
        <v>863</v>
      </c>
      <c r="C8" s="684"/>
      <c r="D8" s="685"/>
      <c r="E8" s="685"/>
      <c r="F8" s="685"/>
      <c r="G8" s="685"/>
      <c r="H8" s="685"/>
      <c r="I8" s="685"/>
    </row>
    <row r="9" spans="1:20" s="83" customFormat="1" ht="34.5" customHeight="1">
      <c r="B9" s="785" t="s">
        <v>864</v>
      </c>
      <c r="C9" s="785"/>
      <c r="D9" s="785"/>
      <c r="E9" s="785"/>
      <c r="F9" s="785"/>
      <c r="G9" s="785"/>
      <c r="H9" s="785"/>
      <c r="I9" s="785"/>
    </row>
    <row r="10" spans="1:20" s="83" customFormat="1">
      <c r="B10" s="740"/>
      <c r="C10" s="740"/>
    </row>
    <row r="11" spans="1:20" s="83" customFormat="1" ht="34.5" customHeight="1">
      <c r="B11" s="786" t="s">
        <v>865</v>
      </c>
      <c r="C11" s="511"/>
      <c r="D11" s="444" t="s">
        <v>575</v>
      </c>
      <c r="E11" s="787">
        <v>119.85564728</v>
      </c>
      <c r="F11" s="787">
        <v>60.684160734900004</v>
      </c>
      <c r="G11" s="787">
        <v>158.51689797884532</v>
      </c>
      <c r="H11" s="787">
        <v>0</v>
      </c>
      <c r="I11" s="787"/>
      <c r="J11" s="427" t="s">
        <v>866</v>
      </c>
    </row>
    <row r="12" spans="1:20" s="83" customFormat="1">
      <c r="B12" s="511"/>
      <c r="C12" s="511"/>
      <c r="D12" s="511"/>
      <c r="E12" s="511"/>
      <c r="F12" s="511"/>
      <c r="G12" s="511"/>
      <c r="H12" s="511"/>
      <c r="I12" s="511"/>
      <c r="J12" s="511"/>
      <c r="K12" s="511"/>
      <c r="L12" s="511"/>
      <c r="M12" s="511"/>
      <c r="N12" s="511"/>
      <c r="O12" s="511"/>
      <c r="P12" s="511"/>
      <c r="Q12" s="511"/>
      <c r="R12" s="511"/>
      <c r="S12" s="511"/>
      <c r="T12" s="511"/>
    </row>
    <row r="13" spans="1:20" s="83" customFormat="1">
      <c r="B13" s="511"/>
      <c r="C13" s="511"/>
      <c r="D13" s="511"/>
      <c r="E13" s="511"/>
      <c r="F13" s="511"/>
      <c r="G13" s="511"/>
      <c r="H13" s="511"/>
      <c r="I13" s="511"/>
      <c r="J13" s="511"/>
      <c r="K13" s="511"/>
      <c r="L13" s="511"/>
      <c r="M13" s="511"/>
      <c r="N13" s="511"/>
      <c r="O13" s="511"/>
      <c r="P13" s="511"/>
      <c r="Q13" s="511"/>
      <c r="R13" s="511"/>
      <c r="S13" s="511"/>
      <c r="T13" s="511"/>
    </row>
    <row r="14" spans="1:20" s="83" customFormat="1">
      <c r="B14" s="788"/>
      <c r="C14" s="511"/>
      <c r="D14" s="444"/>
      <c r="E14" s="789"/>
      <c r="F14" s="789"/>
      <c r="G14" s="789"/>
      <c r="H14" s="789"/>
      <c r="I14" s="789"/>
      <c r="J14" s="427"/>
    </row>
    <row r="15" spans="1:20">
      <c r="B15" s="511" t="s">
        <v>867</v>
      </c>
      <c r="C15" s="511"/>
      <c r="D15" s="444"/>
      <c r="E15" s="444"/>
      <c r="F15" s="444"/>
      <c r="G15" s="444"/>
      <c r="H15" s="444"/>
      <c r="I15" s="444"/>
      <c r="M15" s="83"/>
      <c r="N15" s="83"/>
    </row>
    <row r="16" spans="1:20">
      <c r="B16" s="659" t="s">
        <v>868</v>
      </c>
      <c r="C16" s="659"/>
      <c r="D16" s="444" t="s">
        <v>575</v>
      </c>
      <c r="E16" s="787">
        <v>-2.8351344732352075</v>
      </c>
      <c r="F16" s="787">
        <v>4.2170146495195384</v>
      </c>
      <c r="G16" s="787">
        <v>-7.4098600000000001</v>
      </c>
      <c r="H16" s="787">
        <v>-4.2438867775383207</v>
      </c>
      <c r="I16" s="787"/>
      <c r="M16" s="83"/>
      <c r="N16" s="83"/>
    </row>
    <row r="17" spans="2:38">
      <c r="B17" s="659" t="s">
        <v>869</v>
      </c>
      <c r="C17" s="659"/>
      <c r="D17" s="444" t="s">
        <v>575</v>
      </c>
      <c r="E17" s="787">
        <v>0</v>
      </c>
      <c r="F17" s="787">
        <v>0</v>
      </c>
      <c r="G17" s="787">
        <v>0</v>
      </c>
      <c r="H17" s="787">
        <v>0</v>
      </c>
      <c r="I17" s="787"/>
      <c r="M17" s="83"/>
      <c r="N17" s="83"/>
    </row>
    <row r="18" spans="2:38">
      <c r="B18" s="659" t="s">
        <v>870</v>
      </c>
      <c r="C18" s="659"/>
      <c r="D18" s="444" t="s">
        <v>575</v>
      </c>
      <c r="E18" s="787">
        <v>-4.8122809999999996</v>
      </c>
      <c r="F18" s="787">
        <v>-14.876773495299895</v>
      </c>
      <c r="G18" s="787">
        <v>-28.858260000000001</v>
      </c>
      <c r="H18" s="787">
        <v>2.8091265001326349</v>
      </c>
      <c r="I18" s="787"/>
      <c r="M18" s="83"/>
      <c r="N18" s="83"/>
    </row>
    <row r="19" spans="2:38">
      <c r="B19" s="659" t="s">
        <v>871</v>
      </c>
      <c r="C19" s="659"/>
      <c r="D19" s="444" t="s">
        <v>575</v>
      </c>
      <c r="E19" s="787">
        <v>0</v>
      </c>
      <c r="F19" s="787">
        <v>0</v>
      </c>
      <c r="G19" s="787">
        <v>0</v>
      </c>
      <c r="H19" s="787">
        <v>0</v>
      </c>
      <c r="I19" s="787"/>
      <c r="M19" s="83"/>
      <c r="N19" s="83"/>
    </row>
    <row r="20" spans="2:38">
      <c r="B20" s="790" t="s">
        <v>872</v>
      </c>
      <c r="C20" s="790"/>
      <c r="D20" s="444" t="s">
        <v>575</v>
      </c>
      <c r="E20" s="634">
        <f>SUM(E16:E19)</f>
        <v>-7.6474154732352071</v>
      </c>
      <c r="F20" s="589">
        <f t="shared" ref="F20:I20" si="1">SUM(F16:F19)</f>
        <v>-10.659758845780356</v>
      </c>
      <c r="G20" s="589">
        <f t="shared" si="1"/>
        <v>-36.268120000000003</v>
      </c>
      <c r="H20" s="589">
        <f t="shared" si="1"/>
        <v>-1.4347602774056858</v>
      </c>
      <c r="I20" s="589">
        <f t="shared" si="1"/>
        <v>0</v>
      </c>
      <c r="M20" s="83"/>
      <c r="N20" s="83"/>
    </row>
    <row r="21" spans="2:38">
      <c r="B21" s="659"/>
      <c r="C21" s="659"/>
      <c r="D21" s="659"/>
      <c r="E21" s="791"/>
      <c r="F21" s="791"/>
      <c r="G21" s="791"/>
      <c r="H21" s="791"/>
      <c r="I21" s="791"/>
    </row>
    <row r="22" spans="2:38">
      <c r="B22" s="511" t="s">
        <v>873</v>
      </c>
      <c r="C22" s="511"/>
      <c r="D22" s="444"/>
      <c r="E22" s="444"/>
      <c r="F22" s="792"/>
      <c r="G22" s="792"/>
      <c r="H22" s="792"/>
      <c r="I22" s="792"/>
      <c r="K22" s="659"/>
      <c r="L22" s="659"/>
      <c r="M22" s="659"/>
      <c r="N22" s="659"/>
      <c r="O22" s="659"/>
      <c r="P22" s="659"/>
      <c r="Q22" s="659"/>
      <c r="R22" s="659"/>
      <c r="S22" s="659"/>
      <c r="T22" s="659"/>
      <c r="U22" s="659"/>
      <c r="V22" s="659"/>
      <c r="W22" s="659"/>
      <c r="X22" s="659"/>
      <c r="Y22" s="659"/>
      <c r="Z22" s="659"/>
      <c r="AA22" s="659"/>
      <c r="AB22" s="659"/>
      <c r="AC22" s="659"/>
      <c r="AD22" s="659"/>
      <c r="AE22" s="659"/>
      <c r="AF22" s="659"/>
      <c r="AG22" s="659"/>
      <c r="AH22" s="659"/>
      <c r="AI22" s="659"/>
      <c r="AJ22" s="659"/>
      <c r="AK22" s="659"/>
      <c r="AL22" s="659"/>
    </row>
    <row r="23" spans="2:38">
      <c r="B23" s="659" t="s">
        <v>874</v>
      </c>
      <c r="C23" s="793"/>
      <c r="D23" s="444" t="s">
        <v>575</v>
      </c>
      <c r="E23" s="794">
        <f>IF(E5="Actuals",('R4 - Incentives and Other Rev'!D71+'R4 - Incentives and Other Rev'!D45+'R4 - Incentives and Other Rev'!D52+'R4 - Incentives and Other Rev'!D59)/(1-INDEX(Corporate_Tax,MATCH(E$6,Data!$C$18:$N$18,0)))*INDEX(Corporate_Tax,MATCH(E$6,Data!$C$18:$N$18,0)),0)*E38</f>
        <v>7.8568049382716026E-2</v>
      </c>
      <c r="F23" s="794">
        <f>IF(F5="Actuals",('R4 - Incentives and Other Rev'!E71+'R4 - Incentives and Other Rev'!E45+'R4 - Incentives and Other Rev'!E52+'R4 - Incentives and Other Rev'!E59)/(1-INDEX(Corporate_Tax,MATCH(F$6,Data!$C$18:$N$18,0)))*INDEX(Corporate_Tax,MATCH(F$6,Data!$C$18:$N$18,0)),0)*F38</f>
        <v>0.18049035048170481</v>
      </c>
      <c r="G23" s="794">
        <f>IF(G5="Actuals",('R4 - Incentives and Other Rev'!F71+'R4 - Incentives and Other Rev'!F45+'R4 - Incentives and Other Rev'!F52+'R4 - Incentives and Other Rev'!F59)/(1-INDEX(Corporate_Tax,MATCH(G$6,Data!$C$18:$N$18,0)))*INDEX(Corporate_Tax,MATCH(G$6,Data!$C$18:$N$18,0)),0)*G38</f>
        <v>0.47303224992210163</v>
      </c>
      <c r="H23" s="794">
        <f>IF(H5="Actuals",('R4 - Incentives and Other Rev'!G71+'R4 - Incentives and Other Rev'!G45+'R4 - Incentives and Other Rev'!G52+'R4 - Incentives and Other Rev'!G59)/(1-INDEX(Corporate_Tax,MATCH(H$6,Data!$C$18:$N$18,0)))*INDEX(Corporate_Tax,MATCH(H$6,Data!$C$18:$N$18,0)),0)*H38</f>
        <v>0.63613820475595728</v>
      </c>
      <c r="I23" s="794">
        <f>IF(I5="Actuals",('R4 - Incentives and Other Rev'!H71+'R4 - Incentives and Other Rev'!H45+'R4 - Incentives and Other Rev'!H52+'R4 - Incentives and Other Rev'!H59)/(1-INDEX(Corporate_Tax,MATCH(I$6,Data!$C$18:$N$18,0)))*INDEX(Corporate_Tax,MATCH(I$6,Data!$C$18:$N$18,0)),0)*I38</f>
        <v>0</v>
      </c>
      <c r="L23" s="659"/>
      <c r="M23" s="659"/>
      <c r="N23" s="659"/>
      <c r="O23" s="659"/>
      <c r="P23" s="659"/>
      <c r="Q23" s="659"/>
      <c r="R23" s="659"/>
      <c r="S23" s="659"/>
      <c r="T23" s="659"/>
      <c r="U23" s="659"/>
      <c r="V23" s="659"/>
      <c r="W23" s="659"/>
      <c r="X23" s="659"/>
      <c r="Y23" s="659"/>
      <c r="Z23" s="659"/>
      <c r="AA23" s="659"/>
      <c r="AB23" s="659"/>
      <c r="AC23" s="659"/>
      <c r="AD23" s="659"/>
      <c r="AE23" s="659"/>
      <c r="AF23" s="659"/>
      <c r="AG23" s="659"/>
      <c r="AH23" s="659"/>
      <c r="AI23" s="659"/>
      <c r="AJ23" s="659"/>
      <c r="AK23" s="659"/>
      <c r="AL23" s="659"/>
    </row>
    <row r="24" spans="2:38">
      <c r="B24" s="659" t="s">
        <v>875</v>
      </c>
      <c r="C24" s="659"/>
      <c r="D24" s="444" t="s">
        <v>575</v>
      </c>
      <c r="E24" s="787">
        <v>-14.462069548870824</v>
      </c>
      <c r="F24" s="787">
        <v>-29.155845335459318</v>
      </c>
      <c r="G24" s="787">
        <v>74.430410435426211</v>
      </c>
      <c r="H24" s="787">
        <v>-36.974528881138795</v>
      </c>
      <c r="I24" s="787"/>
      <c r="K24" s="659"/>
      <c r="L24" s="659"/>
      <c r="M24" s="659"/>
      <c r="N24" s="659"/>
      <c r="O24" s="659"/>
      <c r="P24" s="659"/>
      <c r="Q24" s="659"/>
      <c r="R24" s="659"/>
      <c r="S24" s="659"/>
      <c r="T24" s="659"/>
      <c r="U24" s="659"/>
      <c r="V24" s="659"/>
      <c r="W24" s="659"/>
      <c r="X24" s="659"/>
      <c r="Y24" s="659"/>
      <c r="Z24" s="659"/>
      <c r="AA24" s="659"/>
      <c r="AB24" s="659"/>
      <c r="AC24" s="659"/>
      <c r="AD24" s="659"/>
      <c r="AE24" s="659"/>
      <c r="AF24" s="659"/>
      <c r="AG24" s="659"/>
      <c r="AH24" s="659"/>
      <c r="AI24" s="659"/>
      <c r="AJ24" s="659"/>
      <c r="AK24" s="659"/>
      <c r="AL24" s="659"/>
    </row>
    <row r="25" spans="2:38">
      <c r="B25" s="659" t="s">
        <v>876</v>
      </c>
      <c r="C25" s="659"/>
      <c r="D25" s="444" t="s">
        <v>575</v>
      </c>
      <c r="E25" s="787">
        <v>4.841652922142714E-2</v>
      </c>
      <c r="F25" s="787">
        <v>-1.0246923053068908</v>
      </c>
      <c r="G25" s="787">
        <v>4.0345796347570078</v>
      </c>
      <c r="H25" s="787">
        <v>-3.4356038700308846</v>
      </c>
      <c r="I25" s="787"/>
    </row>
    <row r="26" spans="2:38">
      <c r="B26" s="659" t="s">
        <v>877</v>
      </c>
      <c r="C26" s="659"/>
      <c r="D26" s="444" t="s">
        <v>575</v>
      </c>
      <c r="E26" s="787">
        <v>0</v>
      </c>
      <c r="F26" s="787">
        <v>0</v>
      </c>
      <c r="G26" s="787">
        <v>0</v>
      </c>
      <c r="H26" s="787">
        <v>0</v>
      </c>
      <c r="I26" s="787"/>
    </row>
    <row r="27" spans="2:38">
      <c r="B27" s="659" t="s">
        <v>878</v>
      </c>
      <c r="C27" s="659"/>
      <c r="D27" s="444" t="s">
        <v>575</v>
      </c>
      <c r="E27" s="787">
        <v>0</v>
      </c>
      <c r="F27" s="787">
        <v>0</v>
      </c>
      <c r="G27" s="787">
        <v>0</v>
      </c>
      <c r="H27" s="787">
        <v>0</v>
      </c>
      <c r="I27" s="787"/>
    </row>
    <row r="28" spans="2:38">
      <c r="B28" s="659" t="s">
        <v>879</v>
      </c>
      <c r="C28" s="659"/>
      <c r="D28" s="444" t="s">
        <v>575</v>
      </c>
      <c r="E28" s="787">
        <v>4.1086026361841874</v>
      </c>
      <c r="F28" s="787">
        <v>10.329921942381006</v>
      </c>
      <c r="G28" s="787">
        <v>19.258933927096649</v>
      </c>
      <c r="H28" s="787">
        <v>-20.038504682993668</v>
      </c>
      <c r="I28" s="787"/>
    </row>
    <row r="29" spans="2:38">
      <c r="B29" s="659" t="s">
        <v>880</v>
      </c>
      <c r="C29" s="659"/>
      <c r="D29" s="444" t="s">
        <v>575</v>
      </c>
      <c r="E29" s="787">
        <v>6.7550404497057626E-2</v>
      </c>
      <c r="F29" s="787">
        <v>3.9821040649752901</v>
      </c>
      <c r="G29" s="787">
        <v>-2.7223154391202264E-2</v>
      </c>
      <c r="H29" s="787">
        <v>-2.0332440160541934</v>
      </c>
      <c r="I29" s="787"/>
    </row>
    <row r="30" spans="2:38">
      <c r="B30" s="659" t="s">
        <v>881</v>
      </c>
      <c r="C30" s="659"/>
      <c r="D30" s="444" t="s">
        <v>575</v>
      </c>
      <c r="E30" s="787">
        <v>0</v>
      </c>
      <c r="F30" s="787">
        <v>0</v>
      </c>
      <c r="G30" s="787">
        <v>0</v>
      </c>
      <c r="H30" s="787">
        <v>54.195586239201972</v>
      </c>
      <c r="I30" s="787"/>
    </row>
    <row r="31" spans="2:38">
      <c r="B31" s="659" t="s">
        <v>882</v>
      </c>
      <c r="C31" s="659"/>
      <c r="D31" s="444" t="s">
        <v>575</v>
      </c>
      <c r="E31" s="787">
        <v>0</v>
      </c>
      <c r="F31" s="787">
        <v>0</v>
      </c>
      <c r="G31" s="787">
        <v>0</v>
      </c>
      <c r="H31" s="787">
        <v>-10.550345216334708</v>
      </c>
      <c r="I31" s="787"/>
    </row>
    <row r="32" spans="2:38">
      <c r="B32" s="659" t="s">
        <v>883</v>
      </c>
      <c r="C32" s="659"/>
      <c r="D32" s="444" t="s">
        <v>575</v>
      </c>
      <c r="E32" s="787">
        <v>0.22476183000000002</v>
      </c>
      <c r="F32" s="787">
        <v>-5.3760351799999997</v>
      </c>
      <c r="G32" s="787">
        <v>17.217061000000001</v>
      </c>
      <c r="H32" s="787">
        <v>19.6352625</v>
      </c>
      <c r="I32" s="787"/>
    </row>
    <row r="33" spans="2:11">
      <c r="B33" s="511" t="s">
        <v>607</v>
      </c>
      <c r="C33" s="511"/>
      <c r="D33" s="444" t="s">
        <v>575</v>
      </c>
      <c r="E33" s="794">
        <f>SUM(E23:E32)</f>
        <v>-9.9341700995854367</v>
      </c>
      <c r="F33" s="795">
        <f>SUM(F23:F32)</f>
        <v>-21.06405646292821</v>
      </c>
      <c r="G33" s="795">
        <f>SUM(G23:G32)</f>
        <v>115.38679409281076</v>
      </c>
      <c r="H33" s="795">
        <f>SUM(H23:H32)</f>
        <v>1.4347602774056867</v>
      </c>
      <c r="I33" s="795">
        <f>SUM(I23:I32)</f>
        <v>0</v>
      </c>
    </row>
    <row r="35" spans="2:11" ht="25.5" customHeight="1">
      <c r="B35" s="715" t="s">
        <v>884</v>
      </c>
      <c r="D35" s="444" t="s">
        <v>575</v>
      </c>
      <c r="E35" s="787">
        <v>135.63474047760823</v>
      </c>
      <c r="F35" s="787">
        <v>115.01611150383384</v>
      </c>
      <c r="G35" s="787">
        <v>35.990967182002208</v>
      </c>
      <c r="H35" s="787">
        <v>1.8336421773741165</v>
      </c>
      <c r="I35" s="787">
        <v>1.9548212160966614</v>
      </c>
    </row>
    <row r="36" spans="2:11" ht="12.75" customHeight="1">
      <c r="B36" s="715" t="s">
        <v>885</v>
      </c>
      <c r="C36" s="715"/>
      <c r="D36" s="444" t="s">
        <v>575</v>
      </c>
      <c r="E36" s="794">
        <f>IF(ISNUMBER(E11),E11-E20-E33,E35-E20-E33)</f>
        <v>137.43723285282064</v>
      </c>
      <c r="F36" s="794">
        <f t="shared" ref="F36:I36" si="2">IF(ISNUMBER(F11),F11-F20-F33,F35-F20-F33)</f>
        <v>92.407976043608571</v>
      </c>
      <c r="G36" s="794">
        <f t="shared" si="2"/>
        <v>79.398223886034572</v>
      </c>
      <c r="H36" s="794">
        <f t="shared" si="2"/>
        <v>-8.8817841970012523E-16</v>
      </c>
      <c r="I36" s="794">
        <f t="shared" si="2"/>
        <v>1.9548212160966614</v>
      </c>
    </row>
    <row r="37" spans="2:11" ht="12.75" customHeight="1">
      <c r="B37" s="660"/>
      <c r="C37" s="660"/>
      <c r="D37" s="444"/>
      <c r="E37" s="789"/>
      <c r="F37" s="789"/>
      <c r="G37" s="789"/>
      <c r="H37" s="789"/>
      <c r="I37" s="789"/>
    </row>
    <row r="38" spans="2:11">
      <c r="B38" s="427" t="s">
        <v>782</v>
      </c>
      <c r="D38" s="557" t="s">
        <v>783</v>
      </c>
      <c r="E38" s="796">
        <f t="shared" ref="E38:I38" si="3">INDEX(real_to_nominal_CF,MATCH(E$6,calendar_year,0))</f>
        <v>1.0847835302284383</v>
      </c>
      <c r="F38" s="796">
        <f t="shared" si="3"/>
        <v>1.1799638149272795</v>
      </c>
      <c r="G38" s="796">
        <f t="shared" si="3"/>
        <v>1.2454152449594804</v>
      </c>
      <c r="H38" s="796">
        <f t="shared" si="3"/>
        <v>1.2854532992282626</v>
      </c>
      <c r="I38" s="796">
        <f t="shared" si="3"/>
        <v>1.3341223113034886</v>
      </c>
    </row>
    <row r="39" spans="2:11">
      <c r="B39" s="660"/>
      <c r="C39" s="660"/>
      <c r="D39" s="444"/>
      <c r="E39" s="444"/>
      <c r="F39" s="444"/>
      <c r="G39" s="444"/>
      <c r="H39" s="444"/>
      <c r="I39" s="444"/>
    </row>
    <row r="40" spans="2:11">
      <c r="B40" s="715" t="s">
        <v>886</v>
      </c>
      <c r="C40" s="715"/>
      <c r="D40" s="741" t="str">
        <f>Data!$C$9</f>
        <v>£m 18/19</v>
      </c>
      <c r="E40" s="794">
        <f>Adjusted_regulated_tax_liability/E38</f>
        <v>126.69553788660353</v>
      </c>
      <c r="F40" s="794">
        <f>Adjusted_regulated_tax_liability/F38</f>
        <v>78.314245635832165</v>
      </c>
      <c r="G40" s="794">
        <f>Adjusted_regulated_tax_liability/G38</f>
        <v>63.752410456977977</v>
      </c>
      <c r="H40" s="794">
        <f>Adjusted_regulated_tax_liability/H38</f>
        <v>-6.9094569225762919E-16</v>
      </c>
      <c r="I40" s="794">
        <f>Adjusted_regulated_tax_liability/I38</f>
        <v>1.4652488752599648</v>
      </c>
    </row>
    <row r="41" spans="2:11">
      <c r="B41" s="715"/>
      <c r="C41" s="715"/>
      <c r="D41" s="715"/>
      <c r="E41" s="715"/>
      <c r="F41" s="715"/>
      <c r="G41" s="715"/>
      <c r="H41" s="715"/>
      <c r="I41" s="715"/>
    </row>
    <row r="42" spans="2:11">
      <c r="B42" s="683" t="s">
        <v>887</v>
      </c>
      <c r="C42" s="683"/>
      <c r="D42" s="741"/>
      <c r="E42" s="741"/>
      <c r="F42" s="741"/>
      <c r="G42" s="741"/>
      <c r="H42" s="741"/>
      <c r="I42" s="741"/>
    </row>
    <row r="43" spans="2:11">
      <c r="B43" s="684" t="s">
        <v>788</v>
      </c>
      <c r="C43" s="684"/>
      <c r="D43" s="715"/>
      <c r="E43" s="715"/>
      <c r="F43" s="715"/>
      <c r="G43" s="715"/>
      <c r="H43" s="715"/>
      <c r="I43" s="715"/>
      <c r="K43" s="715"/>
    </row>
    <row r="44" spans="2:11">
      <c r="K44" s="715"/>
    </row>
    <row r="45" spans="2:11" ht="12.75" customHeight="1">
      <c r="B45" s="456" t="s">
        <v>24</v>
      </c>
      <c r="C45" s="456"/>
      <c r="D45" s="545" t="s">
        <v>538</v>
      </c>
      <c r="E45" s="797">
        <f>Data!$C$8</f>
        <v>0.55000000000000004</v>
      </c>
      <c r="F45" s="798">
        <f>Data!$C$8</f>
        <v>0.55000000000000004</v>
      </c>
      <c r="G45" s="798">
        <f>Data!$C$8</f>
        <v>0.55000000000000004</v>
      </c>
      <c r="H45" s="798">
        <f>Data!$C$8</f>
        <v>0.55000000000000004</v>
      </c>
      <c r="I45" s="798">
        <f>Data!$C$8</f>
        <v>0.55000000000000004</v>
      </c>
      <c r="K45" s="715"/>
    </row>
    <row r="46" spans="2:11" ht="12.75" customHeight="1">
      <c r="B46" s="456" t="s">
        <v>789</v>
      </c>
      <c r="C46" s="456"/>
      <c r="D46" s="545" t="s">
        <v>538</v>
      </c>
      <c r="E46" s="798">
        <f>'R6 - Net Debt'!D68</f>
        <v>0.5316973134470756</v>
      </c>
      <c r="F46" s="798">
        <f>'R6 - Net Debt'!E68</f>
        <v>0.50275052980888979</v>
      </c>
      <c r="G46" s="798">
        <f>'R6 - Net Debt'!F68</f>
        <v>0.49217095920619514</v>
      </c>
      <c r="H46" s="798">
        <f>'R6 - Net Debt'!G68</f>
        <v>0.49283713882384017</v>
      </c>
      <c r="I46" s="798">
        <f>'R6 - Net Debt'!H68</f>
        <v>0.51087280800150736</v>
      </c>
      <c r="K46" s="715"/>
    </row>
    <row r="47" spans="2:11" ht="12.75" customHeight="1">
      <c r="B47" s="456"/>
      <c r="C47" s="456"/>
      <c r="D47" s="545"/>
      <c r="E47" s="545"/>
      <c r="F47" s="545"/>
      <c r="G47" s="545"/>
      <c r="H47" s="545"/>
      <c r="I47" s="545"/>
      <c r="K47" s="715"/>
    </row>
    <row r="48" spans="2:11" ht="12.75" customHeight="1">
      <c r="B48" s="715" t="s">
        <v>886</v>
      </c>
      <c r="C48" s="715"/>
      <c r="D48" s="444" t="s">
        <v>575</v>
      </c>
      <c r="E48" s="794">
        <f>E36</f>
        <v>137.43723285282064</v>
      </c>
      <c r="F48" s="794">
        <f>F36</f>
        <v>92.407976043608571</v>
      </c>
      <c r="G48" s="794">
        <f>G36</f>
        <v>79.398223886034572</v>
      </c>
      <c r="H48" s="794">
        <f>H36</f>
        <v>-8.8817841970012523E-16</v>
      </c>
      <c r="I48" s="794">
        <f>I36</f>
        <v>1.9548212160966614</v>
      </c>
      <c r="K48" s="715"/>
    </row>
    <row r="49" spans="2:11">
      <c r="B49" s="456" t="s">
        <v>888</v>
      </c>
      <c r="C49" s="456"/>
      <c r="D49" s="444" t="s">
        <v>575</v>
      </c>
      <c r="E49" s="794">
        <f>E66-E68</f>
        <v>0.24392741641553073</v>
      </c>
      <c r="F49" s="794">
        <f>F66-F68</f>
        <v>4.2009033266278806</v>
      </c>
      <c r="G49" s="794">
        <f>G66-G68</f>
        <v>3.8529712969984331</v>
      </c>
      <c r="H49" s="794">
        <f>H66-H68</f>
        <v>-1.4764302566908114</v>
      </c>
      <c r="I49" s="794">
        <f>I66-I68</f>
        <v>-0.24319759464520985</v>
      </c>
      <c r="K49" s="715"/>
    </row>
    <row r="50" spans="2:11">
      <c r="B50" s="456" t="s">
        <v>889</v>
      </c>
      <c r="C50" s="456"/>
      <c r="D50" s="444" t="s">
        <v>575</v>
      </c>
      <c r="E50" s="794">
        <f>SUM(E48:E49)</f>
        <v>137.68116026923616</v>
      </c>
      <c r="F50" s="794">
        <f>SUM(F48:F49)</f>
        <v>96.608879370236451</v>
      </c>
      <c r="G50" s="794">
        <f>SUM(G48:G49)</f>
        <v>83.251195183033005</v>
      </c>
      <c r="H50" s="794">
        <f>SUM(H48:H49)</f>
        <v>-1.4764302566908123</v>
      </c>
      <c r="I50" s="794">
        <f>SUM(I48:I49)</f>
        <v>1.7116236214514515</v>
      </c>
    </row>
    <row r="52" spans="2:11">
      <c r="B52" s="456" t="s">
        <v>889</v>
      </c>
      <c r="C52" s="456"/>
      <c r="D52" s="741" t="str">
        <f>Data!$C$9</f>
        <v>£m 18/19</v>
      </c>
      <c r="E52" s="794">
        <f>E50/E38</f>
        <v>126.92040064458084</v>
      </c>
      <c r="F52" s="794">
        <f>F50/F38</f>
        <v>81.874442375328599</v>
      </c>
      <c r="G52" s="794">
        <f>G50/G38</f>
        <v>66.84613466871572</v>
      </c>
      <c r="H52" s="794">
        <f>H50/H38</f>
        <v>-1.1485677912820365</v>
      </c>
      <c r="I52" s="794">
        <f>I50/I38</f>
        <v>1.2829585465661912</v>
      </c>
    </row>
    <row r="54" spans="2:11">
      <c r="B54" s="799" t="s">
        <v>890</v>
      </c>
      <c r="C54" s="799"/>
      <c r="D54" s="800"/>
      <c r="E54" s="800"/>
      <c r="F54" s="800"/>
      <c r="G54" s="800"/>
      <c r="H54" s="800"/>
      <c r="I54" s="800"/>
      <c r="K54" s="715"/>
    </row>
    <row r="55" spans="2:11" ht="12.75" customHeight="1">
      <c r="D55" s="741"/>
      <c r="E55" s="801"/>
      <c r="F55" s="801"/>
      <c r="G55" s="801"/>
      <c r="H55" s="801"/>
      <c r="I55" s="801"/>
    </row>
    <row r="56" spans="2:11">
      <c r="B56" s="427" t="s">
        <v>891</v>
      </c>
      <c r="D56" s="741" t="str">
        <f>Data!$C$9</f>
        <v>£m 18/19</v>
      </c>
      <c r="E56" s="802">
        <v>123.13909921954138</v>
      </c>
      <c r="F56" s="802">
        <v>97.189045621592399</v>
      </c>
      <c r="G56" s="802">
        <v>33.644820351485173</v>
      </c>
      <c r="H56" s="802">
        <v>5.3501276394607222</v>
      </c>
      <c r="I56" s="802">
        <v>5.2684623351520052</v>
      </c>
    </row>
    <row r="57" spans="2:11">
      <c r="D57" s="741"/>
      <c r="E57" s="741"/>
      <c r="F57" s="741"/>
      <c r="G57" s="741"/>
      <c r="H57" s="741"/>
      <c r="I57" s="741"/>
    </row>
    <row r="58" spans="2:11">
      <c r="B58" s="700" t="s">
        <v>797</v>
      </c>
      <c r="C58" s="700"/>
      <c r="D58" s="700"/>
      <c r="E58" s="700"/>
      <c r="F58" s="700"/>
      <c r="G58" s="700"/>
      <c r="H58" s="700"/>
      <c r="I58" s="700"/>
    </row>
    <row r="60" spans="2:11">
      <c r="B60" s="511" t="s">
        <v>892</v>
      </c>
      <c r="C60" s="511"/>
      <c r="D60" s="803" t="str">
        <f>Data!$C$9</f>
        <v>£m 18/19</v>
      </c>
      <c r="E60" s="588">
        <f>E$56-E40</f>
        <v>-3.5564386670621531</v>
      </c>
      <c r="F60" s="588">
        <f>F$56-F40</f>
        <v>18.874799985760234</v>
      </c>
      <c r="G60" s="588">
        <f>G$56-G40</f>
        <v>-30.107590105492804</v>
      </c>
      <c r="H60" s="588">
        <f>H$56-H40</f>
        <v>5.3501276394607231</v>
      </c>
      <c r="I60" s="588">
        <f>I$56-I40</f>
        <v>3.8032134598920404</v>
      </c>
    </row>
    <row r="61" spans="2:11">
      <c r="B61" s="511"/>
      <c r="C61" s="511"/>
      <c r="D61" s="511"/>
      <c r="E61" s="511"/>
      <c r="F61" s="511"/>
      <c r="G61" s="511"/>
      <c r="H61" s="511"/>
      <c r="I61" s="511"/>
    </row>
    <row r="62" spans="2:11">
      <c r="B62" s="511" t="s">
        <v>893</v>
      </c>
      <c r="C62" s="511"/>
      <c r="D62" s="803" t="str">
        <f>Data!$C$9</f>
        <v>£m 18/19</v>
      </c>
      <c r="E62" s="588">
        <f>E$56-E52</f>
        <v>-3.7813014250394588</v>
      </c>
      <c r="F62" s="588">
        <f>F$56-F52</f>
        <v>15.3146032462638</v>
      </c>
      <c r="G62" s="588">
        <f>G$56-G52</f>
        <v>-33.201314317230548</v>
      </c>
      <c r="H62" s="588">
        <f>H$56-H52</f>
        <v>6.4986954307427585</v>
      </c>
      <c r="I62" s="588">
        <f>I$56-I52</f>
        <v>3.985503788585814</v>
      </c>
    </row>
    <row r="64" spans="2:11">
      <c r="B64" s="511" t="s">
        <v>894</v>
      </c>
      <c r="C64" s="511"/>
      <c r="D64" s="803" t="str">
        <f>Data!$C$9</f>
        <v>£m 18/19</v>
      </c>
      <c r="E64" s="588">
        <f>E60-E62</f>
        <v>0.22486275797730571</v>
      </c>
      <c r="F64" s="633">
        <f>F60-F62</f>
        <v>3.5601967394964333</v>
      </c>
      <c r="G64" s="633">
        <f>G60-G62</f>
        <v>3.0937242117377437</v>
      </c>
      <c r="H64" s="633">
        <f>H60-H62</f>
        <v>-1.1485677912820353</v>
      </c>
      <c r="I64" s="633">
        <f>I60-I62</f>
        <v>-0.1822903286937736</v>
      </c>
    </row>
    <row r="66" spans="2:10">
      <c r="B66" s="427" t="s">
        <v>895</v>
      </c>
      <c r="D66" s="444" t="s">
        <v>575</v>
      </c>
      <c r="E66" s="804">
        <f>-('R5 - Financing'!D83*INDEX(Corporate_Tax,MATCH(E$6,Data!$C$18:$N$18,0))*'R8 - Tax'!E$38)</f>
        <v>-39.311088092321647</v>
      </c>
      <c r="F66" s="804">
        <f>-('R5 - Financing'!E83*INDEX(Corporate_Tax,MATCH(F$6,Data!$C$18:$N$18,0))*'R8 - Tax'!F$38)</f>
        <v>-77.830026096226987</v>
      </c>
      <c r="G66" s="804">
        <f>-('R5 - Financing'!F83*INDEX(Corporate_Tax,MATCH(G$6,Data!$C$18:$N$18,0))*'R8 - Tax'!G$38)</f>
        <v>-80.372212783705322</v>
      </c>
      <c r="H66" s="804">
        <f>-('R5 - Financing'!G83*INDEX(Corporate_Tax,MATCH(H$6,Data!$C$18:$N$18,0))*'R8 - Tax'!H$38)</f>
        <v>-43.941933709045557</v>
      </c>
      <c r="I66" s="804">
        <f>-('R5 - Financing'!H83*INDEX(Corporate_Tax,MATCH(I$6,Data!$C$18:$N$18,0))*'R8 - Tax'!I$38)</f>
        <v>-65.606251989442185</v>
      </c>
      <c r="J66" s="427" t="s">
        <v>896</v>
      </c>
    </row>
    <row r="67" spans="2:10">
      <c r="B67" s="427" t="s">
        <v>895</v>
      </c>
      <c r="D67" s="741" t="str">
        <f>Data!$C$9</f>
        <v>£m 18/19</v>
      </c>
      <c r="E67" s="794">
        <f>E66/E$38</f>
        <v>-36.238647616675514</v>
      </c>
      <c r="F67" s="794">
        <f>F66/F$38</f>
        <v>-65.95967190826407</v>
      </c>
      <c r="G67" s="794">
        <f>G66/G$38</f>
        <v>-64.534470016319929</v>
      </c>
      <c r="H67" s="794">
        <f>H66/H$38</f>
        <v>-34.183998543880691</v>
      </c>
      <c r="I67" s="794">
        <f>I66/I$38</f>
        <v>-49.175590149108864</v>
      </c>
    </row>
    <row r="68" spans="2:10">
      <c r="B68" s="427" t="s">
        <v>897</v>
      </c>
      <c r="D68" s="444" t="s">
        <v>575</v>
      </c>
      <c r="E68" s="804">
        <f>-('R5 - Financing'!D85*INDEX(Corporate_Tax,MATCH(E$6,Data!$C$18:$N$18,0))*'R8 - Tax'!E$38)</f>
        <v>-39.555015508737178</v>
      </c>
      <c r="F68" s="804">
        <f>-('R5 - Financing'!E85*INDEX(Corporate_Tax,MATCH(F$6,Data!$C$18:$N$18,0))*'R8 - Tax'!F$38)</f>
        <v>-82.030929422854868</v>
      </c>
      <c r="G68" s="804">
        <f>-('R5 - Financing'!F85*INDEX(Corporate_Tax,MATCH(G$6,Data!$C$18:$N$18,0))*'R8 - Tax'!G$38)</f>
        <v>-84.225184080703755</v>
      </c>
      <c r="H68" s="804">
        <f>-('R5 - Financing'!G85*INDEX(Corporate_Tax,MATCH(H$6,Data!$C$18:$N$18,0))*'R8 - Tax'!H$38)</f>
        <v>-42.465503452354746</v>
      </c>
      <c r="I68" s="804">
        <f>-('R5 - Financing'!H85*INDEX(Corporate_Tax,MATCH(I$6,Data!$C$18:$N$18,0))*'R8 - Tax'!I$38)</f>
        <v>-65.363054394796976</v>
      </c>
      <c r="J68" s="427" t="s">
        <v>896</v>
      </c>
    </row>
    <row r="69" spans="2:10">
      <c r="B69" s="427" t="s">
        <v>897</v>
      </c>
      <c r="D69" s="741" t="str">
        <f>Data!$C$9</f>
        <v>£m 18/19</v>
      </c>
      <c r="E69" s="794">
        <f>E68/E$38</f>
        <v>-36.463510374652827</v>
      </c>
      <c r="F69" s="794">
        <f>F68/F$38</f>
        <v>-69.519868647760518</v>
      </c>
      <c r="G69" s="794">
        <f>G68/G$38</f>
        <v>-67.628194228057666</v>
      </c>
      <c r="H69" s="794">
        <f>H68/H$38</f>
        <v>-33.035430752598657</v>
      </c>
      <c r="I69" s="794">
        <f>I68/I$38</f>
        <v>-48.993299820415096</v>
      </c>
    </row>
    <row r="70" spans="2:10">
      <c r="B70" s="427" t="s">
        <v>898</v>
      </c>
      <c r="D70" s="741" t="str">
        <f>Data!$C$9</f>
        <v>£m 18/19</v>
      </c>
      <c r="E70" s="794">
        <f>E67-E69</f>
        <v>0.22486275797731281</v>
      </c>
      <c r="F70" s="794">
        <f>F67-F69</f>
        <v>3.5601967394964475</v>
      </c>
      <c r="G70" s="794">
        <f>G67-G69</f>
        <v>3.0937242117377366</v>
      </c>
      <c r="H70" s="794">
        <f>H67-H69</f>
        <v>-1.1485677912820336</v>
      </c>
      <c r="I70" s="794">
        <f>I67-I69</f>
        <v>-0.18229032869376738</v>
      </c>
    </row>
  </sheetData>
  <sheetProtection insertRows="0" sort="0" autoFilter="0" pivotTables="0"/>
  <conditionalFormatting sqref="E7:I7">
    <cfRule type="expression" dxfId="24" priority="4">
      <formula>AND(E$5="Actuals",F$5="Forecast")</formula>
    </cfRule>
  </conditionalFormatting>
  <conditionalFormatting sqref="E11:I11">
    <cfRule type="expression" dxfId="23" priority="2">
      <formula>E$5="Forecast"</formula>
    </cfRule>
  </conditionalFormatting>
  <conditionalFormatting sqref="E16:I19">
    <cfRule type="expression" dxfId="22" priority="1">
      <formula>E$5="Forecast"</formula>
    </cfRule>
  </conditionalFormatting>
  <conditionalFormatting sqref="E23:I32">
    <cfRule type="expression" dxfId="21" priority="3">
      <formula>E$5="Forecast"</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&amp;C_x000D_&amp;1#&amp;"Calibri"&amp;10&amp;K000000 OFFICIAL-InternalOnly</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F6F61-83D5-4DAE-A72A-03647D2C9B85}">
  <sheetPr>
    <tabColor rgb="FFFFFFCC"/>
    <pageSetUpPr fitToPage="1"/>
  </sheetPr>
  <dimension ref="A1:O84"/>
  <sheetViews>
    <sheetView topLeftCell="A43" zoomScale="63" zoomScaleNormal="80" workbookViewId="0">
      <selection activeCell="E18" sqref="E18"/>
    </sheetView>
  </sheetViews>
  <sheetFormatPr defaultColWidth="9" defaultRowHeight="13.5"/>
  <cols>
    <col min="1" max="1" width="8.3828125" style="427" customWidth="1"/>
    <col min="2" max="2" width="83" style="427" customWidth="1"/>
    <col min="3" max="3" width="15.15234375" style="427" customWidth="1"/>
    <col min="4" max="4" width="16.765625" style="427" bestFit="1" customWidth="1"/>
    <col min="5" max="5" width="15" style="427" bestFit="1" customWidth="1"/>
    <col min="6" max="6" width="16.4609375" style="427" bestFit="1" customWidth="1"/>
    <col min="7" max="7" width="15.61328125" style="427" bestFit="1" customWidth="1"/>
    <col min="8" max="8" width="17.4609375" style="427" bestFit="1" customWidth="1"/>
    <col min="9" max="9" width="12.3046875" style="427" customWidth="1"/>
    <col min="10" max="13" width="9" style="427"/>
    <col min="14" max="14" width="13.15234375" style="427" customWidth="1"/>
    <col min="15" max="16384" width="9" style="427"/>
  </cols>
  <sheetData>
    <row r="1" spans="1:15" ht="20">
      <c r="A1" s="428" t="s">
        <v>273</v>
      </c>
      <c r="B1" s="643"/>
      <c r="C1" s="528"/>
      <c r="D1" s="528"/>
      <c r="E1" s="528"/>
      <c r="F1" s="528"/>
      <c r="G1" s="528"/>
      <c r="H1" s="528"/>
      <c r="I1" s="530"/>
    </row>
    <row r="2" spans="1:15" ht="20">
      <c r="A2" s="433" t="str">
        <f>Licensee</f>
        <v>NGET (TO)</v>
      </c>
      <c r="B2" s="644"/>
      <c r="C2" s="436"/>
      <c r="D2" s="436"/>
      <c r="E2" s="436"/>
      <c r="F2" s="436"/>
      <c r="G2" s="436"/>
      <c r="H2" s="436"/>
      <c r="I2" s="437"/>
    </row>
    <row r="3" spans="1:15" ht="20">
      <c r="A3" s="438">
        <f>Reporting_Year</f>
        <v>2026</v>
      </c>
      <c r="B3" s="441"/>
      <c r="C3" s="441"/>
      <c r="D3" s="441"/>
      <c r="E3" s="441"/>
      <c r="F3" s="441"/>
      <c r="G3" s="441"/>
      <c r="H3" s="441"/>
      <c r="I3" s="442"/>
    </row>
    <row r="4" spans="1:15" s="83" customFormat="1" ht="12.75" customHeight="1"/>
    <row r="5" spans="1:15" s="83" customFormat="1">
      <c r="B5" s="584"/>
      <c r="C5" s="584"/>
      <c r="D5" s="445" t="str">
        <f t="shared" ref="D5:H5" si="0">IF(D6&lt;=Reporting_Year,"Actuals","Forecast")</f>
        <v>Actuals</v>
      </c>
      <c r="E5" s="445" t="str">
        <f t="shared" si="0"/>
        <v>Actuals</v>
      </c>
      <c r="F5" s="445" t="str">
        <f t="shared" si="0"/>
        <v>Actuals</v>
      </c>
      <c r="G5" s="445" t="str">
        <f t="shared" si="0"/>
        <v>Actuals</v>
      </c>
      <c r="H5" s="445" t="str">
        <f t="shared" si="0"/>
        <v>Actuals</v>
      </c>
    </row>
    <row r="6" spans="1:15" s="83" customFormat="1">
      <c r="D6" s="533">
        <f>'RFPR cover'!$C$6</f>
        <v>2022</v>
      </c>
      <c r="E6" s="534">
        <f>D6+1</f>
        <v>2023</v>
      </c>
      <c r="F6" s="534">
        <f t="shared" ref="F6:H6" si="1">E6+1</f>
        <v>2024</v>
      </c>
      <c r="G6" s="534">
        <f t="shared" si="1"/>
        <v>2025</v>
      </c>
      <c r="H6" s="534">
        <f t="shared" si="1"/>
        <v>2026</v>
      </c>
    </row>
    <row r="7" spans="1:15" s="83" customFormat="1">
      <c r="D7" s="533" t="str">
        <f>RIIO_2_start_date-1&amp;"/"&amp;RIGHT(RIIO_2_start_date,2)</f>
        <v>2021/22</v>
      </c>
      <c r="E7" s="533" t="str">
        <f>RIIO_2_start_date&amp;"/"&amp;RIGHT(RIIO_2_start_date+1,2)</f>
        <v>2022/23</v>
      </c>
      <c r="F7" s="533" t="str">
        <f>RIIO_2_start_date+1&amp;"/"&amp;RIGHT(RIIO_2_start_date+2,2)</f>
        <v>2023/24</v>
      </c>
      <c r="G7" s="533" t="str">
        <f>RIIO_2_start_date+2&amp;"/"&amp;RIGHT(RIIO_2_start_date+3,2)</f>
        <v>2024/25</v>
      </c>
      <c r="H7" s="653" t="str">
        <f>RIIO_2_start_date+3&amp;"/"&amp;RIGHT(RIIO_2_start_date+4,2)</f>
        <v>2025/26</v>
      </c>
    </row>
    <row r="8" spans="1:15" s="83" customFormat="1"/>
    <row r="9" spans="1:15" s="83" customFormat="1">
      <c r="A9" s="805" t="s">
        <v>899</v>
      </c>
      <c r="B9" s="806"/>
      <c r="C9" s="807"/>
      <c r="D9" s="807"/>
      <c r="E9" s="807"/>
      <c r="F9" s="807"/>
      <c r="G9" s="807"/>
      <c r="H9" s="807"/>
    </row>
    <row r="10" spans="1:15" s="83" customFormat="1"/>
    <row r="11" spans="1:15">
      <c r="B11" s="511" t="s">
        <v>900</v>
      </c>
      <c r="C11" s="444" t="s">
        <v>575</v>
      </c>
      <c r="D11" s="787">
        <v>371</v>
      </c>
      <c r="E11" s="787">
        <v>300</v>
      </c>
      <c r="F11" s="787">
        <v>300</v>
      </c>
      <c r="G11" s="787">
        <v>0</v>
      </c>
      <c r="H11" s="787">
        <v>400</v>
      </c>
      <c r="J11" s="83"/>
    </row>
    <row r="12" spans="1:15">
      <c r="B12" s="478" t="s">
        <v>901</v>
      </c>
      <c r="C12" s="511"/>
      <c r="D12" s="780"/>
      <c r="E12" s="780"/>
      <c r="F12" s="780"/>
      <c r="G12" s="780"/>
      <c r="H12" s="780"/>
      <c r="J12" s="83"/>
    </row>
    <row r="13" spans="1:15">
      <c r="B13" s="659" t="s">
        <v>902</v>
      </c>
      <c r="C13" s="444" t="s">
        <v>575</v>
      </c>
      <c r="D13" s="787">
        <v>0</v>
      </c>
      <c r="E13" s="787">
        <v>0</v>
      </c>
      <c r="F13" s="787">
        <v>0</v>
      </c>
      <c r="G13" s="787">
        <v>0</v>
      </c>
      <c r="H13" s="787">
        <v>0</v>
      </c>
      <c r="J13" s="83"/>
    </row>
    <row r="14" spans="1:15">
      <c r="B14" s="659" t="s">
        <v>902</v>
      </c>
      <c r="C14" s="444" t="s">
        <v>575</v>
      </c>
      <c r="D14" s="787">
        <v>0</v>
      </c>
      <c r="E14" s="787">
        <v>0</v>
      </c>
      <c r="F14" s="787">
        <v>0</v>
      </c>
      <c r="G14" s="787">
        <v>0</v>
      </c>
      <c r="H14" s="787">
        <v>0</v>
      </c>
      <c r="J14" s="83"/>
    </row>
    <row r="15" spans="1:15">
      <c r="B15" s="659" t="s">
        <v>903</v>
      </c>
      <c r="C15" s="444" t="s">
        <v>575</v>
      </c>
      <c r="D15" s="787">
        <v>0</v>
      </c>
      <c r="E15" s="787">
        <v>0</v>
      </c>
      <c r="F15" s="787">
        <v>0</v>
      </c>
      <c r="G15" s="787">
        <v>0</v>
      </c>
      <c r="H15" s="787">
        <v>0</v>
      </c>
      <c r="J15" s="83"/>
      <c r="N15" s="808"/>
    </row>
    <row r="16" spans="1:15">
      <c r="B16" s="511" t="s">
        <v>904</v>
      </c>
      <c r="C16" s="444" t="s">
        <v>575</v>
      </c>
      <c r="D16" s="794">
        <f>D11-SUM(D13:D15)</f>
        <v>371</v>
      </c>
      <c r="E16" s="794">
        <f t="shared" ref="E16:H16" si="2">E11-SUM(E13:E15)</f>
        <v>300</v>
      </c>
      <c r="F16" s="794">
        <f t="shared" si="2"/>
        <v>300</v>
      </c>
      <c r="G16" s="794">
        <f t="shared" si="2"/>
        <v>0</v>
      </c>
      <c r="H16" s="794">
        <f t="shared" si="2"/>
        <v>400</v>
      </c>
      <c r="J16" s="83"/>
      <c r="O16" s="809"/>
    </row>
    <row r="17" spans="1:14">
      <c r="C17" s="511"/>
      <c r="J17" s="83"/>
      <c r="N17" s="808"/>
    </row>
    <row r="18" spans="1:14">
      <c r="B18" s="511" t="s">
        <v>905</v>
      </c>
      <c r="C18" s="444" t="s">
        <v>575</v>
      </c>
      <c r="D18" s="787">
        <v>0</v>
      </c>
      <c r="E18" s="787">
        <v>0</v>
      </c>
      <c r="F18" s="787">
        <v>0</v>
      </c>
      <c r="G18" s="787">
        <v>0</v>
      </c>
      <c r="H18" s="787">
        <v>0</v>
      </c>
      <c r="J18" s="83"/>
    </row>
    <row r="19" spans="1:14">
      <c r="J19" s="83"/>
    </row>
    <row r="22" spans="1:14">
      <c r="A22" s="805" t="s">
        <v>906</v>
      </c>
      <c r="B22" s="810"/>
      <c r="C22" s="807"/>
      <c r="D22" s="807"/>
      <c r="E22" s="807"/>
      <c r="F22" s="807"/>
      <c r="G22" s="807"/>
      <c r="H22" s="807"/>
    </row>
    <row r="23" spans="1:14">
      <c r="D23" s="811" t="str">
        <f>Reporting_Year&amp;" "&amp;"- Actuals"</f>
        <v>2026 - Actuals</v>
      </c>
      <c r="E23" s="812"/>
      <c r="F23" s="812"/>
      <c r="G23" s="812"/>
      <c r="H23" s="813"/>
    </row>
    <row r="24" spans="1:14">
      <c r="D24" s="814" t="s">
        <v>907</v>
      </c>
      <c r="E24" s="814" t="s">
        <v>908</v>
      </c>
      <c r="F24" s="814" t="s">
        <v>909</v>
      </c>
      <c r="G24" s="814" t="s">
        <v>910</v>
      </c>
      <c r="H24" s="814" t="s">
        <v>911</v>
      </c>
      <c r="I24" s="814" t="s">
        <v>912</v>
      </c>
    </row>
    <row r="25" spans="1:14" ht="35.25" customHeight="1">
      <c r="C25" s="427" t="s">
        <v>913</v>
      </c>
      <c r="D25" s="815" t="s">
        <v>914</v>
      </c>
      <c r="E25" s="815" t="s">
        <v>915</v>
      </c>
      <c r="F25" s="815" t="s">
        <v>916</v>
      </c>
      <c r="G25" s="815" t="s">
        <v>917</v>
      </c>
      <c r="H25" s="815" t="s">
        <v>918</v>
      </c>
      <c r="I25" s="815" t="s">
        <v>919</v>
      </c>
    </row>
    <row r="26" spans="1:14" ht="44.9" customHeight="1">
      <c r="B26" s="511" t="s">
        <v>920</v>
      </c>
    </row>
    <row r="27" spans="1:14">
      <c r="B27" s="427" t="s">
        <v>921</v>
      </c>
      <c r="C27" s="444" t="s">
        <v>575</v>
      </c>
      <c r="D27" s="816">
        <v>0.50600000000000001</v>
      </c>
      <c r="E27" s="816">
        <v>0.22500000000000001</v>
      </c>
      <c r="F27" s="816">
        <v>0.35399999999999998</v>
      </c>
      <c r="G27" s="816">
        <v>0.51100000000000001</v>
      </c>
      <c r="H27" s="816">
        <v>0.09</v>
      </c>
      <c r="I27" s="816">
        <v>0.17100000000000001</v>
      </c>
    </row>
    <row r="28" spans="1:14">
      <c r="B28" s="427" t="s">
        <v>922</v>
      </c>
      <c r="C28" s="444" t="s">
        <v>575</v>
      </c>
      <c r="D28" s="816">
        <v>0.442</v>
      </c>
      <c r="E28" s="816">
        <v>0.129</v>
      </c>
      <c r="F28" s="816">
        <v>0.185</v>
      </c>
      <c r="G28" s="816">
        <v>0.60899999999999999</v>
      </c>
      <c r="H28" s="816">
        <v>0.13300000000000001</v>
      </c>
      <c r="I28" s="816">
        <v>0.11600000000000001</v>
      </c>
    </row>
    <row r="29" spans="1:14">
      <c r="B29" s="659" t="s">
        <v>903</v>
      </c>
      <c r="C29" s="444" t="s">
        <v>575</v>
      </c>
      <c r="D29" s="816"/>
      <c r="E29" s="816"/>
      <c r="F29" s="816"/>
      <c r="G29" s="816"/>
      <c r="H29" s="816"/>
      <c r="I29" s="816"/>
    </row>
    <row r="30" spans="1:14">
      <c r="B30" s="427" t="s">
        <v>923</v>
      </c>
      <c r="C30" s="444" t="s">
        <v>575</v>
      </c>
      <c r="D30" s="816"/>
      <c r="E30" s="816"/>
      <c r="F30" s="816"/>
      <c r="G30" s="816"/>
      <c r="H30" s="816"/>
      <c r="I30" s="816"/>
    </row>
    <row r="31" spans="1:14">
      <c r="B31" s="427" t="s">
        <v>924</v>
      </c>
      <c r="C31" s="444" t="s">
        <v>575</v>
      </c>
      <c r="D31" s="816"/>
      <c r="E31" s="816"/>
      <c r="F31" s="816">
        <v>2.1999999999999999E-2</v>
      </c>
      <c r="G31" s="816">
        <v>2E-3</v>
      </c>
      <c r="H31" s="816">
        <v>4.0000000000000001E-3</v>
      </c>
      <c r="I31" s="816">
        <v>2E-3</v>
      </c>
    </row>
    <row r="32" spans="1:14">
      <c r="B32" s="427" t="s">
        <v>925</v>
      </c>
      <c r="C32" s="444" t="s">
        <v>575</v>
      </c>
      <c r="D32" s="816">
        <v>4.0000000000000001E-3</v>
      </c>
      <c r="E32" s="816">
        <v>5.0000000000000001E-3</v>
      </c>
      <c r="F32" s="816">
        <v>1E-3</v>
      </c>
      <c r="G32" s="816">
        <v>5.0000000000000001E-3</v>
      </c>
      <c r="H32" s="816"/>
      <c r="I32" s="816">
        <v>1E-3</v>
      </c>
    </row>
    <row r="33" spans="2:9">
      <c r="B33" s="591" t="s">
        <v>926</v>
      </c>
      <c r="C33" s="444" t="s">
        <v>575</v>
      </c>
      <c r="D33" s="816"/>
      <c r="E33" s="816"/>
      <c r="F33" s="816"/>
      <c r="G33" s="816"/>
      <c r="H33" s="816"/>
      <c r="I33" s="816"/>
    </row>
    <row r="34" spans="2:9">
      <c r="B34" s="659" t="s">
        <v>903</v>
      </c>
      <c r="C34" s="444" t="s">
        <v>575</v>
      </c>
      <c r="D34" s="816">
        <v>6.0999999999999999E-2</v>
      </c>
      <c r="E34" s="816">
        <v>6.6000000000000003E-2</v>
      </c>
      <c r="F34" s="816">
        <v>3.9E-2</v>
      </c>
      <c r="G34" s="816">
        <v>6.0999999999999999E-2</v>
      </c>
      <c r="H34" s="816">
        <v>3.2000000000000001E-2</v>
      </c>
      <c r="I34" s="816">
        <v>0.01</v>
      </c>
    </row>
    <row r="35" spans="2:9">
      <c r="B35" s="511" t="s">
        <v>927</v>
      </c>
      <c r="C35" s="444" t="s">
        <v>575</v>
      </c>
      <c r="D35" s="817">
        <f t="shared" ref="D35:I35" si="3">SUM(D27:D34)</f>
        <v>1.0129999999999999</v>
      </c>
      <c r="E35" s="817">
        <f t="shared" si="3"/>
        <v>0.42499999999999999</v>
      </c>
      <c r="F35" s="817">
        <f t="shared" si="3"/>
        <v>0.60099999999999998</v>
      </c>
      <c r="G35" s="817">
        <f t="shared" si="3"/>
        <v>1.1879999999999999</v>
      </c>
      <c r="H35" s="817">
        <f t="shared" si="3"/>
        <v>0.25900000000000001</v>
      </c>
      <c r="I35" s="817">
        <f t="shared" si="3"/>
        <v>0.30000000000000004</v>
      </c>
    </row>
    <row r="36" spans="2:9">
      <c r="B36" s="511" t="s">
        <v>928</v>
      </c>
      <c r="C36" s="444" t="s">
        <v>575</v>
      </c>
      <c r="D36" s="818">
        <v>1.0129999999999999</v>
      </c>
      <c r="E36" s="818">
        <v>0.42499999999999999</v>
      </c>
      <c r="F36" s="818">
        <v>0.60099999999999998</v>
      </c>
      <c r="G36" s="818">
        <v>1.1879999999999999</v>
      </c>
      <c r="H36" s="818">
        <v>0.25900000000000001</v>
      </c>
      <c r="I36" s="818">
        <v>0.30000000000000004</v>
      </c>
    </row>
    <row r="37" spans="2:9">
      <c r="B37" s="659"/>
      <c r="D37" s="819"/>
      <c r="E37" s="819"/>
      <c r="F37" s="819"/>
      <c r="G37" s="819"/>
      <c r="H37" s="819"/>
      <c r="I37" s="819"/>
    </row>
    <row r="38" spans="2:9">
      <c r="B38" s="511" t="s">
        <v>929</v>
      </c>
      <c r="D38" s="819"/>
      <c r="E38" s="819"/>
      <c r="F38" s="819"/>
      <c r="G38" s="819"/>
      <c r="H38" s="819"/>
      <c r="I38" s="819"/>
    </row>
    <row r="39" spans="2:9">
      <c r="B39" s="427" t="s">
        <v>930</v>
      </c>
      <c r="C39" s="444" t="s">
        <v>575</v>
      </c>
      <c r="D39" s="820"/>
      <c r="E39" s="820"/>
      <c r="F39" s="820"/>
      <c r="G39" s="820"/>
      <c r="H39" s="820"/>
      <c r="I39" s="820"/>
    </row>
    <row r="40" spans="2:9">
      <c r="B40" s="427" t="s">
        <v>903</v>
      </c>
      <c r="C40" s="444" t="s">
        <v>575</v>
      </c>
      <c r="D40" s="820"/>
      <c r="E40" s="820"/>
      <c r="F40" s="820"/>
      <c r="G40" s="820"/>
      <c r="H40" s="820"/>
      <c r="I40" s="820"/>
    </row>
    <row r="41" spans="2:9">
      <c r="B41" s="427" t="s">
        <v>931</v>
      </c>
      <c r="C41" s="444" t="s">
        <v>575</v>
      </c>
      <c r="D41" s="820">
        <v>0.879</v>
      </c>
      <c r="E41" s="820">
        <v>0.214</v>
      </c>
      <c r="F41" s="820">
        <v>0.432</v>
      </c>
      <c r="G41" s="820">
        <v>1.2170000000000001</v>
      </c>
      <c r="H41" s="820">
        <v>0.25600000000000001</v>
      </c>
      <c r="I41" s="820"/>
    </row>
    <row r="42" spans="2:9">
      <c r="C42" s="444"/>
      <c r="D42" s="820"/>
      <c r="E42" s="820"/>
      <c r="F42" s="820"/>
      <c r="G42" s="820"/>
      <c r="H42" s="820"/>
      <c r="I42" s="820"/>
    </row>
    <row r="43" spans="2:9">
      <c r="C43" s="444"/>
      <c r="D43" s="820"/>
      <c r="E43" s="820"/>
      <c r="F43" s="820"/>
      <c r="G43" s="820"/>
      <c r="H43" s="820"/>
      <c r="I43" s="820"/>
    </row>
    <row r="44" spans="2:9">
      <c r="B44" s="511" t="s">
        <v>932</v>
      </c>
      <c r="C44" s="444" t="s">
        <v>575</v>
      </c>
      <c r="D44" s="821">
        <f t="shared" ref="D44:I44" si="4">SUM(D39:D43)</f>
        <v>0.879</v>
      </c>
      <c r="E44" s="821">
        <f t="shared" si="4"/>
        <v>0.214</v>
      </c>
      <c r="F44" s="821">
        <f t="shared" si="4"/>
        <v>0.432</v>
      </c>
      <c r="G44" s="821">
        <f t="shared" si="4"/>
        <v>1.2170000000000001</v>
      </c>
      <c r="H44" s="821">
        <f t="shared" si="4"/>
        <v>0.25600000000000001</v>
      </c>
      <c r="I44" s="821">
        <f t="shared" si="4"/>
        <v>0</v>
      </c>
    </row>
    <row r="45" spans="2:9">
      <c r="B45" s="511" t="s">
        <v>928</v>
      </c>
      <c r="C45" s="444" t="s">
        <v>575</v>
      </c>
      <c r="D45" s="820">
        <f>D44</f>
        <v>0.879</v>
      </c>
      <c r="E45" s="820">
        <f t="shared" ref="E45:I45" si="5">E44</f>
        <v>0.214</v>
      </c>
      <c r="F45" s="820">
        <f t="shared" si="5"/>
        <v>0.432</v>
      </c>
      <c r="G45" s="820">
        <f t="shared" si="5"/>
        <v>1.2170000000000001</v>
      </c>
      <c r="H45" s="820">
        <f t="shared" si="5"/>
        <v>0.25600000000000001</v>
      </c>
      <c r="I45" s="820">
        <f t="shared" si="5"/>
        <v>0</v>
      </c>
    </row>
    <row r="46" spans="2:9">
      <c r="D46" s="819"/>
      <c r="E46" s="819"/>
      <c r="F46" s="819"/>
      <c r="G46" s="819"/>
      <c r="H46" s="819"/>
      <c r="I46" s="819"/>
    </row>
    <row r="47" spans="2:9">
      <c r="B47" s="511" t="s">
        <v>933</v>
      </c>
      <c r="C47" s="444" t="s">
        <v>575</v>
      </c>
      <c r="D47" s="821">
        <f t="shared" ref="D47:I47" si="6">SUM(D35,D44)</f>
        <v>1.8919999999999999</v>
      </c>
      <c r="E47" s="821">
        <f t="shared" si="6"/>
        <v>0.63900000000000001</v>
      </c>
      <c r="F47" s="821">
        <f t="shared" si="6"/>
        <v>1.0329999999999999</v>
      </c>
      <c r="G47" s="821">
        <f t="shared" si="6"/>
        <v>2.4050000000000002</v>
      </c>
      <c r="H47" s="821">
        <f t="shared" si="6"/>
        <v>0.51500000000000001</v>
      </c>
      <c r="I47" s="821">
        <f t="shared" si="6"/>
        <v>0.30000000000000004</v>
      </c>
    </row>
    <row r="48" spans="2:9">
      <c r="B48" s="511" t="s">
        <v>934</v>
      </c>
      <c r="C48" s="444" t="s">
        <v>575</v>
      </c>
      <c r="D48" s="821">
        <f>D36+D45</f>
        <v>1.8919999999999999</v>
      </c>
      <c r="E48" s="821">
        <f t="shared" ref="E48:I48" si="7">E36+E45</f>
        <v>0.63900000000000001</v>
      </c>
      <c r="F48" s="821">
        <f t="shared" si="7"/>
        <v>1.0329999999999999</v>
      </c>
      <c r="G48" s="821">
        <f t="shared" si="7"/>
        <v>2.4050000000000002</v>
      </c>
      <c r="H48" s="821">
        <f t="shared" si="7"/>
        <v>0.51500000000000001</v>
      </c>
      <c r="I48" s="821">
        <f t="shared" si="7"/>
        <v>0.30000000000000004</v>
      </c>
    </row>
    <row r="49" spans="2:14">
      <c r="D49" s="822"/>
      <c r="E49" s="822"/>
      <c r="F49" s="822"/>
      <c r="G49" s="822"/>
      <c r="H49" s="822"/>
    </row>
    <row r="50" spans="2:14">
      <c r="B50" s="511" t="s">
        <v>935</v>
      </c>
      <c r="D50" s="822"/>
      <c r="E50" s="822"/>
      <c r="F50" s="822"/>
      <c r="G50" s="822"/>
      <c r="H50" s="822"/>
    </row>
    <row r="51" spans="2:14">
      <c r="B51" s="427" t="s">
        <v>936</v>
      </c>
      <c r="C51" s="444" t="s">
        <v>937</v>
      </c>
      <c r="D51" s="823">
        <v>0</v>
      </c>
      <c r="E51" s="823">
        <v>0</v>
      </c>
      <c r="F51" s="823">
        <v>0</v>
      </c>
      <c r="G51" s="823">
        <v>0</v>
      </c>
      <c r="H51" s="823">
        <v>0</v>
      </c>
      <c r="I51" s="823">
        <v>0</v>
      </c>
    </row>
    <row r="52" spans="2:14">
      <c r="B52" s="659" t="s">
        <v>903</v>
      </c>
      <c r="C52" s="444"/>
      <c r="D52" s="823">
        <v>0</v>
      </c>
      <c r="E52" s="823">
        <v>0</v>
      </c>
      <c r="F52" s="823">
        <v>0</v>
      </c>
      <c r="G52" s="823">
        <v>0</v>
      </c>
      <c r="H52" s="823">
        <v>0</v>
      </c>
      <c r="I52" s="823">
        <v>0</v>
      </c>
    </row>
    <row r="53" spans="2:14">
      <c r="B53" s="427" t="s">
        <v>938</v>
      </c>
      <c r="C53" s="444" t="s">
        <v>538</v>
      </c>
      <c r="D53" s="823">
        <v>0</v>
      </c>
      <c r="E53" s="823">
        <v>0</v>
      </c>
      <c r="F53" s="823">
        <v>0</v>
      </c>
      <c r="G53" s="823">
        <v>0</v>
      </c>
      <c r="H53" s="823">
        <v>0</v>
      </c>
      <c r="I53" s="823">
        <v>0</v>
      </c>
    </row>
    <row r="54" spans="2:14">
      <c r="B54" s="824" t="s">
        <v>939</v>
      </c>
      <c r="C54" s="444" t="s">
        <v>538</v>
      </c>
      <c r="D54" s="823">
        <v>0</v>
      </c>
      <c r="E54" s="823">
        <v>0</v>
      </c>
      <c r="F54" s="823">
        <v>0</v>
      </c>
      <c r="G54" s="823">
        <v>0</v>
      </c>
      <c r="H54" s="823">
        <v>0</v>
      </c>
      <c r="I54" s="823">
        <v>0</v>
      </c>
    </row>
    <row r="55" spans="2:14">
      <c r="B55" s="511" t="s">
        <v>940</v>
      </c>
      <c r="C55" s="444" t="s">
        <v>575</v>
      </c>
      <c r="D55" s="823">
        <v>0</v>
      </c>
      <c r="E55" s="823">
        <v>0</v>
      </c>
      <c r="F55" s="823">
        <v>0</v>
      </c>
      <c r="G55" s="823">
        <v>0</v>
      </c>
      <c r="H55" s="823">
        <v>0</v>
      </c>
      <c r="I55" s="823">
        <v>0</v>
      </c>
    </row>
    <row r="56" spans="2:14">
      <c r="B56" s="824" t="s">
        <v>941</v>
      </c>
      <c r="C56" s="444" t="s">
        <v>942</v>
      </c>
      <c r="D56" s="823">
        <v>0</v>
      </c>
      <c r="E56" s="823">
        <v>0</v>
      </c>
      <c r="F56" s="823">
        <v>0</v>
      </c>
      <c r="G56" s="823">
        <v>0</v>
      </c>
      <c r="H56" s="823">
        <v>0</v>
      </c>
      <c r="I56" s="823">
        <v>0</v>
      </c>
    </row>
    <row r="57" spans="2:14">
      <c r="B57" s="824" t="s">
        <v>943</v>
      </c>
      <c r="C57" s="444" t="s">
        <v>944</v>
      </c>
      <c r="D57" s="823">
        <v>0</v>
      </c>
      <c r="E57" s="823">
        <v>0</v>
      </c>
      <c r="F57" s="823">
        <v>0</v>
      </c>
      <c r="G57" s="823">
        <v>0</v>
      </c>
      <c r="H57" s="823">
        <v>0</v>
      </c>
      <c r="I57" s="823">
        <v>0</v>
      </c>
    </row>
    <row r="58" spans="2:14">
      <c r="B58" s="824" t="s">
        <v>945</v>
      </c>
      <c r="C58" s="444" t="s">
        <v>942</v>
      </c>
      <c r="D58" s="823">
        <v>0</v>
      </c>
      <c r="E58" s="823">
        <v>0</v>
      </c>
      <c r="F58" s="823">
        <v>0</v>
      </c>
      <c r="G58" s="823">
        <v>0</v>
      </c>
      <c r="H58" s="823">
        <v>0</v>
      </c>
      <c r="I58" s="823">
        <v>0</v>
      </c>
    </row>
    <row r="59" spans="2:14">
      <c r="B59" s="511" t="s">
        <v>946</v>
      </c>
      <c r="C59" s="444" t="s">
        <v>575</v>
      </c>
      <c r="D59" s="825">
        <f>D57*D58</f>
        <v>0</v>
      </c>
      <c r="E59" s="825">
        <f t="shared" ref="E59:I59" si="8">E57*E58</f>
        <v>0</v>
      </c>
      <c r="F59" s="825">
        <f t="shared" si="8"/>
        <v>0</v>
      </c>
      <c r="G59" s="825">
        <f t="shared" si="8"/>
        <v>0</v>
      </c>
      <c r="H59" s="825">
        <f t="shared" si="8"/>
        <v>0</v>
      </c>
      <c r="I59" s="825">
        <f t="shared" si="8"/>
        <v>0</v>
      </c>
    </row>
    <row r="60" spans="2:14">
      <c r="C60" s="444"/>
      <c r="D60" s="822"/>
      <c r="E60" s="822"/>
      <c r="F60" s="822"/>
      <c r="G60" s="822"/>
      <c r="H60" s="822"/>
      <c r="I60" s="822"/>
    </row>
    <row r="61" spans="2:14">
      <c r="B61" s="511" t="s">
        <v>947</v>
      </c>
      <c r="C61" s="444" t="s">
        <v>575</v>
      </c>
      <c r="D61" s="823">
        <v>0</v>
      </c>
      <c r="E61" s="823">
        <v>0</v>
      </c>
      <c r="F61" s="823">
        <v>0</v>
      </c>
      <c r="G61" s="823">
        <v>0</v>
      </c>
      <c r="H61" s="823">
        <v>0</v>
      </c>
      <c r="I61" s="823">
        <v>0</v>
      </c>
    </row>
    <row r="62" spans="2:14">
      <c r="B62" s="511"/>
      <c r="C62" s="511"/>
      <c r="D62" s="826"/>
      <c r="E62" s="826"/>
      <c r="F62" s="826"/>
      <c r="G62" s="826"/>
      <c r="H62" s="826"/>
      <c r="I62" s="826"/>
      <c r="J62" s="511"/>
      <c r="K62" s="511"/>
      <c r="L62" s="511"/>
      <c r="M62" s="511"/>
      <c r="N62" s="511"/>
    </row>
    <row r="63" spans="2:14">
      <c r="B63" s="511" t="s">
        <v>948</v>
      </c>
      <c r="C63" s="444"/>
      <c r="D63" s="825">
        <f t="shared" ref="D63:I63" si="9">D55+D59+D61</f>
        <v>0</v>
      </c>
      <c r="E63" s="825">
        <f t="shared" si="9"/>
        <v>0</v>
      </c>
      <c r="F63" s="825">
        <f t="shared" si="9"/>
        <v>0</v>
      </c>
      <c r="G63" s="825">
        <f t="shared" si="9"/>
        <v>0</v>
      </c>
      <c r="H63" s="825">
        <f t="shared" si="9"/>
        <v>0</v>
      </c>
      <c r="I63" s="825">
        <f t="shared" si="9"/>
        <v>0</v>
      </c>
    </row>
    <row r="64" spans="2:14">
      <c r="B64" s="511" t="s">
        <v>928</v>
      </c>
      <c r="C64" s="444" t="s">
        <v>575</v>
      </c>
      <c r="D64" s="823">
        <v>0</v>
      </c>
      <c r="E64" s="823">
        <v>0</v>
      </c>
      <c r="F64" s="823">
        <v>0</v>
      </c>
      <c r="G64" s="823">
        <v>0</v>
      </c>
      <c r="H64" s="823">
        <v>0</v>
      </c>
      <c r="I64" s="823">
        <v>0</v>
      </c>
    </row>
    <row r="65" spans="1:12">
      <c r="B65" s="511"/>
      <c r="C65" s="444"/>
      <c r="D65" s="826"/>
      <c r="E65" s="826"/>
      <c r="F65" s="826"/>
      <c r="G65" s="826"/>
      <c r="H65" s="826"/>
      <c r="J65" s="511"/>
      <c r="K65" s="511"/>
    </row>
    <row r="66" spans="1:12">
      <c r="B66" s="511" t="s">
        <v>949</v>
      </c>
      <c r="C66" s="444" t="s">
        <v>575</v>
      </c>
      <c r="D66" s="827">
        <f>D47+D63</f>
        <v>1.8919999999999999</v>
      </c>
      <c r="E66" s="827">
        <f t="shared" ref="E66:I67" si="10">E47+E63</f>
        <v>0.63900000000000001</v>
      </c>
      <c r="F66" s="827">
        <f t="shared" si="10"/>
        <v>1.0329999999999999</v>
      </c>
      <c r="G66" s="827">
        <f t="shared" si="10"/>
        <v>2.4050000000000002</v>
      </c>
      <c r="H66" s="827">
        <f t="shared" si="10"/>
        <v>0.51500000000000001</v>
      </c>
      <c r="I66" s="827">
        <f t="shared" si="10"/>
        <v>0.30000000000000004</v>
      </c>
    </row>
    <row r="67" spans="1:12">
      <c r="B67" s="511" t="s">
        <v>950</v>
      </c>
      <c r="C67" s="444" t="s">
        <v>575</v>
      </c>
      <c r="D67" s="827">
        <f>D48+D64</f>
        <v>1.8919999999999999</v>
      </c>
      <c r="E67" s="827">
        <f t="shared" si="10"/>
        <v>0.63900000000000001</v>
      </c>
      <c r="F67" s="827">
        <f t="shared" si="10"/>
        <v>1.0329999999999999</v>
      </c>
      <c r="G67" s="827">
        <f t="shared" si="10"/>
        <v>2.4050000000000002</v>
      </c>
      <c r="H67" s="827">
        <f t="shared" si="10"/>
        <v>0.51500000000000001</v>
      </c>
      <c r="I67" s="827">
        <f t="shared" si="10"/>
        <v>0.30000000000000004</v>
      </c>
      <c r="J67" s="511"/>
    </row>
    <row r="68" spans="1:12">
      <c r="B68" s="511"/>
      <c r="C68" s="444"/>
      <c r="D68" s="828"/>
      <c r="E68" s="828"/>
      <c r="F68" s="828"/>
      <c r="G68" s="828"/>
      <c r="H68" s="828"/>
      <c r="I68" s="819"/>
      <c r="J68" s="511"/>
    </row>
    <row r="69" spans="1:12">
      <c r="B69" s="511" t="s">
        <v>951</v>
      </c>
      <c r="C69" s="444"/>
      <c r="D69" s="635"/>
      <c r="E69" s="635"/>
      <c r="F69" s="635"/>
      <c r="G69" s="635"/>
      <c r="H69" s="635"/>
      <c r="I69" s="635"/>
      <c r="J69" s="635"/>
      <c r="K69" s="635"/>
    </row>
    <row r="70" spans="1:12">
      <c r="B70" s="427" t="s">
        <v>952</v>
      </c>
      <c r="C70" s="444"/>
      <c r="D70" s="823" t="s">
        <v>953</v>
      </c>
      <c r="E70" s="635"/>
      <c r="F70" s="635"/>
      <c r="G70" s="635"/>
      <c r="H70" s="635"/>
      <c r="I70" s="635"/>
      <c r="J70" s="635"/>
      <c r="K70" s="635"/>
    </row>
    <row r="71" spans="1:12">
      <c r="B71" s="427" t="s">
        <v>954</v>
      </c>
      <c r="C71" s="444"/>
      <c r="D71" s="823" t="s">
        <v>955</v>
      </c>
      <c r="E71" s="635"/>
      <c r="F71" s="635"/>
      <c r="G71" s="635"/>
      <c r="H71" s="635"/>
      <c r="I71" s="635"/>
      <c r="J71" s="635"/>
      <c r="K71" s="635"/>
    </row>
    <row r="72" spans="1:12">
      <c r="B72" s="427" t="s">
        <v>956</v>
      </c>
      <c r="C72" s="444"/>
      <c r="D72" s="823" t="s">
        <v>957</v>
      </c>
      <c r="E72" s="635"/>
      <c r="F72" s="635"/>
      <c r="G72" s="635"/>
      <c r="H72" s="635"/>
      <c r="I72" s="635"/>
      <c r="J72" s="635"/>
      <c r="K72" s="635"/>
    </row>
    <row r="73" spans="1:12">
      <c r="B73" s="511"/>
      <c r="C73" s="444"/>
      <c r="D73" s="635"/>
      <c r="E73" s="635"/>
      <c r="F73" s="635"/>
      <c r="G73" s="635"/>
      <c r="H73" s="635"/>
      <c r="I73" s="635"/>
      <c r="J73" s="635"/>
      <c r="K73" s="635"/>
    </row>
    <row r="74" spans="1:12">
      <c r="A74" s="510" t="s">
        <v>958</v>
      </c>
      <c r="B74" s="511"/>
      <c r="C74" s="444"/>
      <c r="D74" s="444"/>
      <c r="E74" s="635"/>
      <c r="F74" s="635"/>
      <c r="G74" s="635"/>
      <c r="H74" s="635"/>
      <c r="I74" s="635"/>
      <c r="J74" s="635"/>
      <c r="K74" s="635"/>
      <c r="L74" s="444"/>
    </row>
    <row r="75" spans="1:12">
      <c r="A75" s="510" t="s">
        <v>959</v>
      </c>
      <c r="B75" s="511"/>
      <c r="C75" s="511"/>
      <c r="D75" s="511"/>
      <c r="E75" s="635"/>
      <c r="F75" s="511"/>
      <c r="G75" s="511"/>
      <c r="H75" s="511"/>
      <c r="I75" s="511"/>
      <c r="J75" s="511"/>
    </row>
    <row r="76" spans="1:12">
      <c r="A76" s="510"/>
      <c r="B76" s="511"/>
      <c r="C76" s="511"/>
      <c r="D76" s="511"/>
      <c r="E76" s="511"/>
      <c r="F76" s="511"/>
      <c r="G76" s="511"/>
      <c r="H76" s="511"/>
      <c r="I76" s="511"/>
      <c r="J76" s="511"/>
    </row>
    <row r="77" spans="1:12">
      <c r="B77" s="511" t="s">
        <v>960</v>
      </c>
    </row>
    <row r="78" spans="1:12">
      <c r="B78" s="511"/>
    </row>
    <row r="79" spans="1:12">
      <c r="B79" s="829"/>
      <c r="C79" s="830"/>
      <c r="D79" s="830"/>
      <c r="E79" s="830"/>
      <c r="F79" s="830"/>
      <c r="G79" s="513"/>
      <c r="H79" s="608"/>
    </row>
    <row r="80" spans="1:12">
      <c r="B80" s="831"/>
      <c r="C80" s="832"/>
      <c r="D80" s="518"/>
      <c r="E80" s="519"/>
      <c r="F80" s="519"/>
      <c r="G80" s="519"/>
      <c r="H80" s="520"/>
    </row>
    <row r="81" spans="2:8">
      <c r="B81" s="831"/>
      <c r="C81" s="832"/>
      <c r="D81" s="518"/>
      <c r="E81" s="519"/>
      <c r="F81" s="519"/>
      <c r="G81" s="519"/>
      <c r="H81" s="520"/>
    </row>
    <row r="82" spans="2:8">
      <c r="B82" s="831"/>
      <c r="C82" s="832"/>
      <c r="D82" s="518"/>
      <c r="E82" s="519"/>
      <c r="F82" s="519"/>
      <c r="G82" s="519"/>
      <c r="H82" s="520"/>
    </row>
    <row r="83" spans="2:8">
      <c r="B83" s="831"/>
      <c r="C83" s="832"/>
      <c r="D83" s="518"/>
      <c r="E83" s="519"/>
      <c r="F83" s="519"/>
      <c r="G83" s="519"/>
      <c r="H83" s="520"/>
    </row>
    <row r="84" spans="2:8">
      <c r="B84" s="833"/>
      <c r="C84" s="834"/>
      <c r="D84" s="523"/>
      <c r="E84" s="524"/>
      <c r="F84" s="524"/>
      <c r="G84" s="524"/>
      <c r="H84" s="525"/>
    </row>
  </sheetData>
  <sheetProtection insertRows="0" sort="0" autoFilter="0" pivotTables="0"/>
  <mergeCells count="1">
    <mergeCell ref="D23:H23"/>
  </mergeCells>
  <conditionalFormatting sqref="D70:D73">
    <cfRule type="expression" dxfId="20" priority="2">
      <formula>D$5="N/A"</formula>
    </cfRule>
  </conditionalFormatting>
  <conditionalFormatting sqref="D5:G6">
    <cfRule type="expression" dxfId="19" priority="12">
      <formula>AND(D$5="Actuals",E$5="N/A")</formula>
    </cfRule>
  </conditionalFormatting>
  <conditionalFormatting sqref="D5:H6 D35:I36 D51:I59 I66:I67 D66:H68 D69:K69 F70:K74 E70:E75">
    <cfRule type="expression" dxfId="18" priority="11">
      <formula>D$5="N/A"</formula>
    </cfRule>
  </conditionalFormatting>
  <conditionalFormatting sqref="D7:H7">
    <cfRule type="expression" dxfId="17" priority="7">
      <formula>AND(D$5="Actuals",E$5="Forecast")</formula>
    </cfRule>
  </conditionalFormatting>
  <conditionalFormatting sqref="D11:H11">
    <cfRule type="expression" dxfId="16" priority="6">
      <formula>D$5="Forecast"</formula>
    </cfRule>
  </conditionalFormatting>
  <conditionalFormatting sqref="D13:H16">
    <cfRule type="expression" dxfId="15" priority="5">
      <formula>D$5="Forecast"</formula>
    </cfRule>
  </conditionalFormatting>
  <conditionalFormatting sqref="D18:H18">
    <cfRule type="expression" dxfId="14" priority="4">
      <formula>D$5="Forecast"</formula>
    </cfRule>
  </conditionalFormatting>
  <conditionalFormatting sqref="D20:H20">
    <cfRule type="expression" priority="10">
      <formula>D$5="N/A"</formula>
    </cfRule>
  </conditionalFormatting>
  <conditionalFormatting sqref="D27:I34">
    <cfRule type="expression" dxfId="13" priority="1">
      <formula>D$5="Forecast"</formula>
    </cfRule>
  </conditionalFormatting>
  <conditionalFormatting sqref="D39:I43">
    <cfRule type="expression" dxfId="12" priority="8">
      <formula>D$5="N/A"</formula>
    </cfRule>
  </conditionalFormatting>
  <conditionalFormatting sqref="D45:I45">
    <cfRule type="expression" dxfId="11" priority="3">
      <formula>D$5="N/A"</formula>
    </cfRule>
  </conditionalFormatting>
  <conditionalFormatting sqref="D61:I61 D63:I64">
    <cfRule type="expression" dxfId="10" priority="9">
      <formula>D$5="N/A"</formula>
    </cfRule>
  </conditionalFormatting>
  <conditionalFormatting sqref="H5:H6">
    <cfRule type="expression" dxfId="9" priority="13">
      <formula>AND(H$5="Actuals",#REF!="N/A")</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&amp;C_x000D_&amp;1#&amp;"Calibri"&amp;10&amp;K000000 OFFICIAL-InternalOnly</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900DE-2A82-48A3-A07F-2D48943477E8}">
  <sheetPr>
    <tabColor rgb="FFFFFFCC"/>
    <pageSetUpPr fitToPage="1"/>
  </sheetPr>
  <dimension ref="A1:J67"/>
  <sheetViews>
    <sheetView topLeftCell="A56" zoomScale="80" zoomScaleNormal="80" workbookViewId="0">
      <selection activeCell="E18" sqref="E18"/>
    </sheetView>
  </sheetViews>
  <sheetFormatPr defaultColWidth="9" defaultRowHeight="13.5"/>
  <cols>
    <col min="1" max="1" width="8.3828125" style="427" customWidth="1"/>
    <col min="2" max="2" width="77.23046875" style="427" bestFit="1" customWidth="1"/>
    <col min="3" max="3" width="14.15234375" style="427" customWidth="1"/>
    <col min="4" max="8" width="11.15234375" style="427" customWidth="1"/>
    <col min="9" max="9" width="6.61328125" style="427" bestFit="1" customWidth="1"/>
    <col min="10" max="16384" width="9" style="427"/>
  </cols>
  <sheetData>
    <row r="1" spans="1:10" ht="20">
      <c r="A1" s="428" t="s">
        <v>961</v>
      </c>
      <c r="B1" s="643"/>
      <c r="C1" s="528"/>
      <c r="D1" s="528"/>
      <c r="E1" s="528"/>
      <c r="F1" s="528"/>
      <c r="G1" s="528"/>
      <c r="H1" s="528"/>
      <c r="I1" s="530"/>
    </row>
    <row r="2" spans="1:10" ht="20">
      <c r="A2" s="433" t="str">
        <f>Licensee</f>
        <v>NGET (TO)</v>
      </c>
      <c r="B2" s="644"/>
      <c r="C2" s="436"/>
      <c r="D2" s="436"/>
      <c r="E2" s="436"/>
      <c r="F2" s="436"/>
      <c r="G2" s="436"/>
      <c r="H2" s="436"/>
      <c r="I2" s="437"/>
    </row>
    <row r="3" spans="1:10" ht="20">
      <c r="A3" s="438">
        <f>Reporting_Year</f>
        <v>2026</v>
      </c>
      <c r="B3" s="647"/>
      <c r="C3" s="441"/>
      <c r="D3" s="441"/>
      <c r="E3" s="441"/>
      <c r="F3" s="441"/>
      <c r="G3" s="441"/>
      <c r="H3" s="441"/>
      <c r="I3" s="442"/>
    </row>
    <row r="4" spans="1:10" s="83" customFormat="1" ht="12.75" customHeight="1">
      <c r="B4" s="584"/>
      <c r="C4" s="427"/>
      <c r="D4" s="707"/>
      <c r="E4" s="707"/>
    </row>
    <row r="5" spans="1:10" s="83" customFormat="1" ht="12.75" customHeight="1">
      <c r="B5" s="584"/>
      <c r="C5" s="427"/>
      <c r="D5" s="835" t="str">
        <f t="shared" ref="D5:H5" si="0">IF(D6&lt;=Reporting_Year,"Actuals","Forecast")</f>
        <v>Actuals</v>
      </c>
      <c r="E5" s="835" t="str">
        <f t="shared" si="0"/>
        <v>Actuals</v>
      </c>
      <c r="F5" s="835" t="str">
        <f t="shared" si="0"/>
        <v>Actuals</v>
      </c>
      <c r="G5" s="835" t="str">
        <f t="shared" si="0"/>
        <v>Actuals</v>
      </c>
      <c r="H5" s="835" t="str">
        <f t="shared" si="0"/>
        <v>Actuals</v>
      </c>
      <c r="I5" s="544"/>
    </row>
    <row r="6" spans="1:10" s="83" customFormat="1">
      <c r="C6" s="427"/>
      <c r="D6" s="653">
        <f>'RFPR cover'!$C$6</f>
        <v>2022</v>
      </c>
      <c r="E6" s="653">
        <f>D6+1</f>
        <v>2023</v>
      </c>
      <c r="F6" s="653">
        <f t="shared" ref="F6:H6" si="1">E6+1</f>
        <v>2024</v>
      </c>
      <c r="G6" s="653">
        <f t="shared" si="1"/>
        <v>2025</v>
      </c>
      <c r="H6" s="653">
        <f t="shared" si="1"/>
        <v>2026</v>
      </c>
      <c r="I6" s="544"/>
    </row>
    <row r="7" spans="1:10" s="83" customFormat="1">
      <c r="D7" s="533" t="str">
        <f>RIIO_2_start_date-1&amp;"/"&amp;RIGHT(RIIO_2_start_date,2)</f>
        <v>2021/22</v>
      </c>
      <c r="E7" s="533" t="str">
        <f>RIIO_2_start_date&amp;"/"&amp;RIGHT(RIIO_2_start_date+1,2)</f>
        <v>2022/23</v>
      </c>
      <c r="F7" s="533" t="str">
        <f>RIIO_2_start_date+1&amp;"/"&amp;RIGHT(RIIO_2_start_date+2,2)</f>
        <v>2023/24</v>
      </c>
      <c r="G7" s="533" t="str">
        <f>RIIO_2_start_date+2&amp;"/"&amp;RIGHT(RIIO_2_start_date+3,2)</f>
        <v>2024/25</v>
      </c>
      <c r="H7" s="653" t="str">
        <f>RIIO_2_start_date+3&amp;"/"&amp;RIGHT(RIIO_2_start_date+4,2)</f>
        <v>2025/26</v>
      </c>
      <c r="I7" s="544"/>
    </row>
    <row r="8" spans="1:10" s="83" customFormat="1">
      <c r="I8" s="544"/>
    </row>
    <row r="9" spans="1:10" s="83" customFormat="1">
      <c r="B9" s="836" t="s">
        <v>962</v>
      </c>
      <c r="C9" s="451"/>
      <c r="D9" s="452"/>
      <c r="E9" s="452"/>
      <c r="F9" s="452"/>
      <c r="G9" s="452"/>
      <c r="H9" s="452"/>
      <c r="I9" s="544"/>
    </row>
    <row r="10" spans="1:10" s="83" customFormat="1">
      <c r="B10" s="586"/>
      <c r="C10" s="444"/>
      <c r="I10" s="544"/>
    </row>
    <row r="11" spans="1:10" s="83" customFormat="1">
      <c r="B11" s="586"/>
      <c r="C11" s="444"/>
      <c r="I11" s="544"/>
    </row>
    <row r="12" spans="1:10">
      <c r="B12" s="511" t="s">
        <v>963</v>
      </c>
      <c r="C12" s="444" t="s">
        <v>575</v>
      </c>
      <c r="D12" s="837">
        <v>39.3484874643814</v>
      </c>
      <c r="E12" s="837">
        <v>40.8027539018887</v>
      </c>
      <c r="F12" s="837">
        <v>1.6</v>
      </c>
      <c r="G12" s="837">
        <v>0</v>
      </c>
      <c r="H12" s="837">
        <v>0</v>
      </c>
      <c r="I12" s="544"/>
      <c r="J12" s="83"/>
    </row>
    <row r="13" spans="1:10">
      <c r="B13" s="657" t="s">
        <v>964</v>
      </c>
      <c r="D13" s="780"/>
      <c r="E13" s="780"/>
      <c r="F13" s="780"/>
      <c r="G13" s="780"/>
      <c r="H13" s="780"/>
      <c r="J13" s="83"/>
    </row>
    <row r="14" spans="1:10">
      <c r="B14" s="427" t="s">
        <v>965</v>
      </c>
      <c r="C14" s="444" t="s">
        <v>575</v>
      </c>
      <c r="D14" s="837">
        <v>39.3484874643814</v>
      </c>
      <c r="E14" s="837">
        <v>40.8027539018887</v>
      </c>
      <c r="F14" s="837">
        <v>1.6</v>
      </c>
      <c r="G14" s="837">
        <v>0</v>
      </c>
      <c r="H14" s="837">
        <v>0</v>
      </c>
      <c r="I14" s="544"/>
      <c r="J14" s="83"/>
    </row>
    <row r="15" spans="1:10">
      <c r="B15" s="427" t="s">
        <v>966</v>
      </c>
      <c r="C15" s="444" t="s">
        <v>575</v>
      </c>
      <c r="D15" s="837">
        <v>0</v>
      </c>
      <c r="E15" s="837">
        <v>0</v>
      </c>
      <c r="F15" s="837">
        <v>0</v>
      </c>
      <c r="G15" s="837">
        <v>0</v>
      </c>
      <c r="H15" s="837">
        <v>0</v>
      </c>
      <c r="I15" s="544"/>
      <c r="J15" s="83"/>
    </row>
    <row r="16" spans="1:10">
      <c r="D16" s="780"/>
      <c r="E16" s="780"/>
      <c r="F16" s="780"/>
      <c r="G16" s="780"/>
      <c r="H16" s="780"/>
      <c r="I16" s="544"/>
      <c r="J16" s="83"/>
    </row>
    <row r="17" spans="2:10">
      <c r="D17" s="780"/>
      <c r="E17" s="780"/>
      <c r="F17" s="780"/>
      <c r="G17" s="780"/>
      <c r="H17" s="780"/>
      <c r="I17" s="544"/>
      <c r="J17" s="83"/>
    </row>
    <row r="18" spans="2:10">
      <c r="B18" s="427" t="s">
        <v>965</v>
      </c>
      <c r="C18" s="741" t="str">
        <f>Data!$C$9</f>
        <v>£m 18/19</v>
      </c>
      <c r="D18" s="573">
        <f t="shared" ref="D18:H18" si="2">D$14/INDEX(real_to_nominal_CF,MATCH(D6,calendar_year,0))</f>
        <v>36.273123962432607</v>
      </c>
      <c r="E18" s="573">
        <f t="shared" si="2"/>
        <v>34.579665397962522</v>
      </c>
      <c r="F18" s="573">
        <f t="shared" si="2"/>
        <v>1.2847120721186098</v>
      </c>
      <c r="G18" s="573">
        <f t="shared" si="2"/>
        <v>0</v>
      </c>
      <c r="H18" s="573">
        <f t="shared" si="2"/>
        <v>0</v>
      </c>
      <c r="I18" s="544"/>
      <c r="J18" s="83"/>
    </row>
    <row r="19" spans="2:10">
      <c r="D19" s="780"/>
      <c r="E19" s="780"/>
      <c r="F19" s="780"/>
      <c r="G19" s="780"/>
      <c r="H19" s="780"/>
      <c r="I19" s="544"/>
      <c r="J19" s="83"/>
    </row>
    <row r="20" spans="2:10">
      <c r="D20" s="780"/>
      <c r="E20" s="780"/>
      <c r="F20" s="780"/>
      <c r="G20" s="780"/>
      <c r="H20" s="780"/>
      <c r="I20" s="544"/>
      <c r="J20" s="83"/>
    </row>
    <row r="21" spans="2:10" s="83" customFormat="1">
      <c r="B21" s="511" t="s">
        <v>967</v>
      </c>
      <c r="C21" s="741" t="str">
        <f>Data!$C$9</f>
        <v>£m 18/19</v>
      </c>
      <c r="D21" s="802">
        <v>31.5</v>
      </c>
      <c r="E21" s="802">
        <v>31.1</v>
      </c>
      <c r="F21" s="802">
        <v>12.6</v>
      </c>
      <c r="G21" s="802">
        <v>-1.2</v>
      </c>
      <c r="H21" s="802">
        <v>-1.2</v>
      </c>
      <c r="I21" s="544"/>
    </row>
    <row r="22" spans="2:10" s="83" customFormat="1">
      <c r="B22" s="427" t="s">
        <v>968</v>
      </c>
      <c r="C22" s="741" t="str">
        <f>Data!$C$9</f>
        <v>£m 18/19</v>
      </c>
      <c r="D22" s="701">
        <v>-5.6</v>
      </c>
      <c r="E22" s="701">
        <v>-5.6</v>
      </c>
      <c r="F22" s="701">
        <v>-5.5</v>
      </c>
      <c r="G22" s="701">
        <v>-0.9</v>
      </c>
      <c r="H22" s="701">
        <v>-0.8</v>
      </c>
      <c r="I22" s="544"/>
    </row>
    <row r="23" spans="2:10" s="83" customFormat="1">
      <c r="B23" s="511" t="s">
        <v>969</v>
      </c>
      <c r="C23" s="741" t="str">
        <f>Data!$C$9</f>
        <v>£m 18/19</v>
      </c>
      <c r="D23" s="573">
        <f>D21-D22</f>
        <v>37.1</v>
      </c>
      <c r="E23" s="573">
        <f t="shared" ref="E23:H23" si="3">E21-E22</f>
        <v>36.700000000000003</v>
      </c>
      <c r="F23" s="573">
        <f t="shared" si="3"/>
        <v>18.100000000000001</v>
      </c>
      <c r="G23" s="573">
        <f t="shared" si="3"/>
        <v>-0.29999999999999993</v>
      </c>
      <c r="H23" s="573">
        <f t="shared" si="3"/>
        <v>-0.39999999999999991</v>
      </c>
      <c r="I23" s="544"/>
    </row>
    <row r="24" spans="2:10" s="83" customFormat="1">
      <c r="B24" s="511"/>
      <c r="C24" s="511"/>
      <c r="D24" s="511"/>
      <c r="E24" s="511"/>
      <c r="F24" s="511"/>
      <c r="G24" s="511"/>
      <c r="H24" s="511"/>
      <c r="I24" s="544"/>
    </row>
    <row r="25" spans="2:10" s="83" customFormat="1">
      <c r="B25" s="511"/>
      <c r="C25" s="511"/>
      <c r="D25" s="838" t="s">
        <v>970</v>
      </c>
      <c r="E25" s="511"/>
      <c r="F25" s="511"/>
      <c r="G25" s="511"/>
      <c r="H25" s="511"/>
      <c r="I25" s="544"/>
    </row>
    <row r="26" spans="2:10" s="83" customFormat="1" ht="12.75" customHeight="1">
      <c r="B26" s="511"/>
      <c r="C26" s="511"/>
      <c r="D26" s="839"/>
      <c r="E26" s="511"/>
      <c r="F26" s="511"/>
      <c r="G26" s="511"/>
      <c r="H26" s="511"/>
      <c r="I26" s="544"/>
    </row>
    <row r="27" spans="2:10">
      <c r="C27" s="511"/>
      <c r="D27" s="840"/>
      <c r="E27" s="511"/>
      <c r="F27" s="511"/>
      <c r="I27" s="544"/>
    </row>
    <row r="28" spans="2:10">
      <c r="B28" s="511" t="s">
        <v>971</v>
      </c>
      <c r="C28" s="511"/>
      <c r="D28" s="841" t="s">
        <v>972</v>
      </c>
      <c r="E28" s="511"/>
      <c r="F28" s="511"/>
      <c r="I28" s="544"/>
    </row>
    <row r="29" spans="2:10">
      <c r="B29" s="511"/>
      <c r="C29" s="511"/>
      <c r="D29" s="842"/>
      <c r="E29" s="511"/>
      <c r="F29" s="511"/>
      <c r="I29" s="544"/>
    </row>
    <row r="30" spans="2:10">
      <c r="B30" s="427" t="s">
        <v>973</v>
      </c>
      <c r="C30" s="511"/>
      <c r="D30" s="843">
        <v>2022</v>
      </c>
      <c r="E30" s="511"/>
      <c r="F30" s="511"/>
      <c r="I30" s="544"/>
    </row>
    <row r="31" spans="2:10">
      <c r="C31" s="511"/>
      <c r="D31" s="511"/>
      <c r="E31" s="511"/>
      <c r="F31" s="511"/>
      <c r="H31"/>
      <c r="I31" s="544"/>
    </row>
    <row r="32" spans="2:10">
      <c r="B32" s="511"/>
      <c r="F32" s="511"/>
      <c r="I32" s="544"/>
    </row>
    <row r="33" spans="2:9">
      <c r="B33" s="427" t="s">
        <v>974</v>
      </c>
      <c r="C33" s="844" t="str">
        <f>"£m "&amp;$D$30</f>
        <v>£m 2022</v>
      </c>
      <c r="D33" s="701">
        <v>398.5</v>
      </c>
      <c r="E33" s="511"/>
      <c r="F33" s="511"/>
      <c r="I33" s="544"/>
    </row>
    <row r="34" spans="2:9">
      <c r="B34" s="427" t="s">
        <v>975</v>
      </c>
      <c r="C34" s="844" t="str">
        <f>"£m "&amp;$D$30</f>
        <v>£m 2022</v>
      </c>
      <c r="D34" s="701">
        <v>3024.7</v>
      </c>
      <c r="E34" s="511"/>
      <c r="F34" s="511"/>
      <c r="I34" s="544"/>
    </row>
    <row r="35" spans="2:9">
      <c r="C35" s="845"/>
      <c r="D35" s="780"/>
      <c r="E35" s="511"/>
      <c r="F35" s="511"/>
      <c r="I35" s="544"/>
    </row>
    <row r="36" spans="2:9">
      <c r="B36" s="427" t="s">
        <v>976</v>
      </c>
      <c r="C36" s="844" t="str">
        <f>"£m "&amp;$D$30</f>
        <v>£m 2022</v>
      </c>
      <c r="D36" s="701">
        <v>402</v>
      </c>
      <c r="I36" s="544"/>
    </row>
    <row r="37" spans="2:9">
      <c r="B37" s="427" t="s">
        <v>977</v>
      </c>
      <c r="C37" s="844" t="str">
        <f>"£m "&amp;$D$30</f>
        <v>£m 2022</v>
      </c>
      <c r="D37" s="701">
        <v>2961.3</v>
      </c>
      <c r="I37" s="544"/>
    </row>
    <row r="38" spans="2:9">
      <c r="C38" s="845"/>
      <c r="D38" s="780"/>
      <c r="I38" s="544"/>
    </row>
    <row r="39" spans="2:9">
      <c r="B39" s="677" t="s">
        <v>978</v>
      </c>
      <c r="C39" s="844" t="str">
        <f>"£m "&amp;$D$30</f>
        <v>£m 2022</v>
      </c>
      <c r="D39" s="573">
        <f>D33-D36</f>
        <v>-3.5</v>
      </c>
      <c r="I39" s="544"/>
    </row>
    <row r="40" spans="2:9">
      <c r="B40" s="677" t="s">
        <v>979</v>
      </c>
      <c r="C40" s="844" t="str">
        <f>"£m "&amp;$D$30</f>
        <v>£m 2022</v>
      </c>
      <c r="D40" s="573">
        <f>D34-D37</f>
        <v>63.399999999999636</v>
      </c>
      <c r="I40" s="544"/>
    </row>
    <row r="41" spans="2:9">
      <c r="C41" s="845"/>
      <c r="D41" s="780"/>
      <c r="I41" s="544"/>
    </row>
    <row r="42" spans="2:9">
      <c r="B42" s="427" t="s">
        <v>980</v>
      </c>
      <c r="C42" s="844" t="str">
        <f>"£m "&amp;$D$30</f>
        <v>£m 2022</v>
      </c>
      <c r="D42" s="701">
        <v>42.9</v>
      </c>
      <c r="I42" s="544"/>
    </row>
    <row r="43" spans="2:9">
      <c r="B43" s="427" t="s">
        <v>981</v>
      </c>
      <c r="C43" s="844" t="str">
        <f>"£m "&amp;$D$30</f>
        <v>£m 2022</v>
      </c>
      <c r="D43" s="701">
        <v>-2.5</v>
      </c>
      <c r="I43" s="544"/>
    </row>
    <row r="44" spans="2:9">
      <c r="I44" s="544"/>
    </row>
    <row r="45" spans="2:9">
      <c r="I45" s="544"/>
    </row>
    <row r="46" spans="2:9">
      <c r="I46" s="544"/>
    </row>
    <row r="47" spans="2:9">
      <c r="B47" s="836" t="s">
        <v>982</v>
      </c>
      <c r="C47" s="451"/>
      <c r="D47" s="452"/>
      <c r="E47" s="452"/>
      <c r="F47" s="452"/>
      <c r="G47" s="452"/>
      <c r="H47" s="452"/>
      <c r="I47" s="544"/>
    </row>
    <row r="48" spans="2:9">
      <c r="I48" s="544"/>
    </row>
    <row r="49" spans="1:9">
      <c r="I49" s="544"/>
    </row>
    <row r="50" spans="1:9">
      <c r="I50" s="544"/>
    </row>
    <row r="51" spans="1:9">
      <c r="A51" s="83"/>
      <c r="B51" s="584"/>
      <c r="C51" s="584"/>
      <c r="D51" s="835" t="str">
        <f t="shared" ref="D51:H51" si="4">IF(D52&lt;=Reporting_Year,"Actuals","Forecast")</f>
        <v>Actuals</v>
      </c>
      <c r="E51" s="835" t="str">
        <f t="shared" si="4"/>
        <v>Actuals</v>
      </c>
      <c r="F51" s="835" t="str">
        <f t="shared" si="4"/>
        <v>Actuals</v>
      </c>
      <c r="G51" s="835" t="str">
        <f t="shared" si="4"/>
        <v>Actuals</v>
      </c>
      <c r="H51" s="835" t="str">
        <f t="shared" si="4"/>
        <v>Actuals</v>
      </c>
      <c r="I51" s="544"/>
    </row>
    <row r="52" spans="1:9">
      <c r="A52" s="83"/>
      <c r="B52" s="83"/>
      <c r="C52" s="511"/>
      <c r="D52" s="653">
        <f>'RFPR cover'!$C$6</f>
        <v>2022</v>
      </c>
      <c r="E52" s="653">
        <f t="shared" ref="E52:H52" si="5">D52+1</f>
        <v>2023</v>
      </c>
      <c r="F52" s="653">
        <f t="shared" si="5"/>
        <v>2024</v>
      </c>
      <c r="G52" s="653">
        <f t="shared" si="5"/>
        <v>2025</v>
      </c>
      <c r="H52" s="653">
        <f t="shared" si="5"/>
        <v>2026</v>
      </c>
      <c r="I52" s="544"/>
    </row>
    <row r="53" spans="1:9">
      <c r="D53" s="846"/>
      <c r="E53" s="846"/>
      <c r="F53" s="846"/>
      <c r="G53" s="846"/>
      <c r="H53" s="846"/>
      <c r="I53" s="544"/>
    </row>
    <row r="54" spans="1:9">
      <c r="B54" s="586" t="s">
        <v>983</v>
      </c>
      <c r="C54" s="741" t="str">
        <f>Data!$C$9</f>
        <v>£m 18/19</v>
      </c>
      <c r="D54" s="847">
        <f>(D$62+D$67)/INDEX(real_to_nominal_CF,MATCH('R10 - Pensions &amp; Oth Activities'!D52,calendar_year,0))</f>
        <v>0</v>
      </c>
      <c r="E54" s="847">
        <f>(E$62+E$67)/INDEX(real_to_nominal_CF,MATCH('R10 - Pensions &amp; Oth Activities'!E52,calendar_year,0))</f>
        <v>0</v>
      </c>
      <c r="F54" s="847">
        <f>(F$62+F$67)/INDEX(real_to_nominal_CF,MATCH('R10 - Pensions &amp; Oth Activities'!F52,calendar_year,0))</f>
        <v>0</v>
      </c>
      <c r="G54" s="847">
        <f>(G$62+G$67)/INDEX(real_to_nominal_CF,MATCH('R10 - Pensions &amp; Oth Activities'!G52,calendar_year,0))</f>
        <v>0</v>
      </c>
      <c r="H54" s="847">
        <f>(H$62+H$67)/INDEX(real_to_nominal_CF,MATCH('R10 - Pensions &amp; Oth Activities'!H52,calendar_year,0))</f>
        <v>0</v>
      </c>
      <c r="I54" s="544"/>
    </row>
    <row r="55" spans="1:9">
      <c r="D55" s="846"/>
      <c r="E55" s="846"/>
      <c r="F55" s="846"/>
      <c r="G55" s="846"/>
      <c r="H55" s="846"/>
    </row>
    <row r="56" spans="1:9">
      <c r="B56" s="511" t="s">
        <v>984</v>
      </c>
      <c r="D56" s="846"/>
      <c r="E56" s="846"/>
      <c r="F56" s="846"/>
      <c r="G56" s="846"/>
      <c r="H56" s="846"/>
    </row>
    <row r="57" spans="1:9">
      <c r="B57" s="848" t="s">
        <v>985</v>
      </c>
      <c r="C57" s="444" t="s">
        <v>575</v>
      </c>
      <c r="D57" s="849">
        <v>0</v>
      </c>
      <c r="E57" s="849">
        <v>0</v>
      </c>
      <c r="F57" s="849">
        <v>0</v>
      </c>
      <c r="G57" s="849">
        <v>0</v>
      </c>
      <c r="H57" s="849">
        <v>0</v>
      </c>
    </row>
    <row r="58" spans="1:9">
      <c r="B58" s="848" t="s">
        <v>985</v>
      </c>
      <c r="C58" s="444" t="s">
        <v>575</v>
      </c>
      <c r="D58" s="849">
        <v>0</v>
      </c>
      <c r="E58" s="849">
        <v>0</v>
      </c>
      <c r="F58" s="849">
        <v>0</v>
      </c>
      <c r="G58" s="849">
        <v>0</v>
      </c>
      <c r="H58" s="849">
        <v>0</v>
      </c>
    </row>
    <row r="59" spans="1:9">
      <c r="B59" s="848" t="s">
        <v>903</v>
      </c>
      <c r="C59" s="444" t="s">
        <v>575</v>
      </c>
      <c r="D59" s="849">
        <v>0</v>
      </c>
      <c r="E59" s="849">
        <v>0</v>
      </c>
      <c r="F59" s="849">
        <v>0</v>
      </c>
      <c r="G59" s="849">
        <v>0</v>
      </c>
      <c r="H59" s="849">
        <v>0</v>
      </c>
    </row>
    <row r="60" spans="1:9">
      <c r="B60" s="511" t="s">
        <v>986</v>
      </c>
      <c r="C60" s="444" t="s">
        <v>575</v>
      </c>
      <c r="D60" s="847">
        <f t="shared" ref="D60:H60" si="6">SUM(D57:D59)</f>
        <v>0</v>
      </c>
      <c r="E60" s="847">
        <f t="shared" si="6"/>
        <v>0</v>
      </c>
      <c r="F60" s="847">
        <f t="shared" si="6"/>
        <v>0</v>
      </c>
      <c r="G60" s="847">
        <f t="shared" si="6"/>
        <v>0</v>
      </c>
      <c r="H60" s="847">
        <f t="shared" si="6"/>
        <v>0</v>
      </c>
    </row>
    <row r="61" spans="1:9">
      <c r="B61" s="83" t="s">
        <v>987</v>
      </c>
      <c r="C61" s="444" t="s">
        <v>575</v>
      </c>
      <c r="D61" s="849">
        <v>0</v>
      </c>
      <c r="E61" s="849">
        <v>0</v>
      </c>
      <c r="F61" s="849">
        <v>0</v>
      </c>
      <c r="G61" s="849">
        <v>0</v>
      </c>
      <c r="H61" s="849">
        <v>0</v>
      </c>
    </row>
    <row r="62" spans="1:9">
      <c r="B62" s="586" t="s">
        <v>988</v>
      </c>
      <c r="C62" s="444" t="s">
        <v>575</v>
      </c>
      <c r="D62" s="847">
        <f t="shared" ref="D62:H62" si="7">D60-D61</f>
        <v>0</v>
      </c>
      <c r="E62" s="847">
        <f t="shared" si="7"/>
        <v>0</v>
      </c>
      <c r="F62" s="847">
        <f t="shared" si="7"/>
        <v>0</v>
      </c>
      <c r="G62" s="847">
        <f t="shared" si="7"/>
        <v>0</v>
      </c>
      <c r="H62" s="847">
        <f t="shared" si="7"/>
        <v>0</v>
      </c>
    </row>
    <row r="64" spans="1:9">
      <c r="B64" s="511" t="s">
        <v>989</v>
      </c>
      <c r="D64" s="846"/>
      <c r="E64" s="846"/>
      <c r="F64" s="846"/>
      <c r="G64" s="846"/>
      <c r="H64" s="846"/>
    </row>
    <row r="65" spans="2:8">
      <c r="B65" s="848" t="s">
        <v>990</v>
      </c>
      <c r="C65" s="444" t="s">
        <v>575</v>
      </c>
      <c r="D65" s="849">
        <v>0</v>
      </c>
      <c r="E65" s="849">
        <v>0</v>
      </c>
      <c r="F65" s="849">
        <v>0</v>
      </c>
      <c r="G65" s="849">
        <v>0</v>
      </c>
      <c r="H65" s="849">
        <v>0</v>
      </c>
    </row>
    <row r="66" spans="2:8">
      <c r="B66" s="83" t="s">
        <v>987</v>
      </c>
      <c r="C66" s="444" t="s">
        <v>575</v>
      </c>
      <c r="D66" s="849">
        <v>0</v>
      </c>
      <c r="E66" s="849">
        <v>0</v>
      </c>
      <c r="F66" s="849">
        <v>0</v>
      </c>
      <c r="G66" s="849">
        <v>0</v>
      </c>
      <c r="H66" s="849">
        <v>0</v>
      </c>
    </row>
    <row r="67" spans="2:8">
      <c r="B67" s="586" t="s">
        <v>991</v>
      </c>
      <c r="C67" s="444" t="s">
        <v>575</v>
      </c>
      <c r="D67" s="847">
        <f t="shared" ref="D67:H67" si="8">D65-D66</f>
        <v>0</v>
      </c>
      <c r="E67" s="847">
        <f t="shared" si="8"/>
        <v>0</v>
      </c>
      <c r="F67" s="847">
        <f t="shared" si="8"/>
        <v>0</v>
      </c>
      <c r="G67" s="847">
        <f t="shared" si="8"/>
        <v>0</v>
      </c>
      <c r="H67" s="847">
        <f t="shared" si="8"/>
        <v>0</v>
      </c>
    </row>
  </sheetData>
  <sheetProtection insertRows="0" sort="0" autoFilter="0" pivotTables="0"/>
  <mergeCells count="1">
    <mergeCell ref="D25:D27"/>
  </mergeCells>
  <conditionalFormatting sqref="D25">
    <cfRule type="expression" dxfId="8" priority="2">
      <formula>AND(E$4="Actuals",F$4="Forecast")</formula>
    </cfRule>
  </conditionalFormatting>
  <conditionalFormatting sqref="D5:G6 I5:I12 I14:I54 D51:G52">
    <cfRule type="expression" dxfId="7" priority="3">
      <formula>AND(D$5="Actuals",E$5="Forecast")</formula>
    </cfRule>
  </conditionalFormatting>
  <conditionalFormatting sqref="D6:G6 D52:G52">
    <cfRule type="expression" dxfId="6" priority="6">
      <formula>AND(D$4="Actuals",E$4="Forecast")</formula>
    </cfRule>
  </conditionalFormatting>
  <conditionalFormatting sqref="D7:H7">
    <cfRule type="expression" dxfId="5" priority="1">
      <formula>AND(D$5="Actuals",E$5="Forecast")</formula>
    </cfRule>
  </conditionalFormatting>
  <conditionalFormatting sqref="D12:H12 D14:H15">
    <cfRule type="expression" dxfId="4" priority="4">
      <formula>D$5="Forecast"</formula>
    </cfRule>
    <cfRule type="expression" dxfId="3" priority="5">
      <formula>D$5="Actuals"</formula>
    </cfRule>
  </conditionalFormatting>
  <conditionalFormatting sqref="H5:H6 H51:H52">
    <cfRule type="expression" dxfId="2" priority="8">
      <formula>AND(H$5="Actuals",#REF!="Forecast")</formula>
    </cfRule>
  </conditionalFormatting>
  <conditionalFormatting sqref="H6 H52">
    <cfRule type="expression" dxfId="1" priority="7">
      <formula>AND(H$4="Actuals",#REF!="Forecast")</formula>
    </cfRule>
  </conditionalFormatting>
  <conditionalFormatting sqref="J17:J22">
    <cfRule type="expression" dxfId="0" priority="9">
      <formula>AND(I$5="Actuals",J$5="Forecast")</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&amp;C_x000D_&amp;1#&amp;"Calibri"&amp;10&amp;K000000 OFFICIAL-InternalOnly</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200C3-2BFF-48A9-AC02-9709E560F4F8}">
  <sheetPr>
    <tabColor rgb="FFFFFFCC"/>
    <pageSetUpPr autoPageBreaks="0"/>
  </sheetPr>
  <dimension ref="A1:AF38"/>
  <sheetViews>
    <sheetView topLeftCell="A9" zoomScale="80" zoomScaleNormal="80" workbookViewId="0">
      <selection activeCell="E18" sqref="E18"/>
    </sheetView>
  </sheetViews>
  <sheetFormatPr defaultColWidth="0" defaultRowHeight="15" customHeight="1" zeroHeight="1"/>
  <cols>
    <col min="1" max="1" width="50.61328125" style="869" customWidth="1"/>
    <col min="2" max="2" width="11.3828125" style="869" customWidth="1"/>
    <col min="3" max="3" width="10.4609375" style="869" customWidth="1"/>
    <col min="4" max="4" width="9" style="869" customWidth="1"/>
    <col min="5" max="15" width="10" style="869" customWidth="1"/>
    <col min="16" max="23" width="10" style="860" customWidth="1"/>
    <col min="24" max="32" width="10" style="860" hidden="1" customWidth="1"/>
    <col min="33" max="16384" width="9" style="860" hidden="1"/>
  </cols>
  <sheetData>
    <row r="1" spans="1:29" customFormat="1" ht="19.5">
      <c r="A1" s="850" t="str">
        <f ca="1">MID(CELL("filename",A1),FIND("]",CELL("filename",A1))+1,256)</f>
        <v>I1 - Universal Data</v>
      </c>
      <c r="B1" s="851"/>
      <c r="C1" s="851"/>
      <c r="D1" s="851"/>
      <c r="E1" s="851"/>
      <c r="F1" s="851"/>
      <c r="G1" s="851"/>
      <c r="H1" s="851"/>
      <c r="I1" s="851"/>
      <c r="J1" s="851"/>
      <c r="K1" s="851"/>
      <c r="L1" s="851"/>
      <c r="M1" s="851"/>
      <c r="N1" s="851"/>
      <c r="O1" s="851"/>
      <c r="P1" s="851"/>
      <c r="Q1" s="851"/>
      <c r="R1" s="851"/>
      <c r="S1" s="851"/>
      <c r="T1" s="851"/>
      <c r="U1" s="851"/>
      <c r="V1" s="851"/>
      <c r="W1" s="852"/>
      <c r="X1" s="853"/>
      <c r="Y1" s="853"/>
      <c r="Z1" s="853"/>
      <c r="AA1" s="853"/>
      <c r="AB1" s="853"/>
    </row>
    <row r="2" spans="1:29" customFormat="1" ht="19.5">
      <c r="A2" s="850" t="str">
        <f>Licensee</f>
        <v>NGET (TO)</v>
      </c>
      <c r="B2" s="851"/>
      <c r="C2" s="851"/>
      <c r="D2" s="851"/>
      <c r="E2" s="851"/>
      <c r="F2" s="851"/>
      <c r="G2" s="851"/>
      <c r="H2" s="851"/>
      <c r="I2" s="851"/>
      <c r="J2" s="851"/>
      <c r="K2" s="851"/>
      <c r="L2" s="851"/>
      <c r="M2" s="851"/>
      <c r="N2" s="851"/>
      <c r="O2" s="851"/>
      <c r="P2" s="851"/>
      <c r="Q2" s="851"/>
      <c r="R2" s="851"/>
      <c r="S2" s="851"/>
      <c r="T2" s="851"/>
      <c r="U2" s="851"/>
      <c r="V2" s="851"/>
      <c r="W2" s="852"/>
      <c r="X2" s="853"/>
      <c r="Y2" s="853"/>
      <c r="Z2" s="853"/>
      <c r="AA2" s="853"/>
      <c r="AB2" s="853"/>
    </row>
    <row r="3" spans="1:29" customFormat="1" ht="19.5">
      <c r="A3" s="854" t="str">
        <f>Sector</f>
        <v>ET2</v>
      </c>
      <c r="B3" s="855"/>
      <c r="C3" s="855"/>
      <c r="D3" s="855"/>
      <c r="E3" s="855"/>
      <c r="F3" s="855"/>
      <c r="G3" s="855"/>
      <c r="H3" s="855"/>
      <c r="I3" s="855"/>
      <c r="J3" s="855"/>
      <c r="K3" s="855"/>
      <c r="L3" s="855"/>
      <c r="M3" s="855"/>
      <c r="N3" s="855"/>
      <c r="O3" s="855"/>
      <c r="P3" s="855"/>
      <c r="Q3" s="855"/>
      <c r="R3" s="855"/>
      <c r="S3" s="855"/>
      <c r="T3" s="855"/>
      <c r="U3" s="855"/>
      <c r="V3" s="855"/>
      <c r="W3" s="856"/>
      <c r="X3" s="853"/>
      <c r="Y3" s="853"/>
      <c r="Z3" s="853"/>
      <c r="AA3" s="853"/>
      <c r="AB3" s="853"/>
    </row>
    <row r="4" spans="1:29" ht="14.5">
      <c r="A4" s="857"/>
      <c r="B4" s="858"/>
      <c r="C4" s="858"/>
      <c r="D4" s="858"/>
      <c r="E4" s="858"/>
      <c r="F4" s="858"/>
      <c r="G4" s="858"/>
      <c r="H4" s="858"/>
      <c r="I4" s="858"/>
      <c r="J4" s="858"/>
      <c r="K4" s="858"/>
      <c r="L4" s="858"/>
      <c r="M4" s="858"/>
      <c r="N4" s="858"/>
      <c r="O4" s="858"/>
      <c r="P4" s="858"/>
      <c r="Q4" s="858"/>
      <c r="R4" s="858"/>
      <c r="S4" s="858"/>
      <c r="T4" s="858"/>
      <c r="U4" s="858"/>
      <c r="V4" s="858"/>
      <c r="W4" s="858"/>
      <c r="X4" s="858"/>
      <c r="Y4" s="859"/>
    </row>
    <row r="5" spans="1:29" ht="14.5">
      <c r="A5" s="861" t="s">
        <v>992</v>
      </c>
      <c r="B5" s="862" t="s">
        <v>993</v>
      </c>
      <c r="C5" s="862" t="s">
        <v>994</v>
      </c>
      <c r="D5" s="863">
        <v>2015</v>
      </c>
      <c r="E5" s="863">
        <v>2016</v>
      </c>
      <c r="F5" s="863">
        <v>2017</v>
      </c>
      <c r="G5" s="863">
        <v>2018</v>
      </c>
      <c r="H5" s="863">
        <v>2019</v>
      </c>
      <c r="I5" s="863">
        <v>2020</v>
      </c>
      <c r="J5" s="863">
        <v>2021</v>
      </c>
      <c r="K5" s="863">
        <v>2022</v>
      </c>
      <c r="L5" s="863">
        <v>2023</v>
      </c>
      <c r="M5" s="863">
        <f>L5+1</f>
        <v>2024</v>
      </c>
      <c r="N5" s="863">
        <f>M5+1</f>
        <v>2025</v>
      </c>
      <c r="O5" s="863">
        <f>N5+1</f>
        <v>2026</v>
      </c>
      <c r="P5" s="863">
        <f>O5+1</f>
        <v>2027</v>
      </c>
      <c r="Q5" s="863">
        <f>P5+1</f>
        <v>2028</v>
      </c>
      <c r="R5" s="863">
        <f t="shared" ref="R5:V5" si="0">Q5+1</f>
        <v>2029</v>
      </c>
      <c r="S5" s="863">
        <f t="shared" si="0"/>
        <v>2030</v>
      </c>
      <c r="T5" s="863">
        <f t="shared" si="0"/>
        <v>2031</v>
      </c>
      <c r="U5" s="863">
        <f t="shared" si="0"/>
        <v>2032</v>
      </c>
      <c r="V5" s="863">
        <f t="shared" si="0"/>
        <v>2033</v>
      </c>
      <c r="W5" s="859"/>
    </row>
    <row r="6" spans="1:29" ht="14.5">
      <c r="A6" s="864"/>
      <c r="B6" s="858"/>
      <c r="C6" s="858"/>
      <c r="D6" s="859"/>
      <c r="E6" s="859"/>
      <c r="F6" s="859"/>
      <c r="G6" s="859"/>
      <c r="H6" s="859"/>
      <c r="I6" s="859"/>
      <c r="J6" s="859"/>
      <c r="K6" s="859"/>
      <c r="L6" s="859"/>
      <c r="M6" s="859"/>
      <c r="N6" s="859"/>
      <c r="O6" s="859"/>
      <c r="P6" s="859"/>
      <c r="Q6" s="859"/>
      <c r="R6" s="859"/>
      <c r="S6" s="859"/>
      <c r="T6" s="859"/>
      <c r="U6" s="859"/>
      <c r="V6" s="859"/>
      <c r="W6" s="859"/>
      <c r="X6" s="859"/>
      <c r="Y6" s="859"/>
    </row>
    <row r="7" spans="1:29" s="869" customFormat="1" ht="13.5">
      <c r="A7" s="865" t="s">
        <v>995</v>
      </c>
      <c r="B7" s="865"/>
      <c r="C7" s="866"/>
      <c r="D7" s="867"/>
      <c r="E7" s="867"/>
      <c r="F7" s="867"/>
      <c r="G7" s="867"/>
      <c r="H7" s="867"/>
      <c r="I7" s="868"/>
      <c r="J7" s="868"/>
      <c r="K7" s="868"/>
      <c r="L7" s="868"/>
      <c r="M7" s="868"/>
      <c r="N7" s="868"/>
      <c r="O7" s="868"/>
      <c r="P7" s="868"/>
      <c r="Q7" s="868"/>
      <c r="R7" s="868"/>
      <c r="S7" s="868"/>
      <c r="T7" s="868"/>
      <c r="U7" s="868"/>
      <c r="V7" s="868"/>
    </row>
    <row r="8" spans="1:29" ht="14.5">
      <c r="E8" s="870"/>
      <c r="F8" s="870"/>
      <c r="G8" s="870"/>
      <c r="H8" s="870"/>
      <c r="I8" s="870"/>
      <c r="J8" s="870"/>
      <c r="K8" s="870"/>
      <c r="L8" s="870"/>
      <c r="M8" s="870"/>
      <c r="N8" s="870"/>
      <c r="O8" s="870"/>
      <c r="P8" s="871"/>
      <c r="Q8" s="871"/>
      <c r="R8" s="871"/>
      <c r="S8" s="871"/>
      <c r="T8" s="871"/>
      <c r="U8" s="871"/>
      <c r="V8" s="871"/>
    </row>
    <row r="9" spans="1:29" ht="14.5">
      <c r="A9" s="872" t="s">
        <v>996</v>
      </c>
      <c r="B9" s="869" t="s">
        <v>997</v>
      </c>
      <c r="C9" s="873">
        <f>IF(Price_basis = "£M 18/19", 2019, IF(Price_basis = "£M 20/21", 2021, "NA"))</f>
        <v>2019</v>
      </c>
      <c r="D9" s="860"/>
      <c r="E9" s="870"/>
      <c r="F9" s="870"/>
      <c r="G9" s="870"/>
      <c r="H9" s="870"/>
      <c r="I9" s="870"/>
      <c r="J9" s="870"/>
      <c r="K9" s="870"/>
      <c r="L9" s="870"/>
      <c r="M9" s="870"/>
      <c r="N9" s="870"/>
      <c r="O9" s="870"/>
      <c r="P9" s="871"/>
      <c r="Q9" s="871"/>
      <c r="R9" s="871"/>
      <c r="S9" s="871"/>
      <c r="T9" s="871"/>
      <c r="U9" s="871"/>
      <c r="V9" s="871"/>
    </row>
    <row r="10" spans="1:29" s="869" customFormat="1" ht="14.5">
      <c r="E10" s="870"/>
      <c r="F10" s="870"/>
      <c r="G10" s="870"/>
      <c r="H10" s="870"/>
      <c r="I10" s="870"/>
      <c r="J10" s="870"/>
      <c r="K10" s="870"/>
      <c r="L10" s="870"/>
      <c r="M10" s="870"/>
      <c r="N10" s="870"/>
      <c r="O10" s="870"/>
      <c r="P10" s="871"/>
      <c r="Q10" s="870"/>
      <c r="R10" s="870"/>
      <c r="S10" s="870"/>
      <c r="T10" s="870"/>
      <c r="U10" s="870"/>
      <c r="V10" s="870"/>
    </row>
    <row r="11" spans="1:29" s="869" customFormat="1" ht="14.5">
      <c r="A11" s="874" t="s">
        <v>998</v>
      </c>
      <c r="B11" s="875"/>
      <c r="D11" s="876"/>
      <c r="E11" s="877"/>
      <c r="F11" s="877"/>
      <c r="G11" s="877"/>
      <c r="H11" s="870"/>
      <c r="I11" s="870"/>
      <c r="J11" s="870"/>
      <c r="K11" s="870"/>
      <c r="L11" s="870"/>
      <c r="M11" s="870"/>
      <c r="N11" s="870"/>
      <c r="O11" s="870"/>
      <c r="P11" s="871"/>
      <c r="Q11" s="877"/>
      <c r="R11" s="877"/>
      <c r="S11" s="877"/>
      <c r="T11" s="877"/>
      <c r="U11" s="877"/>
      <c r="V11" s="877"/>
    </row>
    <row r="12" spans="1:29" s="869" customFormat="1" ht="13.5">
      <c r="A12" s="878" t="s">
        <v>999</v>
      </c>
      <c r="B12" s="875"/>
      <c r="D12" s="879"/>
      <c r="E12" s="877"/>
      <c r="F12" s="877"/>
      <c r="G12" s="877"/>
      <c r="H12" s="877"/>
      <c r="I12" s="877"/>
      <c r="J12" s="877"/>
      <c r="K12" s="877"/>
      <c r="L12" s="877"/>
      <c r="M12" s="877"/>
      <c r="N12" s="877"/>
      <c r="O12" s="877"/>
      <c r="P12" s="877"/>
      <c r="Q12" s="877"/>
      <c r="R12" s="877"/>
      <c r="S12" s="877"/>
      <c r="T12" s="877"/>
      <c r="U12" s="877"/>
      <c r="V12" s="877"/>
    </row>
    <row r="13" spans="1:29" s="869" customFormat="1" ht="14.5">
      <c r="E13" s="877"/>
      <c r="F13" s="877"/>
      <c r="G13" s="877"/>
      <c r="H13" s="877"/>
      <c r="I13" s="877"/>
      <c r="J13" s="877"/>
      <c r="K13" s="877"/>
      <c r="L13" s="877"/>
      <c r="M13" s="877"/>
      <c r="N13" s="877"/>
      <c r="O13" s="877"/>
      <c r="P13" s="877"/>
      <c r="Q13" s="877"/>
      <c r="R13" s="877"/>
      <c r="S13" s="877"/>
      <c r="T13" s="877"/>
      <c r="U13" s="877"/>
      <c r="V13" s="877"/>
      <c r="W13" s="860"/>
      <c r="X13" s="860"/>
      <c r="Y13" s="860"/>
      <c r="Z13" s="860"/>
      <c r="AA13" s="860"/>
      <c r="AB13" s="860"/>
      <c r="AC13" s="860"/>
    </row>
    <row r="14" spans="1:29" s="869" customFormat="1" ht="14.5">
      <c r="A14" s="872" t="s">
        <v>1000</v>
      </c>
      <c r="B14" s="869" t="s">
        <v>1001</v>
      </c>
      <c r="D14" s="880">
        <v>2015</v>
      </c>
      <c r="E14" s="880">
        <v>2016</v>
      </c>
      <c r="F14" s="880">
        <v>2017</v>
      </c>
      <c r="G14" s="880">
        <v>2018</v>
      </c>
      <c r="H14" s="880">
        <v>2019</v>
      </c>
      <c r="I14" s="880">
        <v>2020</v>
      </c>
      <c r="J14" s="880">
        <v>2021</v>
      </c>
      <c r="K14" s="880">
        <v>2022</v>
      </c>
      <c r="L14" s="880">
        <v>2023</v>
      </c>
      <c r="M14" s="880">
        <v>2024</v>
      </c>
      <c r="N14" s="880">
        <v>2025</v>
      </c>
      <c r="O14" s="880">
        <v>2026</v>
      </c>
      <c r="P14" s="880">
        <v>2027</v>
      </c>
      <c r="Q14" s="880">
        <v>2028</v>
      </c>
      <c r="R14" s="880">
        <v>2029</v>
      </c>
      <c r="S14" s="880">
        <v>2030</v>
      </c>
      <c r="T14" s="880">
        <v>2031</v>
      </c>
      <c r="U14" s="880">
        <v>2032</v>
      </c>
      <c r="V14" s="880">
        <v>2033</v>
      </c>
      <c r="W14" s="860"/>
      <c r="X14" s="860"/>
      <c r="Y14" s="860"/>
      <c r="Z14" s="860"/>
      <c r="AA14" s="860"/>
      <c r="AB14" s="860"/>
      <c r="AC14" s="860"/>
    </row>
    <row r="15" spans="1:29" s="869" customFormat="1" ht="14.5">
      <c r="A15" s="872" t="s">
        <v>1002</v>
      </c>
      <c r="B15" s="869" t="s">
        <v>538</v>
      </c>
      <c r="D15" s="881"/>
      <c r="E15" s="882"/>
      <c r="F15" s="882"/>
      <c r="G15" s="883"/>
      <c r="H15" s="884">
        <v>2.5628884588821732E-2</v>
      </c>
      <c r="I15" s="884">
        <v>1.5033471260387898E-2</v>
      </c>
      <c r="J15" s="884">
        <v>4.0452569031158125E-2</v>
      </c>
      <c r="K15" s="884">
        <v>0.11584699426229506</v>
      </c>
      <c r="L15" s="885">
        <v>9.6914789201007601E-2</v>
      </c>
      <c r="M15" s="885">
        <v>3.5849815186325129E-2</v>
      </c>
      <c r="N15" s="885">
        <v>4.1311094517713753E-2</v>
      </c>
      <c r="O15" s="885">
        <v>3.0764505475405324E-2</v>
      </c>
      <c r="P15" s="884">
        <v>2.9831866105610727E-2</v>
      </c>
      <c r="Q15" s="884">
        <v>2.7839240870369375E-2</v>
      </c>
      <c r="R15" s="884">
        <v>2.8771944181261722E-2</v>
      </c>
      <c r="S15" s="884">
        <v>2.2556534608456635E-2</v>
      </c>
      <c r="T15" s="884">
        <v>0.03</v>
      </c>
      <c r="U15" s="884">
        <v>0.03</v>
      </c>
      <c r="V15" s="884">
        <v>0.03</v>
      </c>
      <c r="W15" s="860"/>
      <c r="X15" s="860"/>
      <c r="Y15" s="860"/>
      <c r="Z15" s="860"/>
      <c r="AA15" s="860"/>
      <c r="AB15" s="860"/>
      <c r="AC15" s="860"/>
    </row>
    <row r="16" spans="1:29" s="869" customFormat="1" ht="14.5">
      <c r="A16" s="872" t="s">
        <v>1003</v>
      </c>
      <c r="B16" s="869" t="s">
        <v>538</v>
      </c>
      <c r="D16" s="886"/>
      <c r="E16" s="887"/>
      <c r="F16" s="887"/>
      <c r="G16" s="888"/>
      <c r="H16" s="884">
        <v>1.7381044449375382E-2</v>
      </c>
      <c r="I16" s="884">
        <v>9.8948701528174254E-3</v>
      </c>
      <c r="J16" s="884">
        <v>2.5183711707605694E-2</v>
      </c>
      <c r="K16" s="884">
        <v>7.9220486703172499E-2</v>
      </c>
      <c r="L16" s="885">
        <v>6.7939669987546525E-2</v>
      </c>
      <c r="M16" s="885">
        <v>3.2715730780458641E-2</v>
      </c>
      <c r="N16" s="885">
        <v>3.8830687510927442E-2</v>
      </c>
      <c r="O16" s="885">
        <v>2.5462143115942082E-2</v>
      </c>
      <c r="P16" s="884">
        <v>2.1106939830908944E-2</v>
      </c>
      <c r="Q16" s="884">
        <v>2.0363958655881476E-2</v>
      </c>
      <c r="R16" s="884">
        <v>2.0944596333052568E-2</v>
      </c>
      <c r="S16" s="884">
        <v>2.1241236305741262E-2</v>
      </c>
      <c r="T16" s="884">
        <v>0.02</v>
      </c>
      <c r="U16" s="884">
        <v>0.02</v>
      </c>
      <c r="V16" s="884">
        <v>0.02</v>
      </c>
      <c r="W16" s="860"/>
      <c r="X16" s="860"/>
      <c r="Y16" s="860"/>
      <c r="Z16" s="860"/>
      <c r="AA16" s="860"/>
      <c r="AB16" s="860"/>
      <c r="AC16" s="860"/>
    </row>
    <row r="17" spans="1:29" s="869" customFormat="1" ht="14.5">
      <c r="A17" s="872" t="s">
        <v>1004</v>
      </c>
      <c r="D17" s="889"/>
      <c r="E17" s="890"/>
      <c r="F17" s="890"/>
      <c r="G17" s="891"/>
      <c r="H17" s="884">
        <v>1.7910205867057716E-2</v>
      </c>
      <c r="I17" s="884">
        <v>8.5065402820156955E-3</v>
      </c>
      <c r="J17" s="884">
        <v>2.5882219500718229E-2</v>
      </c>
      <c r="K17" s="884">
        <v>9.0667455547039033E-2</v>
      </c>
      <c r="L17" s="885">
        <v>7.3032807433557112E-2</v>
      </c>
      <c r="M17" s="885">
        <v>2.5301927741606001E-2</v>
      </c>
      <c r="N17" s="885">
        <v>3.3730368724933735E-2</v>
      </c>
      <c r="O17" s="885">
        <v>2.301053135157205E-2</v>
      </c>
      <c r="P17" s="884">
        <v>1.9685428964515195E-2</v>
      </c>
      <c r="Q17" s="884">
        <v>1.9764681807515894E-2</v>
      </c>
      <c r="R17" s="884">
        <v>2.0201725296626893E-2</v>
      </c>
      <c r="S17" s="884">
        <v>1.9997326712768881E-2</v>
      </c>
      <c r="T17" s="884">
        <v>1.9997326712768881E-2</v>
      </c>
      <c r="U17" s="884">
        <v>1.9997326712768881E-2</v>
      </c>
      <c r="V17" s="884">
        <v>1.9997326712768881E-2</v>
      </c>
      <c r="W17" s="860"/>
      <c r="X17" s="860"/>
      <c r="Y17" s="860"/>
      <c r="Z17" s="860"/>
      <c r="AA17" s="860"/>
      <c r="AB17" s="860"/>
      <c r="AC17" s="860"/>
    </row>
    <row r="18" spans="1:29" s="869" customFormat="1" ht="14.5">
      <c r="H18" s="892"/>
      <c r="I18" s="893"/>
      <c r="J18" s="893"/>
      <c r="K18" s="893"/>
      <c r="L18" s="893"/>
      <c r="M18" s="893"/>
      <c r="N18" s="893"/>
      <c r="O18" s="893"/>
      <c r="P18" s="892"/>
      <c r="Q18" s="892"/>
      <c r="R18" s="894"/>
      <c r="S18" s="894"/>
      <c r="T18" s="894"/>
      <c r="U18" s="894"/>
      <c r="V18" s="894"/>
      <c r="W18" s="860"/>
      <c r="X18" s="860"/>
      <c r="Y18" s="860"/>
      <c r="Z18" s="860"/>
      <c r="AA18" s="860"/>
      <c r="AB18" s="860"/>
      <c r="AC18" s="860"/>
    </row>
    <row r="19" spans="1:29" s="869" customFormat="1" ht="14.5">
      <c r="A19" s="874" t="s">
        <v>1005</v>
      </c>
      <c r="E19" s="895"/>
      <c r="F19" s="896"/>
      <c r="G19" s="896"/>
      <c r="H19" s="896"/>
      <c r="I19" s="896"/>
      <c r="J19" s="896"/>
      <c r="K19" s="896"/>
      <c r="L19" s="896"/>
      <c r="M19" s="896"/>
      <c r="N19" s="896"/>
      <c r="O19" s="896"/>
      <c r="P19" s="896"/>
      <c r="Q19" s="896"/>
      <c r="R19" s="896"/>
      <c r="S19" s="896"/>
      <c r="T19" s="896"/>
      <c r="U19" s="896"/>
      <c r="V19" s="896"/>
      <c r="W19" s="860"/>
      <c r="X19" s="860"/>
      <c r="Y19" s="860"/>
      <c r="Z19" s="860"/>
      <c r="AA19" s="860"/>
      <c r="AB19" s="860"/>
      <c r="AC19" s="860"/>
    </row>
    <row r="20" spans="1:29" s="869" customFormat="1" ht="14.5">
      <c r="A20" s="872" t="s">
        <v>1006</v>
      </c>
      <c r="B20" s="869" t="s">
        <v>1007</v>
      </c>
      <c r="D20" s="897">
        <f ca="1">AVERAGEIFS('I2 - Monthly Inflation'!$J:$J,'I2 - Monthly Inflation'!$A:$A,"&gt;"&amp;DATE(D$14 - 1, 3, 31),'I2 - Monthly Inflation'!$A:$A,"&lt;"&amp;DATE(D$14, 4, 1))</f>
        <v>256.66666666666669</v>
      </c>
      <c r="E20" s="897">
        <f ca="1">AVERAGEIFS('I2 - Monthly Inflation'!$J:$J,'I2 - Monthly Inflation'!$A:$A,"&gt;"&amp;DATE(E$14 - 1, 3, 31),'I2 - Monthly Inflation'!$A:$A,"&lt;"&amp;DATE(E$14, 4, 1))</f>
        <v>259.43333333333334</v>
      </c>
      <c r="F20" s="897">
        <f ca="1">AVERAGEIFS('I2 - Monthly Inflation'!$J:$J,'I2 - Monthly Inflation'!$A:$A,"&gt;"&amp;DATE(F$14 - 1, 3, 31),'I2 - Monthly Inflation'!$A:$A,"&lt;"&amp;DATE(F$14, 4, 1))</f>
        <v>264.99166666666673</v>
      </c>
      <c r="G20" s="897">
        <f ca="1">AVERAGEIFS('I2 - Monthly Inflation'!$J:$J,'I2 - Monthly Inflation'!$A:$A,"&gt;"&amp;DATE(G$14 - 1, 3, 31),'I2 - Monthly Inflation'!$A:$A,"&lt;"&amp;DATE(G$14, 4, 1))</f>
        <v>274.90833333333336</v>
      </c>
      <c r="H20" s="897">
        <f ca="1">AVERAGEIFS('I2 - Monthly Inflation'!$J:$J,'I2 - Monthly Inflation'!$A:$A,"&gt;"&amp;DATE(H$14 - 1, 3, 31),'I2 - Monthly Inflation'!$A:$A,"&lt;"&amp;DATE(H$14, 4, 1))</f>
        <v>283.30833333333334</v>
      </c>
      <c r="I20" s="897">
        <f ca="1">AVERAGEIFS('I2 - Monthly Inflation'!$J:$J,'I2 - Monthly Inflation'!$A:$A,"&gt;"&amp;DATE(I$14 - 1, 3, 31),'I2 - Monthly Inflation'!$A:$A,"&lt;"&amp;DATE(I$14, 4, 1))</f>
        <v>290.64166666666665</v>
      </c>
      <c r="J20" s="897">
        <f ca="1">AVERAGEIFS('I2 - Monthly Inflation'!$J:$J,'I2 - Monthly Inflation'!$A:$A,"&gt;"&amp;DATE(J$14 - 1, 3, 31),'I2 - Monthly Inflation'!$A:$A,"&lt;"&amp;DATE(J$14, 4, 1))</f>
        <v>294.16666666666669</v>
      </c>
      <c r="K20" s="897">
        <f ca="1">AVERAGEIFS('I2 - Monthly Inflation'!$J:$J,'I2 - Monthly Inflation'!$A:$A,"&gt;"&amp;DATE(K$14 - 1, 3, 31),'I2 - Monthly Inflation'!$A:$A,"&lt;"&amp;DATE(K$14, 4, 1))</f>
        <v>311.1583333333333</v>
      </c>
      <c r="L20" s="897">
        <f ca="1">AVERAGEIFS('I2 - Monthly Inflation'!$J:$J,'I2 - Monthly Inflation'!$A:$A,"&gt;"&amp;DATE(L$14 - 1, 3, 31),'I2 - Monthly Inflation'!$A:$A,"&lt;"&amp;DATE(L$14, 4, 1))</f>
        <v>351.2166666666667</v>
      </c>
      <c r="M20" s="897">
        <f ca="1">AVERAGEIFS('I2 - Monthly Inflation'!$J:$J,'I2 - Monthly Inflation'!$A:$A,"&gt;"&amp;DATE(M$14 - 1, 3, 31),'I2 - Monthly Inflation'!$A:$A,"&lt;"&amp;DATE(M$14, 4, 1))</f>
        <v>377.48333333333341</v>
      </c>
      <c r="N20" s="897">
        <f ca="1">AVERAGEIFS('I2 - Monthly Inflation'!$J:$J,'I2 - Monthly Inflation'!$A:$A,"&gt;"&amp;DATE(N$14 - 1, 3, 31),'I2 - Monthly Inflation'!$A:$A,"&lt;"&amp;DATE(N$14, 4, 1))</f>
        <v>389.95</v>
      </c>
      <c r="O20" s="897">
        <f ca="1">AVERAGEIFS('I2 - Monthly Inflation'!$J:$J,'I2 - Monthly Inflation'!$A:$A,"&gt;"&amp;DATE(O$14 - 1, 3, 31),'I2 - Monthly Inflation'!$A:$A,"&lt;"&amp;DATE(O$14, 4, 1))</f>
        <v>406.42499999999995</v>
      </c>
      <c r="P20" s="897">
        <f ca="1">AVERAGEIFS('I2 - Monthly Inflation'!$J:$J,'I2 - Monthly Inflation'!$A:$A,"&gt;"&amp;DATE(P$14 - 1, 3, 31),'I2 - Monthly Inflation'!$A:$A,"&lt;"&amp;DATE(P$14, 4, 1))</f>
        <v>420.08086683091739</v>
      </c>
      <c r="Q20" s="897">
        <f ca="1">AVERAGEIFS('I2 - Monthly Inflation'!$J:$J,'I2 - Monthly Inflation'!$A:$A,"&gt;"&amp;DATE(Q$14 - 1, 3, 31),'I2 - Monthly Inflation'!$A:$A,"&lt;"&amp;DATE(Q$14, 4, 1))</f>
        <v>432.37019364972775</v>
      </c>
      <c r="R20" s="897">
        <f ca="1">AVERAGEIFS('I2 - Monthly Inflation'!$J:$J,'I2 - Monthly Inflation'!$A:$A,"&gt;"&amp;DATE(R$14 - 1, 3, 31),'I2 - Monthly Inflation'!$A:$A,"&lt;"&amp;DATE(R$14, 4, 1))</f>
        <v>444.55158842643317</v>
      </c>
      <c r="S20" s="897">
        <f ca="1">AVERAGEIFS('I2 - Monthly Inflation'!$J:$J,'I2 - Monthly Inflation'!$A:$A,"&gt;"&amp;DATE(S$14 - 1, 3, 31),'I2 - Monthly Inflation'!$A:$A,"&lt;"&amp;DATE(S$14, 4, 1))</f>
        <v>456.4631947574303</v>
      </c>
      <c r="T20" s="897">
        <f ca="1">AVERAGEIFS('I2 - Monthly Inflation'!$J:$J,'I2 - Monthly Inflation'!$A:$A,"&gt;"&amp;DATE(T$14 - 1, 3, 31),'I2 - Monthly Inflation'!$A:$A,"&lt;"&amp;DATE(T$14, 4, 1))</f>
        <v>467.88344190161905</v>
      </c>
      <c r="U20" s="897">
        <f ca="1">AVERAGEIFS('I2 - Monthly Inflation'!$J:$J,'I2 - Monthly Inflation'!$A:$A,"&gt;"&amp;DATE(U$14 - 1, 3, 31),'I2 - Monthly Inflation'!$A:$A,"&lt;"&amp;DATE(U$14, 4, 1))</f>
        <v>481.84802395636092</v>
      </c>
      <c r="V20" s="897">
        <f ca="1">AVERAGEIFS('I2 - Monthly Inflation'!$J:$J,'I2 - Monthly Inflation'!$A:$A,"&gt;"&amp;DATE(V$14 - 1, 3, 31),'I2 - Monthly Inflation'!$A:$A,"&lt;"&amp;DATE(V$14, 4, 1))</f>
        <v>496.30346467505245</v>
      </c>
      <c r="W20" s="860"/>
      <c r="X20" s="860"/>
      <c r="Y20" s="860"/>
      <c r="Z20" s="860"/>
      <c r="AA20" s="860"/>
      <c r="AB20" s="860"/>
      <c r="AC20" s="860"/>
    </row>
    <row r="21" spans="1:29" s="869" customFormat="1" ht="14.5">
      <c r="A21" s="898" t="s">
        <v>1008</v>
      </c>
      <c r="B21" s="869" t="s">
        <v>538</v>
      </c>
      <c r="D21" s="889"/>
      <c r="E21" s="899">
        <f t="shared" ref="E21:V21" ca="1" si="1">E20/D20-1</f>
        <v>1.0779220779220777E-2</v>
      </c>
      <c r="F21" s="899">
        <f t="shared" ca="1" si="1"/>
        <v>2.1424900424001248E-2</v>
      </c>
      <c r="G21" s="899">
        <f t="shared" ca="1" si="1"/>
        <v>3.7422560457875953E-2</v>
      </c>
      <c r="H21" s="899">
        <f t="shared" ca="1" si="1"/>
        <v>3.0555639758707454E-2</v>
      </c>
      <c r="I21" s="899">
        <f t="shared" ca="1" si="1"/>
        <v>2.5884636879724532E-2</v>
      </c>
      <c r="J21" s="899">
        <f t="shared" ca="1" si="1"/>
        <v>1.2128336726209277E-2</v>
      </c>
      <c r="K21" s="899">
        <f t="shared" ca="1" si="1"/>
        <v>5.7762039660056441E-2</v>
      </c>
      <c r="L21" s="899">
        <f t="shared" ca="1" si="1"/>
        <v>0.12873938777149907</v>
      </c>
      <c r="M21" s="899">
        <f t="shared" ca="1" si="1"/>
        <v>7.4787642955440825E-2</v>
      </c>
      <c r="N21" s="899">
        <f t="shared" ca="1" si="1"/>
        <v>3.3025740650801216E-2</v>
      </c>
      <c r="O21" s="899">
        <f t="shared" ca="1" si="1"/>
        <v>4.224900628285666E-2</v>
      </c>
      <c r="P21" s="899">
        <f t="shared" ca="1" si="1"/>
        <v>3.3599967597754743E-2</v>
      </c>
      <c r="Q21" s="899">
        <f t="shared" ca="1" si="1"/>
        <v>2.925466925337683E-2</v>
      </c>
      <c r="R21" s="899">
        <f t="shared" ca="1" si="1"/>
        <v>2.8173530358047261E-2</v>
      </c>
      <c r="S21" s="899">
        <f t="shared" ca="1" si="1"/>
        <v>2.6794654751229885E-2</v>
      </c>
      <c r="T21" s="899">
        <f t="shared" ca="1" si="1"/>
        <v>2.5018987895086608E-2</v>
      </c>
      <c r="U21" s="899">
        <f t="shared" ca="1" si="1"/>
        <v>2.9846283933420592E-2</v>
      </c>
      <c r="V21" s="899">
        <f t="shared" ca="1" si="1"/>
        <v>3.0000000000001359E-2</v>
      </c>
      <c r="W21" s="860"/>
      <c r="X21" s="860"/>
      <c r="Y21" s="860"/>
      <c r="Z21" s="860"/>
      <c r="AA21" s="860"/>
      <c r="AB21" s="860"/>
      <c r="AC21" s="860"/>
    </row>
    <row r="22" spans="1:29" s="869" customFormat="1" ht="14.5">
      <c r="A22" s="872"/>
      <c r="D22" s="896"/>
      <c r="E22" s="896"/>
      <c r="F22" s="896"/>
      <c r="G22" s="896"/>
      <c r="H22" s="896"/>
      <c r="I22" s="896"/>
      <c r="J22" s="896"/>
      <c r="K22" s="896"/>
      <c r="L22" s="896"/>
      <c r="M22" s="896"/>
      <c r="N22" s="896"/>
      <c r="O22" s="896"/>
      <c r="P22" s="896"/>
      <c r="Q22" s="896"/>
      <c r="R22" s="896"/>
      <c r="S22" s="896"/>
      <c r="T22" s="896"/>
      <c r="U22" s="896"/>
      <c r="V22" s="896"/>
      <c r="W22" s="860"/>
      <c r="X22" s="860"/>
      <c r="Y22" s="860"/>
      <c r="Z22" s="860"/>
      <c r="AA22" s="860"/>
      <c r="AB22" s="860"/>
      <c r="AC22" s="860"/>
    </row>
    <row r="23" spans="1:29" s="869" customFormat="1" ht="14.5">
      <c r="A23" s="872" t="s">
        <v>1009</v>
      </c>
      <c r="B23" s="869" t="s">
        <v>1007</v>
      </c>
      <c r="D23" s="897">
        <f ca="1">AVERAGEIFS('I2 - Monthly Inflation'!$I:$I,'I2 - Monthly Inflation'!$A:$A,"&gt;"&amp;DATE(D$14 - 1, 3, 31),'I2 - Monthly Inflation'!$A:$A,"&lt;"&amp;DATE(D$14, 4, 1))</f>
        <v>99.72499999999998</v>
      </c>
      <c r="E23" s="897">
        <f ca="1">AVERAGEIFS('I2 - Monthly Inflation'!$I:$I,'I2 - Monthly Inflation'!$A:$A,"&gt;"&amp;DATE(E$14 - 1, 3, 31),'I2 - Monthly Inflation'!$A:$A,"&lt;"&amp;DATE(E$14, 4, 1))</f>
        <v>100.16666666666667</v>
      </c>
      <c r="F23" s="897">
        <f ca="1">AVERAGEIFS('I2 - Monthly Inflation'!$I:$I,'I2 - Monthly Inflation'!$A:$A,"&gt;"&amp;DATE(F$14 - 1, 3, 31),'I2 - Monthly Inflation'!$A:$A,"&lt;"&amp;DATE(F$14, 4, 1))</f>
        <v>101.54166666666667</v>
      </c>
      <c r="G23" s="897">
        <f ca="1">AVERAGEIFS('I2 - Monthly Inflation'!$I:$I,'I2 - Monthly Inflation'!$A:$A,"&gt;"&amp;DATE(G$14 - 1, 3, 31),'I2 - Monthly Inflation'!$A:$A,"&lt;"&amp;DATE(G$14, 4, 1))</f>
        <v>104.21666666666665</v>
      </c>
      <c r="H23" s="897">
        <f ca="1">AVERAGEIFS('I2 - Monthly Inflation'!$I:$I,'I2 - Monthly Inflation'!$A:$A,"&gt;"&amp;DATE(H$14 - 1, 3, 31),'I2 - Monthly Inflation'!$A:$A,"&lt;"&amp;DATE(H$14, 4, 1))</f>
        <v>106.43333333333334</v>
      </c>
      <c r="I23" s="897">
        <f ca="1">AVERAGEIFS('I2 - Monthly Inflation'!$I:$I,'I2 - Monthly Inflation'!$A:$A,"&gt;"&amp;DATE(I$14 - 1, 3, 31),'I2 - Monthly Inflation'!$A:$A,"&lt;"&amp;DATE(I$14, 4, 1))</f>
        <v>108.24166666666663</v>
      </c>
      <c r="J23" s="897">
        <f ca="1">AVERAGEIFS('I2 - Monthly Inflation'!$I:$I,'I2 - Monthly Inflation'!$A:$A,"&gt;"&amp;DATE(J$14 - 1, 3, 31),'I2 - Monthly Inflation'!$A:$A,"&lt;"&amp;DATE(J$14, 4, 1))</f>
        <v>109.10833333333335</v>
      </c>
      <c r="K23" s="897">
        <f ca="1">AVERAGEIFS('I2 - Monthly Inflation'!$I:$I,'I2 - Monthly Inflation'!$A:$A,"&gt;"&amp;DATE(K$14 - 1, 3, 31),'I2 - Monthly Inflation'!$A:$A,"&lt;"&amp;DATE(K$14, 4, 1))</f>
        <v>113.11666666666667</v>
      </c>
      <c r="L23" s="897">
        <f ca="1">AVERAGEIFS('I2 - Monthly Inflation'!$I:$I,'I2 - Monthly Inflation'!$A:$A,"&gt;"&amp;DATE(L$14 - 1, 3, 31),'I2 - Monthly Inflation'!$A:$A,"&lt;"&amp;DATE(L$14, 4, 1))</f>
        <v>123.04166666666664</v>
      </c>
      <c r="M23" s="897">
        <f ca="1">AVERAGEIFS('I2 - Monthly Inflation'!$I:$I,'I2 - Monthly Inflation'!$A:$A,"&gt;"&amp;DATE(M$14 - 1, 3, 31),'I2 - Monthly Inflation'!$A:$A,"&lt;"&amp;DATE(M$14, 4, 1))</f>
        <v>129.86666666666665</v>
      </c>
      <c r="N23" s="897">
        <f ca="1">AVERAGEIFS('I2 - Monthly Inflation'!$I:$I,'I2 - Monthly Inflation'!$A:$A,"&gt;"&amp;DATE(N$14 - 1, 3, 31),'I2 - Monthly Inflation'!$A:$A,"&lt;"&amp;DATE(N$14, 4, 1))</f>
        <v>134.04166666666663</v>
      </c>
      <c r="O23" s="897">
        <f ca="1">AVERAGEIFS('I2 - Monthly Inflation'!$I:$I,'I2 - Monthly Inflation'!$A:$A,"&gt;"&amp;DATE(O$14 - 1, 3, 31),'I2 - Monthly Inflation'!$A:$A,"&lt;"&amp;DATE(O$14, 4, 1))</f>
        <v>139.11666666666667</v>
      </c>
      <c r="P23" s="897">
        <f ca="1">AVERAGEIFS('I2 - Monthly Inflation'!$I:$I,'I2 - Monthly Inflation'!$A:$A,"&gt;"&amp;DATE(P$14 - 1, 3, 31),'I2 - Monthly Inflation'!$A:$A,"&lt;"&amp;DATE(P$14, 4, 1))</f>
        <v>143.17563844850307</v>
      </c>
      <c r="Q23" s="897">
        <f ca="1">AVERAGEIFS('I2 - Monthly Inflation'!$I:$I,'I2 - Monthly Inflation'!$A:$A,"&gt;"&amp;DATE(Q$14 - 1, 3, 31),'I2 - Monthly Inflation'!$A:$A,"&lt;"&amp;DATE(Q$14, 4, 1))</f>
        <v>146.16065351422969</v>
      </c>
      <c r="R23" s="897">
        <f ca="1">AVERAGEIFS('I2 - Monthly Inflation'!$I:$I,'I2 - Monthly Inflation'!$A:$A,"&gt;"&amp;DATE(R$14 - 1, 3, 31),'I2 - Monthly Inflation'!$A:$A,"&lt;"&amp;DATE(R$14, 4, 1))</f>
        <v>149.16594876497314</v>
      </c>
      <c r="S23" s="897">
        <f ca="1">AVERAGEIFS('I2 - Monthly Inflation'!$I:$I,'I2 - Monthly Inflation'!$A:$A,"&gt;"&amp;DATE(S$14 - 1, 3, 31),'I2 - Monthly Inflation'!$A:$A,"&lt;"&amp;DATE(S$14, 4, 1))</f>
        <v>152.30227471232553</v>
      </c>
      <c r="T23" s="897">
        <f ca="1">AVERAGEIFS('I2 - Monthly Inflation'!$I:$I,'I2 - Monthly Inflation'!$A:$A,"&gt;"&amp;DATE(T$14 - 1, 3, 31),'I2 - Monthly Inflation'!$A:$A,"&lt;"&amp;DATE(T$14, 4, 1))</f>
        <v>155.47704453123606</v>
      </c>
      <c r="U23" s="897">
        <f ca="1">AVERAGEIFS('I2 - Monthly Inflation'!$I:$I,'I2 - Monthly Inflation'!$A:$A,"&gt;"&amp;DATE(U$14 - 1, 3, 31),'I2 - Monthly Inflation'!$A:$A,"&lt;"&amp;DATE(U$14, 4, 1))</f>
        <v>158.59056905988692</v>
      </c>
      <c r="V23" s="897">
        <f ca="1">AVERAGEIFS('I2 - Monthly Inflation'!$I:$I,'I2 - Monthly Inflation'!$A:$A,"&gt;"&amp;DATE(V$14 - 1, 3, 31),'I2 - Monthly Inflation'!$A:$A,"&lt;"&amp;DATE(V$14, 4, 1))</f>
        <v>161.76238044108476</v>
      </c>
      <c r="W23" s="860"/>
      <c r="X23" s="860"/>
      <c r="Y23" s="860"/>
      <c r="Z23" s="860"/>
      <c r="AA23" s="860"/>
      <c r="AB23" s="860"/>
      <c r="AC23" s="860"/>
    </row>
    <row r="24" spans="1:29" s="869" customFormat="1" ht="14.5">
      <c r="A24" s="872" t="s">
        <v>1010</v>
      </c>
      <c r="B24" s="869" t="s">
        <v>538</v>
      </c>
      <c r="D24" s="889"/>
      <c r="E24" s="899">
        <f t="shared" ref="E24:V24" ca="1" si="2">E23/D23-1</f>
        <v>4.4288459931480784E-3</v>
      </c>
      <c r="F24" s="899">
        <f t="shared" ca="1" si="2"/>
        <v>1.3727121464226277E-2</v>
      </c>
      <c r="G24" s="899">
        <f t="shared" ca="1" si="2"/>
        <v>2.6343865408288814E-2</v>
      </c>
      <c r="H24" s="899">
        <f t="shared" ca="1" si="2"/>
        <v>2.1269790500559882E-2</v>
      </c>
      <c r="I24" s="899">
        <f t="shared" ca="1" si="2"/>
        <v>1.6990291262135582E-2</v>
      </c>
      <c r="J24" s="899">
        <f t="shared" ca="1" si="2"/>
        <v>8.0067749634311625E-3</v>
      </c>
      <c r="K24" s="899">
        <f t="shared" ca="1" si="2"/>
        <v>3.6737187810280236E-2</v>
      </c>
      <c r="L24" s="899">
        <f t="shared" ca="1" si="2"/>
        <v>8.7741270075143429E-2</v>
      </c>
      <c r="M24" s="899">
        <f t="shared" ca="1" si="2"/>
        <v>5.5469014561462915E-2</v>
      </c>
      <c r="N24" s="899">
        <f t="shared" ca="1" si="2"/>
        <v>3.2148357289527585E-2</v>
      </c>
      <c r="O24" s="899">
        <f t="shared" ca="1" si="2"/>
        <v>3.7861361516941638E-2</v>
      </c>
      <c r="P24" s="899">
        <f t="shared" ca="1" si="2"/>
        <v>2.9176746964200806E-2</v>
      </c>
      <c r="Q24" s="899">
        <f t="shared" ca="1" si="2"/>
        <v>2.0848624096062807E-2</v>
      </c>
      <c r="R24" s="899">
        <f t="shared" ca="1" si="2"/>
        <v>2.056158876199099E-2</v>
      </c>
      <c r="S24" s="899">
        <f t="shared" ca="1" si="2"/>
        <v>2.1025750000718935E-2</v>
      </c>
      <c r="T24" s="899">
        <f t="shared" ca="1" si="2"/>
        <v>2.0845189770849926E-2</v>
      </c>
      <c r="U24" s="899">
        <f t="shared" ca="1" si="2"/>
        <v>2.0025622033388535E-2</v>
      </c>
      <c r="V24" s="899">
        <f t="shared" ca="1" si="2"/>
        <v>2.0000000000000684E-2</v>
      </c>
      <c r="W24" s="860"/>
      <c r="X24" s="860"/>
      <c r="Y24" s="860"/>
      <c r="Z24" s="860"/>
      <c r="AA24" s="860"/>
      <c r="AB24" s="860"/>
      <c r="AC24" s="860"/>
    </row>
    <row r="25" spans="1:29" s="869" customFormat="1" ht="14.5">
      <c r="A25" s="872"/>
      <c r="D25" s="896"/>
      <c r="E25" s="896"/>
      <c r="F25" s="896"/>
      <c r="G25" s="896"/>
      <c r="H25" s="896"/>
      <c r="I25" s="896"/>
      <c r="J25" s="896"/>
      <c r="K25" s="896"/>
      <c r="L25" s="896"/>
      <c r="M25" s="896"/>
      <c r="N25" s="896"/>
      <c r="O25" s="896"/>
      <c r="P25" s="896"/>
      <c r="Q25" s="896"/>
      <c r="R25" s="896"/>
      <c r="S25" s="896"/>
      <c r="T25" s="896"/>
      <c r="U25" s="896"/>
      <c r="V25" s="896"/>
      <c r="W25" s="860"/>
      <c r="X25" s="860"/>
      <c r="Y25" s="860"/>
      <c r="Z25" s="860"/>
      <c r="AA25" s="860"/>
      <c r="AB25" s="860"/>
      <c r="AC25" s="860"/>
    </row>
    <row r="26" spans="1:29" s="869" customFormat="1" ht="14.5">
      <c r="A26" s="900" t="s">
        <v>1011</v>
      </c>
      <c r="W26" s="860"/>
      <c r="X26" s="860"/>
      <c r="Y26" s="860"/>
      <c r="Z26" s="860"/>
      <c r="AA26" s="860"/>
      <c r="AB26" s="860"/>
      <c r="AC26" s="860"/>
    </row>
    <row r="27" spans="1:29" ht="16">
      <c r="A27" s="901" t="s">
        <v>182</v>
      </c>
      <c r="B27" s="869" t="s">
        <v>1012</v>
      </c>
      <c r="D27" s="902"/>
      <c r="E27" s="903">
        <v>5.0781749999999981E-3</v>
      </c>
      <c r="F27" s="903">
        <v>3.4351165354330696E-3</v>
      </c>
      <c r="G27" s="903">
        <v>3.5873463999999927E-3</v>
      </c>
      <c r="H27" s="903">
        <v>6.6127083003952522E-3</v>
      </c>
      <c r="I27" s="903">
        <v>6.8032334645669254E-3</v>
      </c>
      <c r="J27" s="903">
        <v>7.1293557312252962E-4</v>
      </c>
      <c r="K27" s="903">
        <v>1.7992043478260893E-3</v>
      </c>
      <c r="L27" s="903">
        <v>1.6124834482758615E-2</v>
      </c>
      <c r="M27" s="903">
        <v>0</v>
      </c>
      <c r="N27" s="903">
        <v>0</v>
      </c>
      <c r="O27" s="903">
        <v>0</v>
      </c>
      <c r="P27" s="903">
        <v>0</v>
      </c>
      <c r="Q27" s="903">
        <v>0</v>
      </c>
      <c r="R27" s="903">
        <v>0</v>
      </c>
      <c r="S27" s="903">
        <v>0</v>
      </c>
      <c r="T27" s="903">
        <v>0</v>
      </c>
      <c r="U27" s="903">
        <v>0</v>
      </c>
      <c r="V27" s="903">
        <v>0</v>
      </c>
    </row>
    <row r="28" spans="1:29" ht="16">
      <c r="A28" s="901" t="s">
        <v>192</v>
      </c>
      <c r="B28" s="869" t="s">
        <v>1012</v>
      </c>
      <c r="D28" s="904"/>
      <c r="E28" s="903">
        <v>5.8068182539682423E-3</v>
      </c>
      <c r="F28" s="903">
        <v>4.3909897637795323E-3</v>
      </c>
      <c r="G28" s="903">
        <v>4.1095687999999977E-3</v>
      </c>
      <c r="H28" s="903">
        <v>8.0087794466403173E-3</v>
      </c>
      <c r="I28" s="903">
        <v>7.5744059055118116E-3</v>
      </c>
      <c r="J28" s="903">
        <v>1.3609695652173914E-3</v>
      </c>
      <c r="K28" s="903">
        <v>2.7350237154150202E-3</v>
      </c>
      <c r="L28" s="903">
        <v>2.0728227586206897E-2</v>
      </c>
      <c r="M28" s="903">
        <v>0</v>
      </c>
      <c r="N28" s="903">
        <v>0</v>
      </c>
      <c r="O28" s="903">
        <v>0</v>
      </c>
      <c r="P28" s="903">
        <v>0</v>
      </c>
      <c r="Q28" s="903">
        <v>0</v>
      </c>
      <c r="R28" s="903">
        <v>0</v>
      </c>
      <c r="S28" s="903">
        <v>0</v>
      </c>
      <c r="T28" s="903">
        <v>0</v>
      </c>
      <c r="U28" s="903">
        <v>0</v>
      </c>
      <c r="V28" s="903">
        <v>0</v>
      </c>
    </row>
    <row r="29" spans="1:29" ht="16">
      <c r="A29" s="901" t="s">
        <v>201</v>
      </c>
      <c r="B29" s="869" t="s">
        <v>1012</v>
      </c>
      <c r="D29" s="904"/>
      <c r="E29" s="903">
        <v>7.3433785714285757E-3</v>
      </c>
      <c r="F29" s="903">
        <v>5.8573948818897627E-3</v>
      </c>
      <c r="G29" s="903">
        <v>5.2583908000000011E-3</v>
      </c>
      <c r="H29" s="903">
        <v>9.1325312252964405E-3</v>
      </c>
      <c r="I29" s="903">
        <v>8.273687007874014E-3</v>
      </c>
      <c r="J29" s="903">
        <v>1.9395011857707503E-3</v>
      </c>
      <c r="K29" s="903">
        <v>4.3624873517786591E-3</v>
      </c>
      <c r="L29" s="903">
        <v>2.6949648275862076E-2</v>
      </c>
      <c r="M29" s="903">
        <v>0</v>
      </c>
      <c r="N29" s="903">
        <v>0</v>
      </c>
      <c r="O29" s="903">
        <v>0</v>
      </c>
      <c r="P29" s="903">
        <v>0</v>
      </c>
      <c r="Q29" s="903">
        <v>0</v>
      </c>
      <c r="R29" s="903">
        <v>0</v>
      </c>
      <c r="S29" s="903">
        <v>0</v>
      </c>
      <c r="T29" s="903">
        <v>0</v>
      </c>
      <c r="U29" s="903">
        <v>0</v>
      </c>
      <c r="V29" s="903">
        <v>0</v>
      </c>
    </row>
    <row r="30" spans="1:29" ht="16">
      <c r="A30" s="901" t="s">
        <v>209</v>
      </c>
      <c r="B30" s="869" t="s">
        <v>1012</v>
      </c>
      <c r="D30" s="904"/>
      <c r="E30" s="903">
        <v>1.0276014682539681E-2</v>
      </c>
      <c r="F30" s="903">
        <v>8.2560413385826831E-3</v>
      </c>
      <c r="G30" s="903">
        <v>7.3098551999999963E-3</v>
      </c>
      <c r="H30" s="903">
        <v>1.0661026482213445E-2</v>
      </c>
      <c r="I30" s="903">
        <v>9.1932188976377952E-3</v>
      </c>
      <c r="J30" s="903">
        <v>2.9339932806324107E-3</v>
      </c>
      <c r="K30" s="903">
        <v>6.4837596837944711E-3</v>
      </c>
      <c r="L30" s="903">
        <v>3.0349648275862076E-2</v>
      </c>
      <c r="M30" s="903">
        <v>0</v>
      </c>
      <c r="N30" s="903">
        <v>0</v>
      </c>
      <c r="O30" s="903">
        <v>0</v>
      </c>
      <c r="P30" s="903">
        <v>0</v>
      </c>
      <c r="Q30" s="903">
        <v>0</v>
      </c>
      <c r="R30" s="903">
        <v>0</v>
      </c>
      <c r="S30" s="903">
        <v>0</v>
      </c>
      <c r="T30" s="903">
        <v>0</v>
      </c>
      <c r="U30" s="903">
        <v>0</v>
      </c>
      <c r="V30" s="903">
        <v>0</v>
      </c>
    </row>
    <row r="31" spans="1:29" ht="16">
      <c r="A31" s="901" t="s">
        <v>214</v>
      </c>
      <c r="B31" s="869" t="s">
        <v>1012</v>
      </c>
      <c r="D31" s="905"/>
      <c r="E31" s="903">
        <v>4.6020119047619082E-3</v>
      </c>
      <c r="F31" s="903">
        <v>2.9717686274509819E-3</v>
      </c>
      <c r="G31" s="903">
        <v>3.1490079681274906E-3</v>
      </c>
      <c r="H31" s="903">
        <v>6.1974703557312293E-3</v>
      </c>
      <c r="I31" s="903">
        <v>6.76011023622047E-3</v>
      </c>
      <c r="J31" s="903">
        <v>5.5921739130434752E-4</v>
      </c>
      <c r="K31" s="903">
        <v>1.4230988142292492E-3</v>
      </c>
      <c r="L31" s="903">
        <v>2.2631043824701203E-2</v>
      </c>
      <c r="M31" s="903">
        <v>4.9711560000000037E-2</v>
      </c>
      <c r="N31" s="903">
        <v>4.8984854330708795E-2</v>
      </c>
      <c r="O31" s="903">
        <v>4.0094861660079049E-2</v>
      </c>
      <c r="P31" s="903">
        <v>3.8717342534891182E-2</v>
      </c>
      <c r="Q31" s="903">
        <v>4.3496419004187152E-2</v>
      </c>
      <c r="R31" s="903">
        <v>4.3675980200067729E-2</v>
      </c>
      <c r="S31" s="903">
        <v>4.3702328768934651E-2</v>
      </c>
      <c r="T31" s="903">
        <v>4.4538281462511355E-2</v>
      </c>
      <c r="U31" s="903">
        <v>4.5778735543070333E-2</v>
      </c>
      <c r="V31" s="903">
        <v>4.7223338757520002E-2</v>
      </c>
    </row>
    <row r="32" spans="1:29" ht="14.5"/>
    <row r="33" spans="16:22" ht="14.5">
      <c r="P33" s="869"/>
      <c r="Q33" s="869"/>
      <c r="R33" s="869"/>
      <c r="S33" s="869"/>
      <c r="T33" s="869"/>
      <c r="U33" s="869"/>
      <c r="V33" s="869"/>
    </row>
    <row r="34" spans="16:22" ht="15" customHeight="1">
      <c r="P34" s="869"/>
      <c r="Q34" s="869"/>
      <c r="R34" s="869"/>
      <c r="S34" s="869"/>
      <c r="T34" s="869"/>
      <c r="U34" s="869"/>
      <c r="V34" s="869"/>
    </row>
    <row r="35" spans="16:22" ht="15" customHeight="1">
      <c r="P35" s="869"/>
      <c r="Q35" s="869"/>
      <c r="R35" s="869"/>
      <c r="S35" s="869"/>
      <c r="T35" s="869"/>
      <c r="U35" s="869"/>
      <c r="V35" s="869"/>
    </row>
    <row r="36" spans="16:22" ht="15" customHeight="1">
      <c r="P36" s="869"/>
      <c r="Q36" s="869"/>
      <c r="R36" s="869"/>
      <c r="S36" s="869"/>
      <c r="T36" s="869"/>
      <c r="U36" s="869"/>
      <c r="V36" s="869"/>
    </row>
    <row r="37" spans="16:22" ht="15" customHeight="1">
      <c r="P37" s="869"/>
      <c r="Q37" s="869"/>
      <c r="R37" s="869"/>
      <c r="S37" s="869"/>
      <c r="T37" s="869"/>
      <c r="U37" s="869"/>
      <c r="V37" s="869"/>
    </row>
    <row r="38" spans="16:22" ht="15" customHeight="1">
      <c r="P38" s="869"/>
      <c r="Q38" s="869"/>
      <c r="R38" s="869"/>
      <c r="S38" s="869"/>
      <c r="T38" s="869"/>
      <c r="U38" s="869"/>
      <c r="V38" s="869"/>
    </row>
  </sheetData>
  <sheetProtection insertRows="0" sort="0" autoFilter="0" pivotTables="0"/>
  <pageMargins left="0.7" right="0.7" top="0.75" bottom="0.75" header="0.3" footer="0.3"/>
  <pageSetup orientation="portrait" r:id="rId1"/>
  <headerFooter>
    <oddHeader>&amp;C&amp;"Verdana,Regular"&amp;10&amp;K000000Internal Only</oddHeader>
    <oddFooter>&amp;C&amp;"Verdana,Regular"&amp;10&amp;K000000Internal Only_x000D_&amp;1#&amp;"Calibri"&amp;10&amp;K000000 OFFICIAL-InternalOnly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5C64C-C6E3-4F49-B6C4-689D90DF88C3}">
  <sheetPr>
    <tabColor rgb="FFFFFFCC"/>
    <pageSetUpPr autoPageBreaks="0"/>
  </sheetPr>
  <dimension ref="A1:X429"/>
  <sheetViews>
    <sheetView topLeftCell="A291" zoomScale="80" zoomScaleNormal="80" workbookViewId="0">
      <selection activeCell="E18" sqref="E18"/>
    </sheetView>
  </sheetViews>
  <sheetFormatPr defaultColWidth="9" defaultRowHeight="13.5" customHeight="1" zeroHeight="1"/>
  <cols>
    <col min="1" max="1" width="12" style="936" customWidth="1"/>
    <col min="2" max="2" width="8.3828125" style="933" customWidth="1"/>
    <col min="3" max="5" width="9.3828125" style="484" customWidth="1"/>
    <col min="6" max="6" width="9.3828125" style="934" customWidth="1"/>
    <col min="7" max="8" width="9.3828125" style="484" customWidth="1"/>
    <col min="9" max="11" width="9.3828125" style="935" customWidth="1"/>
    <col min="12" max="12" width="10" style="484" customWidth="1"/>
    <col min="13" max="22" width="13.4609375" style="484" customWidth="1"/>
    <col min="23" max="23" width="11" style="427" customWidth="1"/>
    <col min="24" max="24" width="8.4609375" style="478" customWidth="1"/>
    <col min="25" max="51" width="9" style="427" customWidth="1"/>
    <col min="52" max="16384" width="9" style="427"/>
  </cols>
  <sheetData>
    <row r="1" spans="1:24" s="910" customFormat="1" ht="19.5">
      <c r="A1" s="906" t="str">
        <f ca="1">MID(CELL("filename",A1),FIND("]",CELL("filename",A1))+1,256)</f>
        <v>I2 - Monthly Inflation</v>
      </c>
      <c r="B1" s="907"/>
      <c r="C1" s="907"/>
      <c r="D1" s="907"/>
      <c r="E1" s="907"/>
      <c r="F1" s="907"/>
      <c r="G1" s="907"/>
      <c r="H1" s="907"/>
      <c r="I1" s="907"/>
      <c r="J1" s="907"/>
      <c r="K1" s="907"/>
      <c r="L1" s="908"/>
      <c r="M1" s="909"/>
      <c r="N1" s="909"/>
      <c r="O1" s="909"/>
      <c r="P1" s="909"/>
      <c r="Q1" s="909"/>
      <c r="R1" s="909"/>
      <c r="S1" s="909"/>
      <c r="T1" s="909"/>
    </row>
    <row r="2" spans="1:24" s="910" customFormat="1" ht="19.5">
      <c r="A2" s="906" t="str">
        <f>Licensee</f>
        <v>NGET (TO)</v>
      </c>
      <c r="B2" s="907"/>
      <c r="C2" s="907"/>
      <c r="D2" s="907"/>
      <c r="E2" s="907"/>
      <c r="F2" s="907"/>
      <c r="G2" s="907"/>
      <c r="H2" s="907"/>
      <c r="I2" s="907"/>
      <c r="J2" s="907"/>
      <c r="K2" s="907"/>
      <c r="L2" s="908"/>
      <c r="M2" s="909"/>
      <c r="N2" s="909"/>
      <c r="O2" s="909"/>
      <c r="P2" s="909"/>
      <c r="Q2" s="909"/>
      <c r="R2" s="909"/>
      <c r="S2" s="909"/>
      <c r="T2" s="909"/>
    </row>
    <row r="3" spans="1:24" s="910" customFormat="1" ht="19.5">
      <c r="A3" s="911" t="str">
        <f>Sector</f>
        <v>ET2</v>
      </c>
      <c r="B3" s="912"/>
      <c r="C3" s="912"/>
      <c r="D3" s="912"/>
      <c r="E3" s="912"/>
      <c r="F3" s="912"/>
      <c r="G3" s="912"/>
      <c r="H3" s="912"/>
      <c r="I3" s="912"/>
      <c r="J3" s="912"/>
      <c r="K3" s="912"/>
      <c r="L3" s="913"/>
      <c r="M3" s="909"/>
      <c r="N3" s="909"/>
      <c r="O3" s="909"/>
      <c r="P3" s="909"/>
      <c r="Q3" s="909"/>
      <c r="R3" s="909"/>
      <c r="S3" s="909"/>
      <c r="T3" s="909"/>
    </row>
    <row r="4" spans="1:24" s="915" customFormat="1" ht="14.5">
      <c r="A4" s="450" t="s">
        <v>1013</v>
      </c>
      <c r="B4" s="450"/>
      <c r="C4" s="451"/>
      <c r="D4" s="452"/>
      <c r="E4" s="452"/>
      <c r="F4" s="452"/>
      <c r="G4" s="452"/>
      <c r="H4" s="452"/>
      <c r="I4" s="452"/>
      <c r="J4" s="452"/>
      <c r="K4" s="452"/>
      <c r="L4" s="453"/>
      <c r="M4" s="914"/>
      <c r="N4" s="914"/>
      <c r="O4" s="914"/>
      <c r="P4" s="914"/>
      <c r="Q4" s="914"/>
      <c r="R4" s="914"/>
      <c r="S4" s="914"/>
      <c r="U4" s="910"/>
      <c r="V4" s="910"/>
    </row>
    <row r="5" spans="1:24" ht="32.25" customHeight="1">
      <c r="A5" s="916" t="s">
        <v>1014</v>
      </c>
      <c r="B5" s="916" t="s">
        <v>1015</v>
      </c>
      <c r="C5" s="917" t="s">
        <v>1016</v>
      </c>
      <c r="D5" s="917" t="s">
        <v>1017</v>
      </c>
      <c r="E5" s="917" t="s">
        <v>1018</v>
      </c>
      <c r="F5" s="918" t="s">
        <v>1019</v>
      </c>
      <c r="G5" s="919" t="s">
        <v>1020</v>
      </c>
      <c r="H5" s="918" t="s">
        <v>1021</v>
      </c>
      <c r="I5" s="920" t="s">
        <v>202</v>
      </c>
      <c r="J5" s="920" t="s">
        <v>183</v>
      </c>
      <c r="K5" s="920" t="s">
        <v>193</v>
      </c>
      <c r="L5" s="921"/>
      <c r="M5" s="921"/>
      <c r="N5" s="921"/>
      <c r="O5" s="921"/>
      <c r="P5" s="921"/>
      <c r="Q5" s="921"/>
      <c r="R5" s="921"/>
      <c r="S5" s="921"/>
      <c r="T5" s="921"/>
      <c r="U5" s="921"/>
      <c r="V5" s="921"/>
      <c r="X5" s="427"/>
    </row>
    <row r="6" spans="1:24">
      <c r="A6" s="922">
        <f>EOMONTH(DATE(1999, 4, 1), 0)</f>
        <v>36280</v>
      </c>
      <c r="B6" s="923">
        <f t="shared" ref="B6:B69" si="0">IF(MONTH(A6)&gt;=4,YEAR(A6)+1,YEAR(A6))</f>
        <v>2000</v>
      </c>
      <c r="C6" s="924">
        <v>72.599999999999994</v>
      </c>
      <c r="D6" s="924">
        <v>165.2</v>
      </c>
      <c r="E6" s="924">
        <v>72.2</v>
      </c>
      <c r="F6" s="925" t="str">
        <f>IF($A6&lt;DATE(2018,7,1),"-",INDEX('I1 - Universal Data'!$E$16:$V$16, MATCH(YEAR(EOMONTH($A6,6)), 'I1 - Universal Data'!$E$14:$V$14, 0)))</f>
        <v>-</v>
      </c>
      <c r="G6" s="925" t="str">
        <f>IF($A6&lt;DATE(2018,7,1),"-",INDEX('I1 - Universal Data'!$E$15:$V$15, MATCH(YEAR(EOMONTH($A6,6)), 'I1 - Universal Data'!$E$14:$V$14, 0)))</f>
        <v>-</v>
      </c>
      <c r="H6" s="925" t="str">
        <f>IF($A6&lt;DATE(2018,7,1),"-",INDEX('I1 - Universal Data'!$E$17:$V$17, MATCH(YEAR(EOMONTH($A6,6)), 'I1 - Universal Data'!$E$14:$V$14, 0)))</f>
        <v>-</v>
      </c>
      <c r="I6" s="926">
        <f>IF(ISBLANK(C6),I5*((1+F6)^(1/12)),C6)</f>
        <v>72.599999999999994</v>
      </c>
      <c r="J6" s="926">
        <f>IF(ISBLANK(D6),J5*((1+G6)^(1/12)),D6)</f>
        <v>165.2</v>
      </c>
      <c r="K6" s="926">
        <f>IF(ISBLANK(E6),K5*((1+H6)^(1/12)),E6)</f>
        <v>72.2</v>
      </c>
      <c r="X6" s="427"/>
    </row>
    <row r="7" spans="1:24">
      <c r="A7" s="922">
        <f t="shared" ref="A7:A70" si="1">IF(MONTH(A6) = 12, EOMONTH(DATE(YEAR(A6) + 1, 1, 1), 0), EOMONTH(DATE(YEAR(A6), MONTH(A6) + 1, 1), 0))</f>
        <v>36311</v>
      </c>
      <c r="B7" s="923">
        <f t="shared" si="0"/>
        <v>2000</v>
      </c>
      <c r="C7" s="924">
        <v>72.8</v>
      </c>
      <c r="D7" s="924">
        <v>165.6</v>
      </c>
      <c r="E7" s="924">
        <v>72.400000000000006</v>
      </c>
      <c r="F7" s="925" t="str">
        <f>IF($A7&lt;DATE(2018,7,1),"-",INDEX('I1 - Universal Data'!$E$16:$V$16, MATCH(YEAR(EOMONTH($A7,6)), 'I1 - Universal Data'!$E$14:$V$14, 0)))</f>
        <v>-</v>
      </c>
      <c r="G7" s="925" t="str">
        <f>IF($A7&lt;DATE(2018,7,1),"-",INDEX('I1 - Universal Data'!$E$15:$V$15, MATCH(YEAR(EOMONTH($A7,6)), 'I1 - Universal Data'!$E$14:$V$14, 0)))</f>
        <v>-</v>
      </c>
      <c r="H7" s="925" t="str">
        <f>IF($A7&lt;DATE(2018,7,1),"-",INDEX('I1 - Universal Data'!$E$17:$V$17, MATCH(YEAR(EOMONTH($A7,6)), 'I1 - Universal Data'!$E$14:$V$14, 0)))</f>
        <v>-</v>
      </c>
      <c r="I7" s="926">
        <f t="shared" ref="I7:K22" si="2">IF(ISBLANK(C7),I6*((1+F7)^(1/12)),C7)</f>
        <v>72.8</v>
      </c>
      <c r="J7" s="926">
        <f t="shared" si="2"/>
        <v>165.6</v>
      </c>
      <c r="K7" s="926">
        <f t="shared" si="2"/>
        <v>72.400000000000006</v>
      </c>
      <c r="X7" s="427"/>
    </row>
    <row r="8" spans="1:24">
      <c r="A8" s="922">
        <f t="shared" si="1"/>
        <v>36341</v>
      </c>
      <c r="B8" s="923">
        <f t="shared" si="0"/>
        <v>2000</v>
      </c>
      <c r="C8" s="924">
        <v>72.7</v>
      </c>
      <c r="D8" s="924">
        <v>165.6</v>
      </c>
      <c r="E8" s="924">
        <v>72.3</v>
      </c>
      <c r="F8" s="925" t="str">
        <f>IF($A8&lt;DATE(2018,7,1),"-",INDEX('I1 - Universal Data'!$E$16:$V$16, MATCH(YEAR(EOMONTH($A8,6)), 'I1 - Universal Data'!$E$14:$V$14, 0)))</f>
        <v>-</v>
      </c>
      <c r="G8" s="925" t="str">
        <f>IF($A8&lt;DATE(2018,7,1),"-",INDEX('I1 - Universal Data'!$E$15:$V$15, MATCH(YEAR(EOMONTH($A8,6)), 'I1 - Universal Data'!$E$14:$V$14, 0)))</f>
        <v>-</v>
      </c>
      <c r="H8" s="925" t="str">
        <f>IF($A8&lt;DATE(2018,7,1),"-",INDEX('I1 - Universal Data'!$E$17:$V$17, MATCH(YEAR(EOMONTH($A8,6)), 'I1 - Universal Data'!$E$14:$V$14, 0)))</f>
        <v>-</v>
      </c>
      <c r="I8" s="926">
        <f t="shared" si="2"/>
        <v>72.7</v>
      </c>
      <c r="J8" s="926">
        <f t="shared" si="2"/>
        <v>165.6</v>
      </c>
      <c r="K8" s="926">
        <f t="shared" si="2"/>
        <v>72.3</v>
      </c>
      <c r="X8" s="427"/>
    </row>
    <row r="9" spans="1:24">
      <c r="A9" s="922">
        <f t="shared" si="1"/>
        <v>36372</v>
      </c>
      <c r="B9" s="923">
        <f t="shared" si="0"/>
        <v>2000</v>
      </c>
      <c r="C9" s="924">
        <v>72.400000000000006</v>
      </c>
      <c r="D9" s="924">
        <v>165.1</v>
      </c>
      <c r="E9" s="924">
        <v>71.900000000000006</v>
      </c>
      <c r="F9" s="925" t="str">
        <f>IF($A9&lt;DATE(2018,7,1),"-",INDEX('I1 - Universal Data'!$E$16:$V$16, MATCH(YEAR(EOMONTH($A9,6)), 'I1 - Universal Data'!$E$14:$V$14, 0)))</f>
        <v>-</v>
      </c>
      <c r="G9" s="925" t="str">
        <f>IF($A9&lt;DATE(2018,7,1),"-",INDEX('I1 - Universal Data'!$E$15:$V$15, MATCH(YEAR(EOMONTH($A9,6)), 'I1 - Universal Data'!$E$14:$V$14, 0)))</f>
        <v>-</v>
      </c>
      <c r="H9" s="925" t="str">
        <f>IF($A9&lt;DATE(2018,7,1),"-",INDEX('I1 - Universal Data'!$E$17:$V$17, MATCH(YEAR(EOMONTH($A9,6)), 'I1 - Universal Data'!$E$14:$V$14, 0)))</f>
        <v>-</v>
      </c>
      <c r="I9" s="926">
        <f t="shared" si="2"/>
        <v>72.400000000000006</v>
      </c>
      <c r="J9" s="926">
        <f t="shared" si="2"/>
        <v>165.1</v>
      </c>
      <c r="K9" s="926">
        <f t="shared" si="2"/>
        <v>71.900000000000006</v>
      </c>
      <c r="X9" s="427"/>
    </row>
    <row r="10" spans="1:24">
      <c r="A10" s="922">
        <f t="shared" si="1"/>
        <v>36403</v>
      </c>
      <c r="B10" s="923">
        <f t="shared" si="0"/>
        <v>2000</v>
      </c>
      <c r="C10" s="924">
        <v>72.599999999999994</v>
      </c>
      <c r="D10" s="924">
        <v>165.5</v>
      </c>
      <c r="E10" s="924">
        <v>72.099999999999994</v>
      </c>
      <c r="F10" s="925" t="str">
        <f>IF($A10&lt;DATE(2018,7,1),"-",INDEX('I1 - Universal Data'!$E$16:$V$16, MATCH(YEAR(EOMONTH($A10,6)), 'I1 - Universal Data'!$E$14:$V$14, 0)))</f>
        <v>-</v>
      </c>
      <c r="G10" s="925" t="str">
        <f>IF($A10&lt;DATE(2018,7,1),"-",INDEX('I1 - Universal Data'!$E$15:$V$15, MATCH(YEAR(EOMONTH($A10,6)), 'I1 - Universal Data'!$E$14:$V$14, 0)))</f>
        <v>-</v>
      </c>
      <c r="H10" s="925" t="str">
        <f>IF($A10&lt;DATE(2018,7,1),"-",INDEX('I1 - Universal Data'!$E$17:$V$17, MATCH(YEAR(EOMONTH($A10,6)), 'I1 - Universal Data'!$E$14:$V$14, 0)))</f>
        <v>-</v>
      </c>
      <c r="I10" s="926">
        <f t="shared" si="2"/>
        <v>72.599999999999994</v>
      </c>
      <c r="J10" s="926">
        <f t="shared" si="2"/>
        <v>165.5</v>
      </c>
      <c r="K10" s="926">
        <f t="shared" si="2"/>
        <v>72.099999999999994</v>
      </c>
      <c r="X10" s="427"/>
    </row>
    <row r="11" spans="1:24">
      <c r="A11" s="922">
        <f t="shared" si="1"/>
        <v>36433</v>
      </c>
      <c r="B11" s="923">
        <f t="shared" si="0"/>
        <v>2000</v>
      </c>
      <c r="C11" s="924">
        <v>72.8</v>
      </c>
      <c r="D11" s="924">
        <v>166.2</v>
      </c>
      <c r="E11" s="924">
        <v>72.400000000000006</v>
      </c>
      <c r="F11" s="925" t="str">
        <f>IF($A11&lt;DATE(2018,7,1),"-",INDEX('I1 - Universal Data'!$E$16:$V$16, MATCH(YEAR(EOMONTH($A11,6)), 'I1 - Universal Data'!$E$14:$V$14, 0)))</f>
        <v>-</v>
      </c>
      <c r="G11" s="925" t="str">
        <f>IF($A11&lt;DATE(2018,7,1),"-",INDEX('I1 - Universal Data'!$E$15:$V$15, MATCH(YEAR(EOMONTH($A11,6)), 'I1 - Universal Data'!$E$14:$V$14, 0)))</f>
        <v>-</v>
      </c>
      <c r="H11" s="925" t="str">
        <f>IF($A11&lt;DATE(2018,7,1),"-",INDEX('I1 - Universal Data'!$E$17:$V$17, MATCH(YEAR(EOMONTH($A11,6)), 'I1 - Universal Data'!$E$14:$V$14, 0)))</f>
        <v>-</v>
      </c>
      <c r="I11" s="926">
        <f t="shared" si="2"/>
        <v>72.8</v>
      </c>
      <c r="J11" s="926">
        <f t="shared" si="2"/>
        <v>166.2</v>
      </c>
      <c r="K11" s="926">
        <f t="shared" si="2"/>
        <v>72.400000000000006</v>
      </c>
      <c r="X11" s="427"/>
    </row>
    <row r="12" spans="1:24">
      <c r="A12" s="922">
        <f t="shared" si="1"/>
        <v>36464</v>
      </c>
      <c r="B12" s="923">
        <f t="shared" si="0"/>
        <v>2000</v>
      </c>
      <c r="C12" s="924">
        <v>72.8</v>
      </c>
      <c r="D12" s="924">
        <v>166.5</v>
      </c>
      <c r="E12" s="924">
        <v>72.3</v>
      </c>
      <c r="F12" s="925" t="str">
        <f>IF($A12&lt;DATE(2018,7,1),"-",INDEX('I1 - Universal Data'!$E$16:$V$16, MATCH(YEAR(EOMONTH($A12,6)), 'I1 - Universal Data'!$E$14:$V$14, 0)))</f>
        <v>-</v>
      </c>
      <c r="G12" s="925" t="str">
        <f>IF($A12&lt;DATE(2018,7,1),"-",INDEX('I1 - Universal Data'!$E$15:$V$15, MATCH(YEAR(EOMONTH($A12,6)), 'I1 - Universal Data'!$E$14:$V$14, 0)))</f>
        <v>-</v>
      </c>
      <c r="H12" s="925" t="str">
        <f>IF($A12&lt;DATE(2018,7,1),"-",INDEX('I1 - Universal Data'!$E$17:$V$17, MATCH(YEAR(EOMONTH($A12,6)), 'I1 - Universal Data'!$E$14:$V$14, 0)))</f>
        <v>-</v>
      </c>
      <c r="I12" s="926">
        <f t="shared" si="2"/>
        <v>72.8</v>
      </c>
      <c r="J12" s="926">
        <f t="shared" si="2"/>
        <v>166.5</v>
      </c>
      <c r="K12" s="926">
        <f t="shared" si="2"/>
        <v>72.3</v>
      </c>
      <c r="X12" s="427"/>
    </row>
    <row r="13" spans="1:24">
      <c r="A13" s="922">
        <f t="shared" si="1"/>
        <v>36494</v>
      </c>
      <c r="B13" s="923">
        <f t="shared" si="0"/>
        <v>2000</v>
      </c>
      <c r="C13" s="924">
        <v>72.900000000000006</v>
      </c>
      <c r="D13" s="924">
        <v>166.7</v>
      </c>
      <c r="E13" s="924">
        <v>72.400000000000006</v>
      </c>
      <c r="F13" s="925" t="str">
        <f>IF($A13&lt;DATE(2018,7,1),"-",INDEX('I1 - Universal Data'!$E$16:$V$16, MATCH(YEAR(EOMONTH($A13,6)), 'I1 - Universal Data'!$E$14:$V$14, 0)))</f>
        <v>-</v>
      </c>
      <c r="G13" s="925" t="str">
        <f>IF($A13&lt;DATE(2018,7,1),"-",INDEX('I1 - Universal Data'!$E$15:$V$15, MATCH(YEAR(EOMONTH($A13,6)), 'I1 - Universal Data'!$E$14:$V$14, 0)))</f>
        <v>-</v>
      </c>
      <c r="H13" s="925" t="str">
        <f>IF($A13&lt;DATE(2018,7,1),"-",INDEX('I1 - Universal Data'!$E$17:$V$17, MATCH(YEAR(EOMONTH($A13,6)), 'I1 - Universal Data'!$E$14:$V$14, 0)))</f>
        <v>-</v>
      </c>
      <c r="I13" s="926">
        <f t="shared" si="2"/>
        <v>72.900000000000006</v>
      </c>
      <c r="J13" s="926">
        <f t="shared" si="2"/>
        <v>166.7</v>
      </c>
      <c r="K13" s="926">
        <f t="shared" si="2"/>
        <v>72.400000000000006</v>
      </c>
      <c r="X13" s="427"/>
    </row>
    <row r="14" spans="1:24">
      <c r="A14" s="922">
        <f t="shared" si="1"/>
        <v>36525</v>
      </c>
      <c r="B14" s="923">
        <f t="shared" si="0"/>
        <v>2000</v>
      </c>
      <c r="C14" s="924">
        <v>73.099999999999994</v>
      </c>
      <c r="D14" s="924">
        <v>167.3</v>
      </c>
      <c r="E14" s="924">
        <v>72.599999999999994</v>
      </c>
      <c r="F14" s="925" t="str">
        <f>IF($A14&lt;DATE(2018,7,1),"-",INDEX('I1 - Universal Data'!$E$16:$V$16, MATCH(YEAR(EOMONTH($A14,6)), 'I1 - Universal Data'!$E$14:$V$14, 0)))</f>
        <v>-</v>
      </c>
      <c r="G14" s="925" t="str">
        <f>IF($A14&lt;DATE(2018,7,1),"-",INDEX('I1 - Universal Data'!$E$15:$V$15, MATCH(YEAR(EOMONTH($A14,6)), 'I1 - Universal Data'!$E$14:$V$14, 0)))</f>
        <v>-</v>
      </c>
      <c r="H14" s="925" t="str">
        <f>IF($A14&lt;DATE(2018,7,1),"-",INDEX('I1 - Universal Data'!$E$17:$V$17, MATCH(YEAR(EOMONTH($A14,6)), 'I1 - Universal Data'!$E$14:$V$14, 0)))</f>
        <v>-</v>
      </c>
      <c r="I14" s="926">
        <f t="shared" si="2"/>
        <v>73.099999999999994</v>
      </c>
      <c r="J14" s="926">
        <f t="shared" si="2"/>
        <v>167.3</v>
      </c>
      <c r="K14" s="926">
        <f t="shared" si="2"/>
        <v>72.599999999999994</v>
      </c>
      <c r="X14" s="427"/>
    </row>
    <row r="15" spans="1:24">
      <c r="A15" s="922">
        <f t="shared" si="1"/>
        <v>36556</v>
      </c>
      <c r="B15" s="923">
        <f t="shared" si="0"/>
        <v>2000</v>
      </c>
      <c r="C15" s="924">
        <v>72.599999999999994</v>
      </c>
      <c r="D15" s="924">
        <v>166.6</v>
      </c>
      <c r="E15" s="924">
        <v>71.900000000000006</v>
      </c>
      <c r="F15" s="925" t="str">
        <f>IF($A15&lt;DATE(2018,7,1),"-",INDEX('I1 - Universal Data'!$E$16:$V$16, MATCH(YEAR(EOMONTH($A15,6)), 'I1 - Universal Data'!$E$14:$V$14, 0)))</f>
        <v>-</v>
      </c>
      <c r="G15" s="925" t="str">
        <f>IF($A15&lt;DATE(2018,7,1),"-",INDEX('I1 - Universal Data'!$E$15:$V$15, MATCH(YEAR(EOMONTH($A15,6)), 'I1 - Universal Data'!$E$14:$V$14, 0)))</f>
        <v>-</v>
      </c>
      <c r="H15" s="925" t="str">
        <f>IF($A15&lt;DATE(2018,7,1),"-",INDEX('I1 - Universal Data'!$E$17:$V$17, MATCH(YEAR(EOMONTH($A15,6)), 'I1 - Universal Data'!$E$14:$V$14, 0)))</f>
        <v>-</v>
      </c>
      <c r="I15" s="926">
        <f t="shared" si="2"/>
        <v>72.599999999999994</v>
      </c>
      <c r="J15" s="926">
        <f t="shared" si="2"/>
        <v>166.6</v>
      </c>
      <c r="K15" s="926">
        <f t="shared" si="2"/>
        <v>71.900000000000006</v>
      </c>
      <c r="X15" s="427"/>
    </row>
    <row r="16" spans="1:24">
      <c r="A16" s="922">
        <f t="shared" si="1"/>
        <v>36585</v>
      </c>
      <c r="B16" s="923">
        <f t="shared" si="0"/>
        <v>2000</v>
      </c>
      <c r="C16" s="924">
        <v>72.8</v>
      </c>
      <c r="D16" s="924">
        <v>167.5</v>
      </c>
      <c r="E16" s="924">
        <v>72.2</v>
      </c>
      <c r="F16" s="925" t="str">
        <f>IF($A16&lt;DATE(2018,7,1),"-",INDEX('I1 - Universal Data'!$E$16:$V$16, MATCH(YEAR(EOMONTH($A16,6)), 'I1 - Universal Data'!$E$14:$V$14, 0)))</f>
        <v>-</v>
      </c>
      <c r="G16" s="925" t="str">
        <f>IF($A16&lt;DATE(2018,7,1),"-",INDEX('I1 - Universal Data'!$E$15:$V$15, MATCH(YEAR(EOMONTH($A16,6)), 'I1 - Universal Data'!$E$14:$V$14, 0)))</f>
        <v>-</v>
      </c>
      <c r="H16" s="925" t="str">
        <f>IF($A16&lt;DATE(2018,7,1),"-",INDEX('I1 - Universal Data'!$E$17:$V$17, MATCH(YEAR(EOMONTH($A16,6)), 'I1 - Universal Data'!$E$14:$V$14, 0)))</f>
        <v>-</v>
      </c>
      <c r="I16" s="926">
        <f t="shared" si="2"/>
        <v>72.8</v>
      </c>
      <c r="J16" s="926">
        <f t="shared" si="2"/>
        <v>167.5</v>
      </c>
      <c r="K16" s="926">
        <f t="shared" si="2"/>
        <v>72.2</v>
      </c>
      <c r="X16" s="427"/>
    </row>
    <row r="17" spans="1:24">
      <c r="A17" s="922">
        <f t="shared" si="1"/>
        <v>36616</v>
      </c>
      <c r="B17" s="923">
        <f t="shared" si="0"/>
        <v>2000</v>
      </c>
      <c r="C17" s="924">
        <v>73</v>
      </c>
      <c r="D17" s="924">
        <v>168.4</v>
      </c>
      <c r="E17" s="924">
        <v>72.3</v>
      </c>
      <c r="F17" s="925" t="str">
        <f>IF($A17&lt;DATE(2018,7,1),"-",INDEX('I1 - Universal Data'!$E$16:$V$16, MATCH(YEAR(EOMONTH($A17,6)), 'I1 - Universal Data'!$E$14:$V$14, 0)))</f>
        <v>-</v>
      </c>
      <c r="G17" s="925" t="str">
        <f>IF($A17&lt;DATE(2018,7,1),"-",INDEX('I1 - Universal Data'!$E$15:$V$15, MATCH(YEAR(EOMONTH($A17,6)), 'I1 - Universal Data'!$E$14:$V$14, 0)))</f>
        <v>-</v>
      </c>
      <c r="H17" s="925" t="str">
        <f>IF($A17&lt;DATE(2018,7,1),"-",INDEX('I1 - Universal Data'!$E$17:$V$17, MATCH(YEAR(EOMONTH($A17,6)), 'I1 - Universal Data'!$E$14:$V$14, 0)))</f>
        <v>-</v>
      </c>
      <c r="I17" s="926">
        <f t="shared" si="2"/>
        <v>73</v>
      </c>
      <c r="J17" s="926">
        <f t="shared" si="2"/>
        <v>168.4</v>
      </c>
      <c r="K17" s="926">
        <f t="shared" si="2"/>
        <v>72.3</v>
      </c>
      <c r="X17" s="427"/>
    </row>
    <row r="18" spans="1:24">
      <c r="A18" s="922">
        <f t="shared" si="1"/>
        <v>36646</v>
      </c>
      <c r="B18" s="923">
        <f t="shared" si="0"/>
        <v>2001</v>
      </c>
      <c r="C18" s="924">
        <v>73.3</v>
      </c>
      <c r="D18" s="924">
        <v>170.1</v>
      </c>
      <c r="E18" s="924">
        <v>72.599999999999994</v>
      </c>
      <c r="F18" s="925" t="str">
        <f>IF($A18&lt;DATE(2018,7,1),"-",INDEX('I1 - Universal Data'!$E$16:$V$16, MATCH(YEAR(EOMONTH($A18,6)), 'I1 - Universal Data'!$E$14:$V$14, 0)))</f>
        <v>-</v>
      </c>
      <c r="G18" s="925" t="str">
        <f>IF($A18&lt;DATE(2018,7,1),"-",INDEX('I1 - Universal Data'!$E$15:$V$15, MATCH(YEAR(EOMONTH($A18,6)), 'I1 - Universal Data'!$E$14:$V$14, 0)))</f>
        <v>-</v>
      </c>
      <c r="H18" s="925" t="str">
        <f>IF($A18&lt;DATE(2018,7,1),"-",INDEX('I1 - Universal Data'!$E$17:$V$17, MATCH(YEAR(EOMONTH($A18,6)), 'I1 - Universal Data'!$E$14:$V$14, 0)))</f>
        <v>-</v>
      </c>
      <c r="I18" s="926">
        <f t="shared" si="2"/>
        <v>73.3</v>
      </c>
      <c r="J18" s="926">
        <f t="shared" si="2"/>
        <v>170.1</v>
      </c>
      <c r="K18" s="926">
        <f t="shared" si="2"/>
        <v>72.599999999999994</v>
      </c>
      <c r="X18" s="427"/>
    </row>
    <row r="19" spans="1:24">
      <c r="A19" s="922">
        <f t="shared" si="1"/>
        <v>36677</v>
      </c>
      <c r="B19" s="923">
        <f t="shared" si="0"/>
        <v>2001</v>
      </c>
      <c r="C19" s="924">
        <v>73.5</v>
      </c>
      <c r="D19" s="924">
        <v>170.7</v>
      </c>
      <c r="E19" s="924">
        <v>72.8</v>
      </c>
      <c r="F19" s="925" t="str">
        <f>IF($A19&lt;DATE(2018,7,1),"-",INDEX('I1 - Universal Data'!$E$16:$V$16, MATCH(YEAR(EOMONTH($A19,6)), 'I1 - Universal Data'!$E$14:$V$14, 0)))</f>
        <v>-</v>
      </c>
      <c r="G19" s="925" t="str">
        <f>IF($A19&lt;DATE(2018,7,1),"-",INDEX('I1 - Universal Data'!$E$15:$V$15, MATCH(YEAR(EOMONTH($A19,6)), 'I1 - Universal Data'!$E$14:$V$14, 0)))</f>
        <v>-</v>
      </c>
      <c r="H19" s="925" t="str">
        <f>IF($A19&lt;DATE(2018,7,1),"-",INDEX('I1 - Universal Data'!$E$17:$V$17, MATCH(YEAR(EOMONTH($A19,6)), 'I1 - Universal Data'!$E$14:$V$14, 0)))</f>
        <v>-</v>
      </c>
      <c r="I19" s="926">
        <f t="shared" si="2"/>
        <v>73.5</v>
      </c>
      <c r="J19" s="926">
        <f t="shared" si="2"/>
        <v>170.7</v>
      </c>
      <c r="K19" s="926">
        <f t="shared" si="2"/>
        <v>72.8</v>
      </c>
      <c r="X19" s="427"/>
    </row>
    <row r="20" spans="1:24">
      <c r="A20" s="922">
        <f t="shared" si="1"/>
        <v>36707</v>
      </c>
      <c r="B20" s="923">
        <f t="shared" si="0"/>
        <v>2001</v>
      </c>
      <c r="C20" s="924">
        <v>73.599999999999994</v>
      </c>
      <c r="D20" s="924">
        <v>171.1</v>
      </c>
      <c r="E20" s="924">
        <v>72.900000000000006</v>
      </c>
      <c r="F20" s="925" t="str">
        <f>IF($A20&lt;DATE(2018,7,1),"-",INDEX('I1 - Universal Data'!$E$16:$V$16, MATCH(YEAR(EOMONTH($A20,6)), 'I1 - Universal Data'!$E$14:$V$14, 0)))</f>
        <v>-</v>
      </c>
      <c r="G20" s="925" t="str">
        <f>IF($A20&lt;DATE(2018,7,1),"-",INDEX('I1 - Universal Data'!$E$15:$V$15, MATCH(YEAR(EOMONTH($A20,6)), 'I1 - Universal Data'!$E$14:$V$14, 0)))</f>
        <v>-</v>
      </c>
      <c r="H20" s="925" t="str">
        <f>IF($A20&lt;DATE(2018,7,1),"-",INDEX('I1 - Universal Data'!$E$17:$V$17, MATCH(YEAR(EOMONTH($A20,6)), 'I1 - Universal Data'!$E$14:$V$14, 0)))</f>
        <v>-</v>
      </c>
      <c r="I20" s="926">
        <f t="shared" si="2"/>
        <v>73.599999999999994</v>
      </c>
      <c r="J20" s="926">
        <f t="shared" si="2"/>
        <v>171.1</v>
      </c>
      <c r="K20" s="926">
        <f t="shared" si="2"/>
        <v>72.900000000000006</v>
      </c>
      <c r="X20" s="427"/>
    </row>
    <row r="21" spans="1:24">
      <c r="A21" s="922">
        <f t="shared" si="1"/>
        <v>36738</v>
      </c>
      <c r="B21" s="923">
        <f t="shared" si="0"/>
        <v>2001</v>
      </c>
      <c r="C21" s="924">
        <v>73.3</v>
      </c>
      <c r="D21" s="924">
        <v>170.5</v>
      </c>
      <c r="E21" s="924">
        <v>72.5</v>
      </c>
      <c r="F21" s="925" t="str">
        <f>IF($A21&lt;DATE(2018,7,1),"-",INDEX('I1 - Universal Data'!$E$16:$V$16, MATCH(YEAR(EOMONTH($A21,6)), 'I1 - Universal Data'!$E$14:$V$14, 0)))</f>
        <v>-</v>
      </c>
      <c r="G21" s="925" t="str">
        <f>IF($A21&lt;DATE(2018,7,1),"-",INDEX('I1 - Universal Data'!$E$15:$V$15, MATCH(YEAR(EOMONTH($A21,6)), 'I1 - Universal Data'!$E$14:$V$14, 0)))</f>
        <v>-</v>
      </c>
      <c r="H21" s="925" t="str">
        <f>IF($A21&lt;DATE(2018,7,1),"-",INDEX('I1 - Universal Data'!$E$17:$V$17, MATCH(YEAR(EOMONTH($A21,6)), 'I1 - Universal Data'!$E$14:$V$14, 0)))</f>
        <v>-</v>
      </c>
      <c r="I21" s="926">
        <f t="shared" si="2"/>
        <v>73.3</v>
      </c>
      <c r="J21" s="926">
        <f t="shared" si="2"/>
        <v>170.5</v>
      </c>
      <c r="K21" s="926">
        <f t="shared" si="2"/>
        <v>72.5</v>
      </c>
      <c r="X21" s="427"/>
    </row>
    <row r="22" spans="1:24">
      <c r="A22" s="922">
        <f t="shared" si="1"/>
        <v>36769</v>
      </c>
      <c r="B22" s="923">
        <f t="shared" si="0"/>
        <v>2001</v>
      </c>
      <c r="C22" s="924">
        <v>73.3</v>
      </c>
      <c r="D22" s="924">
        <v>170.5</v>
      </c>
      <c r="E22" s="924">
        <v>72.5</v>
      </c>
      <c r="F22" s="925" t="str">
        <f>IF($A22&lt;DATE(2018,7,1),"-",INDEX('I1 - Universal Data'!$E$16:$V$16, MATCH(YEAR(EOMONTH($A22,6)), 'I1 - Universal Data'!$E$14:$V$14, 0)))</f>
        <v>-</v>
      </c>
      <c r="G22" s="925" t="str">
        <f>IF($A22&lt;DATE(2018,7,1),"-",INDEX('I1 - Universal Data'!$E$15:$V$15, MATCH(YEAR(EOMONTH($A22,6)), 'I1 - Universal Data'!$E$14:$V$14, 0)))</f>
        <v>-</v>
      </c>
      <c r="H22" s="925" t="str">
        <f>IF($A22&lt;DATE(2018,7,1),"-",INDEX('I1 - Universal Data'!$E$17:$V$17, MATCH(YEAR(EOMONTH($A22,6)), 'I1 - Universal Data'!$E$14:$V$14, 0)))</f>
        <v>-</v>
      </c>
      <c r="I22" s="926">
        <f t="shared" si="2"/>
        <v>73.3</v>
      </c>
      <c r="J22" s="926">
        <f t="shared" si="2"/>
        <v>170.5</v>
      </c>
      <c r="K22" s="926">
        <f t="shared" si="2"/>
        <v>72.5</v>
      </c>
      <c r="X22" s="427"/>
    </row>
    <row r="23" spans="1:24">
      <c r="A23" s="922">
        <f t="shared" si="1"/>
        <v>36799</v>
      </c>
      <c r="B23" s="923">
        <f t="shared" si="0"/>
        <v>2001</v>
      </c>
      <c r="C23" s="924">
        <v>73.8</v>
      </c>
      <c r="D23" s="924">
        <v>171.7</v>
      </c>
      <c r="E23" s="924">
        <v>73.099999999999994</v>
      </c>
      <c r="F23" s="925" t="str">
        <f>IF($A23&lt;DATE(2018,7,1),"-",INDEX('I1 - Universal Data'!$E$16:$V$16, MATCH(YEAR(EOMONTH($A23,6)), 'I1 - Universal Data'!$E$14:$V$14, 0)))</f>
        <v>-</v>
      </c>
      <c r="G23" s="925" t="str">
        <f>IF($A23&lt;DATE(2018,7,1),"-",INDEX('I1 - Universal Data'!$E$15:$V$15, MATCH(YEAR(EOMONTH($A23,6)), 'I1 - Universal Data'!$E$14:$V$14, 0)))</f>
        <v>-</v>
      </c>
      <c r="H23" s="925" t="str">
        <f>IF($A23&lt;DATE(2018,7,1),"-",INDEX('I1 - Universal Data'!$E$17:$V$17, MATCH(YEAR(EOMONTH($A23,6)), 'I1 - Universal Data'!$E$14:$V$14, 0)))</f>
        <v>-</v>
      </c>
      <c r="I23" s="926">
        <f t="shared" ref="I23:K38" si="3">IF(ISBLANK(C23),I22*((1+F23)^(1/12)),C23)</f>
        <v>73.8</v>
      </c>
      <c r="J23" s="926">
        <f t="shared" si="3"/>
        <v>171.7</v>
      </c>
      <c r="K23" s="926">
        <f t="shared" si="3"/>
        <v>73.099999999999994</v>
      </c>
      <c r="X23" s="427"/>
    </row>
    <row r="24" spans="1:24">
      <c r="A24" s="922">
        <f t="shared" si="1"/>
        <v>36830</v>
      </c>
      <c r="B24" s="923">
        <f t="shared" si="0"/>
        <v>2001</v>
      </c>
      <c r="C24" s="924">
        <v>73.8</v>
      </c>
      <c r="D24" s="924">
        <v>171.6</v>
      </c>
      <c r="E24" s="924">
        <v>73.099999999999994</v>
      </c>
      <c r="F24" s="925" t="str">
        <f>IF($A24&lt;DATE(2018,7,1),"-",INDEX('I1 - Universal Data'!$E$16:$V$16, MATCH(YEAR(EOMONTH($A24,6)), 'I1 - Universal Data'!$E$14:$V$14, 0)))</f>
        <v>-</v>
      </c>
      <c r="G24" s="925" t="str">
        <f>IF($A24&lt;DATE(2018,7,1),"-",INDEX('I1 - Universal Data'!$E$15:$V$15, MATCH(YEAR(EOMONTH($A24,6)), 'I1 - Universal Data'!$E$14:$V$14, 0)))</f>
        <v>-</v>
      </c>
      <c r="H24" s="925" t="str">
        <f>IF($A24&lt;DATE(2018,7,1),"-",INDEX('I1 - Universal Data'!$E$17:$V$17, MATCH(YEAR(EOMONTH($A24,6)), 'I1 - Universal Data'!$E$14:$V$14, 0)))</f>
        <v>-</v>
      </c>
      <c r="I24" s="926">
        <f t="shared" si="3"/>
        <v>73.8</v>
      </c>
      <c r="J24" s="926">
        <f t="shared" si="3"/>
        <v>171.6</v>
      </c>
      <c r="K24" s="926">
        <f t="shared" si="3"/>
        <v>73.099999999999994</v>
      </c>
      <c r="X24" s="427"/>
    </row>
    <row r="25" spans="1:24">
      <c r="A25" s="922">
        <f t="shared" si="1"/>
        <v>36860</v>
      </c>
      <c r="B25" s="923">
        <f t="shared" si="0"/>
        <v>2001</v>
      </c>
      <c r="C25" s="924">
        <v>74</v>
      </c>
      <c r="D25" s="924">
        <v>172.1</v>
      </c>
      <c r="E25" s="924">
        <v>73.2</v>
      </c>
      <c r="F25" s="925" t="str">
        <f>IF($A25&lt;DATE(2018,7,1),"-",INDEX('I1 - Universal Data'!$E$16:$V$16, MATCH(YEAR(EOMONTH($A25,6)), 'I1 - Universal Data'!$E$14:$V$14, 0)))</f>
        <v>-</v>
      </c>
      <c r="G25" s="925" t="str">
        <f>IF($A25&lt;DATE(2018,7,1),"-",INDEX('I1 - Universal Data'!$E$15:$V$15, MATCH(YEAR(EOMONTH($A25,6)), 'I1 - Universal Data'!$E$14:$V$14, 0)))</f>
        <v>-</v>
      </c>
      <c r="H25" s="925" t="str">
        <f>IF($A25&lt;DATE(2018,7,1),"-",INDEX('I1 - Universal Data'!$E$17:$V$17, MATCH(YEAR(EOMONTH($A25,6)), 'I1 - Universal Data'!$E$14:$V$14, 0)))</f>
        <v>-</v>
      </c>
      <c r="I25" s="926">
        <f t="shared" si="3"/>
        <v>74</v>
      </c>
      <c r="J25" s="926">
        <f t="shared" si="3"/>
        <v>172.1</v>
      </c>
      <c r="K25" s="926">
        <f t="shared" si="3"/>
        <v>73.2</v>
      </c>
      <c r="X25" s="427"/>
    </row>
    <row r="26" spans="1:24">
      <c r="A26" s="922">
        <f t="shared" si="1"/>
        <v>36891</v>
      </c>
      <c r="B26" s="923">
        <f t="shared" si="0"/>
        <v>2001</v>
      </c>
      <c r="C26" s="924">
        <v>74</v>
      </c>
      <c r="D26" s="924">
        <v>172.2</v>
      </c>
      <c r="E26" s="924">
        <v>73.2</v>
      </c>
      <c r="F26" s="925" t="str">
        <f>IF($A26&lt;DATE(2018,7,1),"-",INDEX('I1 - Universal Data'!$E$16:$V$16, MATCH(YEAR(EOMONTH($A26,6)), 'I1 - Universal Data'!$E$14:$V$14, 0)))</f>
        <v>-</v>
      </c>
      <c r="G26" s="925" t="str">
        <f>IF($A26&lt;DATE(2018,7,1),"-",INDEX('I1 - Universal Data'!$E$15:$V$15, MATCH(YEAR(EOMONTH($A26,6)), 'I1 - Universal Data'!$E$14:$V$14, 0)))</f>
        <v>-</v>
      </c>
      <c r="H26" s="925" t="str">
        <f>IF($A26&lt;DATE(2018,7,1),"-",INDEX('I1 - Universal Data'!$E$17:$V$17, MATCH(YEAR(EOMONTH($A26,6)), 'I1 - Universal Data'!$E$14:$V$14, 0)))</f>
        <v>-</v>
      </c>
      <c r="I26" s="926">
        <f t="shared" si="3"/>
        <v>74</v>
      </c>
      <c r="J26" s="926">
        <f t="shared" si="3"/>
        <v>172.2</v>
      </c>
      <c r="K26" s="926">
        <f t="shared" si="3"/>
        <v>73.2</v>
      </c>
      <c r="X26" s="427"/>
    </row>
    <row r="27" spans="1:24">
      <c r="A27" s="922">
        <f t="shared" si="1"/>
        <v>36922</v>
      </c>
      <c r="B27" s="923">
        <f t="shared" si="0"/>
        <v>2001</v>
      </c>
      <c r="C27" s="924">
        <v>73.5</v>
      </c>
      <c r="D27" s="924">
        <v>171.1</v>
      </c>
      <c r="E27" s="924">
        <v>72.599999999999994</v>
      </c>
      <c r="F27" s="925" t="str">
        <f>IF($A27&lt;DATE(2018,7,1),"-",INDEX('I1 - Universal Data'!$E$16:$V$16, MATCH(YEAR(EOMONTH($A27,6)), 'I1 - Universal Data'!$E$14:$V$14, 0)))</f>
        <v>-</v>
      </c>
      <c r="G27" s="925" t="str">
        <f>IF($A27&lt;DATE(2018,7,1),"-",INDEX('I1 - Universal Data'!$E$15:$V$15, MATCH(YEAR(EOMONTH($A27,6)), 'I1 - Universal Data'!$E$14:$V$14, 0)))</f>
        <v>-</v>
      </c>
      <c r="H27" s="925" t="str">
        <f>IF($A27&lt;DATE(2018,7,1),"-",INDEX('I1 - Universal Data'!$E$17:$V$17, MATCH(YEAR(EOMONTH($A27,6)), 'I1 - Universal Data'!$E$14:$V$14, 0)))</f>
        <v>-</v>
      </c>
      <c r="I27" s="926">
        <f t="shared" si="3"/>
        <v>73.5</v>
      </c>
      <c r="J27" s="926">
        <f t="shared" si="3"/>
        <v>171.1</v>
      </c>
      <c r="K27" s="926">
        <f t="shared" si="3"/>
        <v>72.599999999999994</v>
      </c>
      <c r="X27" s="927"/>
    </row>
    <row r="28" spans="1:24">
      <c r="A28" s="922">
        <f t="shared" si="1"/>
        <v>36950</v>
      </c>
      <c r="B28" s="923">
        <f t="shared" si="0"/>
        <v>2001</v>
      </c>
      <c r="C28" s="924">
        <v>73.7</v>
      </c>
      <c r="D28" s="924">
        <v>172</v>
      </c>
      <c r="E28" s="924">
        <v>72.7</v>
      </c>
      <c r="F28" s="925" t="str">
        <f>IF($A28&lt;DATE(2018,7,1),"-",INDEX('I1 - Universal Data'!$E$16:$V$16, MATCH(YEAR(EOMONTH($A28,6)), 'I1 - Universal Data'!$E$14:$V$14, 0)))</f>
        <v>-</v>
      </c>
      <c r="G28" s="925" t="str">
        <f>IF($A28&lt;DATE(2018,7,1),"-",INDEX('I1 - Universal Data'!$E$15:$V$15, MATCH(YEAR(EOMONTH($A28,6)), 'I1 - Universal Data'!$E$14:$V$14, 0)))</f>
        <v>-</v>
      </c>
      <c r="H28" s="925" t="str">
        <f>IF($A28&lt;DATE(2018,7,1),"-",INDEX('I1 - Universal Data'!$E$17:$V$17, MATCH(YEAR(EOMONTH($A28,6)), 'I1 - Universal Data'!$E$14:$V$14, 0)))</f>
        <v>-</v>
      </c>
      <c r="I28" s="926">
        <f t="shared" si="3"/>
        <v>73.7</v>
      </c>
      <c r="J28" s="926">
        <f t="shared" si="3"/>
        <v>172</v>
      </c>
      <c r="K28" s="926">
        <f t="shared" si="3"/>
        <v>72.7</v>
      </c>
      <c r="X28" s="927"/>
    </row>
    <row r="29" spans="1:24">
      <c r="A29" s="922">
        <f t="shared" si="1"/>
        <v>36981</v>
      </c>
      <c r="B29" s="923">
        <f t="shared" si="0"/>
        <v>2001</v>
      </c>
      <c r="C29" s="924">
        <v>73.900000000000006</v>
      </c>
      <c r="D29" s="924">
        <v>172.2</v>
      </c>
      <c r="E29" s="924">
        <v>73</v>
      </c>
      <c r="F29" s="925" t="str">
        <f>IF($A29&lt;DATE(2018,7,1),"-",INDEX('I1 - Universal Data'!$E$16:$V$16, MATCH(YEAR(EOMONTH($A29,6)), 'I1 - Universal Data'!$E$14:$V$14, 0)))</f>
        <v>-</v>
      </c>
      <c r="G29" s="925" t="str">
        <f>IF($A29&lt;DATE(2018,7,1),"-",INDEX('I1 - Universal Data'!$E$15:$V$15, MATCH(YEAR(EOMONTH($A29,6)), 'I1 - Universal Data'!$E$14:$V$14, 0)))</f>
        <v>-</v>
      </c>
      <c r="H29" s="925" t="str">
        <f>IF($A29&lt;DATE(2018,7,1),"-",INDEX('I1 - Universal Data'!$E$17:$V$17, MATCH(YEAR(EOMONTH($A29,6)), 'I1 - Universal Data'!$E$14:$V$14, 0)))</f>
        <v>-</v>
      </c>
      <c r="I29" s="926">
        <f t="shared" si="3"/>
        <v>73.900000000000006</v>
      </c>
      <c r="J29" s="926">
        <f t="shared" si="3"/>
        <v>172.2</v>
      </c>
      <c r="K29" s="926">
        <f t="shared" si="3"/>
        <v>73</v>
      </c>
      <c r="X29" s="927"/>
    </row>
    <row r="30" spans="1:24">
      <c r="A30" s="922">
        <f t="shared" si="1"/>
        <v>37011</v>
      </c>
      <c r="B30" s="923">
        <f t="shared" si="0"/>
        <v>2002</v>
      </c>
      <c r="C30" s="924">
        <v>74.400000000000006</v>
      </c>
      <c r="D30" s="924">
        <v>173.1</v>
      </c>
      <c r="E30" s="924">
        <v>73.400000000000006</v>
      </c>
      <c r="F30" s="925" t="str">
        <f>IF($A30&lt;DATE(2018,7,1),"-",INDEX('I1 - Universal Data'!$E$16:$V$16, MATCH(YEAR(EOMONTH($A30,6)), 'I1 - Universal Data'!$E$14:$V$14, 0)))</f>
        <v>-</v>
      </c>
      <c r="G30" s="925" t="str">
        <f>IF($A30&lt;DATE(2018,7,1),"-",INDEX('I1 - Universal Data'!$E$15:$V$15, MATCH(YEAR(EOMONTH($A30,6)), 'I1 - Universal Data'!$E$14:$V$14, 0)))</f>
        <v>-</v>
      </c>
      <c r="H30" s="925" t="str">
        <f>IF($A30&lt;DATE(2018,7,1),"-",INDEX('I1 - Universal Data'!$E$17:$V$17, MATCH(YEAR(EOMONTH($A30,6)), 'I1 - Universal Data'!$E$14:$V$14, 0)))</f>
        <v>-</v>
      </c>
      <c r="I30" s="926">
        <f t="shared" si="3"/>
        <v>74.400000000000006</v>
      </c>
      <c r="J30" s="926">
        <f t="shared" si="3"/>
        <v>173.1</v>
      </c>
      <c r="K30" s="926">
        <f t="shared" si="3"/>
        <v>73.400000000000006</v>
      </c>
      <c r="X30" s="927"/>
    </row>
    <row r="31" spans="1:24">
      <c r="A31" s="922">
        <f t="shared" si="1"/>
        <v>37042</v>
      </c>
      <c r="B31" s="923">
        <f t="shared" si="0"/>
        <v>2002</v>
      </c>
      <c r="C31" s="924">
        <v>74.900000000000006</v>
      </c>
      <c r="D31" s="924">
        <v>174.2</v>
      </c>
      <c r="E31" s="924">
        <v>74</v>
      </c>
      <c r="F31" s="925" t="str">
        <f>IF($A31&lt;DATE(2018,7,1),"-",INDEX('I1 - Universal Data'!$E$16:$V$16, MATCH(YEAR(EOMONTH($A31,6)), 'I1 - Universal Data'!$E$14:$V$14, 0)))</f>
        <v>-</v>
      </c>
      <c r="G31" s="925" t="str">
        <f>IF($A31&lt;DATE(2018,7,1),"-",INDEX('I1 - Universal Data'!$E$15:$V$15, MATCH(YEAR(EOMONTH($A31,6)), 'I1 - Universal Data'!$E$14:$V$14, 0)))</f>
        <v>-</v>
      </c>
      <c r="H31" s="925" t="str">
        <f>IF($A31&lt;DATE(2018,7,1),"-",INDEX('I1 - Universal Data'!$E$17:$V$17, MATCH(YEAR(EOMONTH($A31,6)), 'I1 - Universal Data'!$E$14:$V$14, 0)))</f>
        <v>-</v>
      </c>
      <c r="I31" s="926">
        <f t="shared" si="3"/>
        <v>74.900000000000006</v>
      </c>
      <c r="J31" s="926">
        <f t="shared" si="3"/>
        <v>174.2</v>
      </c>
      <c r="K31" s="926">
        <f t="shared" si="3"/>
        <v>74</v>
      </c>
      <c r="X31" s="927"/>
    </row>
    <row r="32" spans="1:24">
      <c r="A32" s="922">
        <f t="shared" si="1"/>
        <v>37072</v>
      </c>
      <c r="B32" s="923">
        <f t="shared" si="0"/>
        <v>2002</v>
      </c>
      <c r="C32" s="924">
        <v>75</v>
      </c>
      <c r="D32" s="924">
        <v>174.4</v>
      </c>
      <c r="E32" s="924">
        <v>74.099999999999994</v>
      </c>
      <c r="F32" s="925" t="str">
        <f>IF($A32&lt;DATE(2018,7,1),"-",INDEX('I1 - Universal Data'!$E$16:$V$16, MATCH(YEAR(EOMONTH($A32,6)), 'I1 - Universal Data'!$E$14:$V$14, 0)))</f>
        <v>-</v>
      </c>
      <c r="G32" s="925" t="str">
        <f>IF($A32&lt;DATE(2018,7,1),"-",INDEX('I1 - Universal Data'!$E$15:$V$15, MATCH(YEAR(EOMONTH($A32,6)), 'I1 - Universal Data'!$E$14:$V$14, 0)))</f>
        <v>-</v>
      </c>
      <c r="H32" s="925" t="str">
        <f>IF($A32&lt;DATE(2018,7,1),"-",INDEX('I1 - Universal Data'!$E$17:$V$17, MATCH(YEAR(EOMONTH($A32,6)), 'I1 - Universal Data'!$E$14:$V$14, 0)))</f>
        <v>-</v>
      </c>
      <c r="I32" s="926">
        <f t="shared" si="3"/>
        <v>75</v>
      </c>
      <c r="J32" s="926">
        <f t="shared" si="3"/>
        <v>174.4</v>
      </c>
      <c r="K32" s="926">
        <f t="shared" si="3"/>
        <v>74.099999999999994</v>
      </c>
      <c r="X32" s="927"/>
    </row>
    <row r="33" spans="1:24">
      <c r="A33" s="922">
        <f t="shared" si="1"/>
        <v>37103</v>
      </c>
      <c r="B33" s="923">
        <f t="shared" si="0"/>
        <v>2002</v>
      </c>
      <c r="C33" s="924">
        <v>74.5</v>
      </c>
      <c r="D33" s="924">
        <v>173.3</v>
      </c>
      <c r="E33" s="924">
        <v>73.599999999999994</v>
      </c>
      <c r="F33" s="925" t="str">
        <f>IF($A33&lt;DATE(2018,7,1),"-",INDEX('I1 - Universal Data'!$E$16:$V$16, MATCH(YEAR(EOMONTH($A33,6)), 'I1 - Universal Data'!$E$14:$V$14, 0)))</f>
        <v>-</v>
      </c>
      <c r="G33" s="925" t="str">
        <f>IF($A33&lt;DATE(2018,7,1),"-",INDEX('I1 - Universal Data'!$E$15:$V$15, MATCH(YEAR(EOMONTH($A33,6)), 'I1 - Universal Data'!$E$14:$V$14, 0)))</f>
        <v>-</v>
      </c>
      <c r="H33" s="925" t="str">
        <f>IF($A33&lt;DATE(2018,7,1),"-",INDEX('I1 - Universal Data'!$E$17:$V$17, MATCH(YEAR(EOMONTH($A33,6)), 'I1 - Universal Data'!$E$14:$V$14, 0)))</f>
        <v>-</v>
      </c>
      <c r="I33" s="926">
        <f t="shared" si="3"/>
        <v>74.5</v>
      </c>
      <c r="J33" s="926">
        <f t="shared" si="3"/>
        <v>173.3</v>
      </c>
      <c r="K33" s="926">
        <f t="shared" si="3"/>
        <v>73.599999999999994</v>
      </c>
      <c r="X33" s="927"/>
    </row>
    <row r="34" spans="1:24">
      <c r="A34" s="922">
        <f t="shared" si="1"/>
        <v>37134</v>
      </c>
      <c r="B34" s="923">
        <f t="shared" si="0"/>
        <v>2002</v>
      </c>
      <c r="C34" s="924">
        <v>74.8</v>
      </c>
      <c r="D34" s="924">
        <v>174</v>
      </c>
      <c r="E34" s="924">
        <v>73.900000000000006</v>
      </c>
      <c r="F34" s="925" t="str">
        <f>IF($A34&lt;DATE(2018,7,1),"-",INDEX('I1 - Universal Data'!$E$16:$V$16, MATCH(YEAR(EOMONTH($A34,6)), 'I1 - Universal Data'!$E$14:$V$14, 0)))</f>
        <v>-</v>
      </c>
      <c r="G34" s="925" t="str">
        <f>IF($A34&lt;DATE(2018,7,1),"-",INDEX('I1 - Universal Data'!$E$15:$V$15, MATCH(YEAR(EOMONTH($A34,6)), 'I1 - Universal Data'!$E$14:$V$14, 0)))</f>
        <v>-</v>
      </c>
      <c r="H34" s="925" t="str">
        <f>IF($A34&lt;DATE(2018,7,1),"-",INDEX('I1 - Universal Data'!$E$17:$V$17, MATCH(YEAR(EOMONTH($A34,6)), 'I1 - Universal Data'!$E$14:$V$14, 0)))</f>
        <v>-</v>
      </c>
      <c r="I34" s="926">
        <f t="shared" si="3"/>
        <v>74.8</v>
      </c>
      <c r="J34" s="926">
        <f t="shared" si="3"/>
        <v>174</v>
      </c>
      <c r="K34" s="926">
        <f t="shared" si="3"/>
        <v>73.900000000000006</v>
      </c>
      <c r="X34" s="927"/>
    </row>
    <row r="35" spans="1:24">
      <c r="A35" s="922">
        <f t="shared" si="1"/>
        <v>37164</v>
      </c>
      <c r="B35" s="923">
        <f t="shared" si="0"/>
        <v>2002</v>
      </c>
      <c r="C35" s="924">
        <v>75</v>
      </c>
      <c r="D35" s="924">
        <v>174.6</v>
      </c>
      <c r="E35" s="924">
        <v>74.099999999999994</v>
      </c>
      <c r="F35" s="925" t="str">
        <f>IF($A35&lt;DATE(2018,7,1),"-",INDEX('I1 - Universal Data'!$E$16:$V$16, MATCH(YEAR(EOMONTH($A35,6)), 'I1 - Universal Data'!$E$14:$V$14, 0)))</f>
        <v>-</v>
      </c>
      <c r="G35" s="925" t="str">
        <f>IF($A35&lt;DATE(2018,7,1),"-",INDEX('I1 - Universal Data'!$E$15:$V$15, MATCH(YEAR(EOMONTH($A35,6)), 'I1 - Universal Data'!$E$14:$V$14, 0)))</f>
        <v>-</v>
      </c>
      <c r="H35" s="925" t="str">
        <f>IF($A35&lt;DATE(2018,7,1),"-",INDEX('I1 - Universal Data'!$E$17:$V$17, MATCH(YEAR(EOMONTH($A35,6)), 'I1 - Universal Data'!$E$14:$V$14, 0)))</f>
        <v>-</v>
      </c>
      <c r="I35" s="926">
        <f t="shared" si="3"/>
        <v>75</v>
      </c>
      <c r="J35" s="926">
        <f t="shared" si="3"/>
        <v>174.6</v>
      </c>
      <c r="K35" s="926">
        <f t="shared" si="3"/>
        <v>74.099999999999994</v>
      </c>
      <c r="X35" s="927"/>
    </row>
    <row r="36" spans="1:24">
      <c r="A36" s="922">
        <f t="shared" si="1"/>
        <v>37195</v>
      </c>
      <c r="B36" s="923">
        <f t="shared" si="0"/>
        <v>2002</v>
      </c>
      <c r="C36" s="924">
        <v>74.900000000000006</v>
      </c>
      <c r="D36" s="924">
        <v>174.3</v>
      </c>
      <c r="E36" s="924">
        <v>73.900000000000006</v>
      </c>
      <c r="F36" s="925" t="str">
        <f>IF($A36&lt;DATE(2018,7,1),"-",INDEX('I1 - Universal Data'!$E$16:$V$16, MATCH(YEAR(EOMONTH($A36,6)), 'I1 - Universal Data'!$E$14:$V$14, 0)))</f>
        <v>-</v>
      </c>
      <c r="G36" s="925" t="str">
        <f>IF($A36&lt;DATE(2018,7,1),"-",INDEX('I1 - Universal Data'!$E$15:$V$15, MATCH(YEAR(EOMONTH($A36,6)), 'I1 - Universal Data'!$E$14:$V$14, 0)))</f>
        <v>-</v>
      </c>
      <c r="H36" s="925" t="str">
        <f>IF($A36&lt;DATE(2018,7,1),"-",INDEX('I1 - Universal Data'!$E$17:$V$17, MATCH(YEAR(EOMONTH($A36,6)), 'I1 - Universal Data'!$E$14:$V$14, 0)))</f>
        <v>-</v>
      </c>
      <c r="I36" s="926">
        <f t="shared" si="3"/>
        <v>74.900000000000006</v>
      </c>
      <c r="J36" s="926">
        <f t="shared" si="3"/>
        <v>174.3</v>
      </c>
      <c r="K36" s="926">
        <f t="shared" si="3"/>
        <v>73.900000000000006</v>
      </c>
      <c r="X36" s="927"/>
    </row>
    <row r="37" spans="1:24">
      <c r="A37" s="922">
        <f t="shared" si="1"/>
        <v>37225</v>
      </c>
      <c r="B37" s="923">
        <f t="shared" si="0"/>
        <v>2002</v>
      </c>
      <c r="C37" s="924">
        <v>74.900000000000006</v>
      </c>
      <c r="D37" s="924">
        <v>173.6</v>
      </c>
      <c r="E37" s="924">
        <v>73.8</v>
      </c>
      <c r="F37" s="925" t="str">
        <f>IF($A37&lt;DATE(2018,7,1),"-",INDEX('I1 - Universal Data'!$E$16:$V$16, MATCH(YEAR(EOMONTH($A37,6)), 'I1 - Universal Data'!$E$14:$V$14, 0)))</f>
        <v>-</v>
      </c>
      <c r="G37" s="925" t="str">
        <f>IF($A37&lt;DATE(2018,7,1),"-",INDEX('I1 - Universal Data'!$E$15:$V$15, MATCH(YEAR(EOMONTH($A37,6)), 'I1 - Universal Data'!$E$14:$V$14, 0)))</f>
        <v>-</v>
      </c>
      <c r="H37" s="925" t="str">
        <f>IF($A37&lt;DATE(2018,7,1),"-",INDEX('I1 - Universal Data'!$E$17:$V$17, MATCH(YEAR(EOMONTH($A37,6)), 'I1 - Universal Data'!$E$14:$V$14, 0)))</f>
        <v>-</v>
      </c>
      <c r="I37" s="926">
        <f t="shared" si="3"/>
        <v>74.900000000000006</v>
      </c>
      <c r="J37" s="926">
        <f t="shared" si="3"/>
        <v>173.6</v>
      </c>
      <c r="K37" s="926">
        <f t="shared" si="3"/>
        <v>73.8</v>
      </c>
      <c r="X37" s="927"/>
    </row>
    <row r="38" spans="1:24">
      <c r="A38" s="922">
        <f t="shared" si="1"/>
        <v>37256</v>
      </c>
      <c r="B38" s="923">
        <f t="shared" si="0"/>
        <v>2002</v>
      </c>
      <c r="C38" s="924">
        <v>75</v>
      </c>
      <c r="D38" s="924">
        <v>173.4</v>
      </c>
      <c r="E38" s="924">
        <v>74</v>
      </c>
      <c r="F38" s="925" t="str">
        <f>IF($A38&lt;DATE(2018,7,1),"-",INDEX('I1 - Universal Data'!$E$16:$V$16, MATCH(YEAR(EOMONTH($A38,6)), 'I1 - Universal Data'!$E$14:$V$14, 0)))</f>
        <v>-</v>
      </c>
      <c r="G38" s="925" t="str">
        <f>IF($A38&lt;DATE(2018,7,1),"-",INDEX('I1 - Universal Data'!$E$15:$V$15, MATCH(YEAR(EOMONTH($A38,6)), 'I1 - Universal Data'!$E$14:$V$14, 0)))</f>
        <v>-</v>
      </c>
      <c r="H38" s="925" t="str">
        <f>IF($A38&lt;DATE(2018,7,1),"-",INDEX('I1 - Universal Data'!$E$17:$V$17, MATCH(YEAR(EOMONTH($A38,6)), 'I1 - Universal Data'!$E$14:$V$14, 0)))</f>
        <v>-</v>
      </c>
      <c r="I38" s="926">
        <f t="shared" si="3"/>
        <v>75</v>
      </c>
      <c r="J38" s="926">
        <f t="shared" si="3"/>
        <v>173.4</v>
      </c>
      <c r="K38" s="926">
        <f t="shared" si="3"/>
        <v>74</v>
      </c>
      <c r="X38" s="927"/>
    </row>
    <row r="39" spans="1:24">
      <c r="A39" s="922">
        <f t="shared" si="1"/>
        <v>37287</v>
      </c>
      <c r="B39" s="923">
        <f t="shared" si="0"/>
        <v>2002</v>
      </c>
      <c r="C39" s="924">
        <v>74.8</v>
      </c>
      <c r="D39" s="924">
        <v>173.3</v>
      </c>
      <c r="E39" s="924">
        <v>73.7</v>
      </c>
      <c r="F39" s="925" t="str">
        <f>IF($A39&lt;DATE(2018,7,1),"-",INDEX('I1 - Universal Data'!$E$16:$V$16, MATCH(YEAR(EOMONTH($A39,6)), 'I1 - Universal Data'!$E$14:$V$14, 0)))</f>
        <v>-</v>
      </c>
      <c r="G39" s="925" t="str">
        <f>IF($A39&lt;DATE(2018,7,1),"-",INDEX('I1 - Universal Data'!$E$15:$V$15, MATCH(YEAR(EOMONTH($A39,6)), 'I1 - Universal Data'!$E$14:$V$14, 0)))</f>
        <v>-</v>
      </c>
      <c r="H39" s="925" t="str">
        <f>IF($A39&lt;DATE(2018,7,1),"-",INDEX('I1 - Universal Data'!$E$17:$V$17, MATCH(YEAR(EOMONTH($A39,6)), 'I1 - Universal Data'!$E$14:$V$14, 0)))</f>
        <v>-</v>
      </c>
      <c r="I39" s="926">
        <f t="shared" ref="I39:K54" si="4">IF(ISBLANK(C39),I38*((1+F39)^(1/12)),C39)</f>
        <v>74.8</v>
      </c>
      <c r="J39" s="926">
        <f t="shared" si="4"/>
        <v>173.3</v>
      </c>
      <c r="K39" s="926">
        <f t="shared" si="4"/>
        <v>73.7</v>
      </c>
      <c r="X39" s="927"/>
    </row>
    <row r="40" spans="1:24">
      <c r="A40" s="922">
        <f t="shared" si="1"/>
        <v>37315</v>
      </c>
      <c r="B40" s="923">
        <f t="shared" si="0"/>
        <v>2002</v>
      </c>
      <c r="C40" s="924">
        <v>75</v>
      </c>
      <c r="D40" s="924">
        <v>173.8</v>
      </c>
      <c r="E40" s="924">
        <v>73.8</v>
      </c>
      <c r="F40" s="925" t="str">
        <f>IF($A40&lt;DATE(2018,7,1),"-",INDEX('I1 - Universal Data'!$E$16:$V$16, MATCH(YEAR(EOMONTH($A40,6)), 'I1 - Universal Data'!$E$14:$V$14, 0)))</f>
        <v>-</v>
      </c>
      <c r="G40" s="925" t="str">
        <f>IF($A40&lt;DATE(2018,7,1),"-",INDEX('I1 - Universal Data'!$E$15:$V$15, MATCH(YEAR(EOMONTH($A40,6)), 'I1 - Universal Data'!$E$14:$V$14, 0)))</f>
        <v>-</v>
      </c>
      <c r="H40" s="925" t="str">
        <f>IF($A40&lt;DATE(2018,7,1),"-",INDEX('I1 - Universal Data'!$E$17:$V$17, MATCH(YEAR(EOMONTH($A40,6)), 'I1 - Universal Data'!$E$14:$V$14, 0)))</f>
        <v>-</v>
      </c>
      <c r="I40" s="926">
        <f t="shared" si="4"/>
        <v>75</v>
      </c>
      <c r="J40" s="926">
        <f t="shared" si="4"/>
        <v>173.8</v>
      </c>
      <c r="K40" s="926">
        <f t="shared" si="4"/>
        <v>73.8</v>
      </c>
      <c r="X40" s="927"/>
    </row>
    <row r="41" spans="1:24">
      <c r="A41" s="922">
        <f t="shared" si="1"/>
        <v>37346</v>
      </c>
      <c r="B41" s="923">
        <f t="shared" si="0"/>
        <v>2002</v>
      </c>
      <c r="C41" s="924">
        <v>75.2</v>
      </c>
      <c r="D41" s="924">
        <v>174.5</v>
      </c>
      <c r="E41" s="924">
        <v>74.099999999999994</v>
      </c>
      <c r="F41" s="925" t="str">
        <f>IF($A41&lt;DATE(2018,7,1),"-",INDEX('I1 - Universal Data'!$E$16:$V$16, MATCH(YEAR(EOMONTH($A41,6)), 'I1 - Universal Data'!$E$14:$V$14, 0)))</f>
        <v>-</v>
      </c>
      <c r="G41" s="925" t="str">
        <f>IF($A41&lt;DATE(2018,7,1),"-",INDEX('I1 - Universal Data'!$E$15:$V$15, MATCH(YEAR(EOMONTH($A41,6)), 'I1 - Universal Data'!$E$14:$V$14, 0)))</f>
        <v>-</v>
      </c>
      <c r="H41" s="925" t="str">
        <f>IF($A41&lt;DATE(2018,7,1),"-",INDEX('I1 - Universal Data'!$E$17:$V$17, MATCH(YEAR(EOMONTH($A41,6)), 'I1 - Universal Data'!$E$14:$V$14, 0)))</f>
        <v>-</v>
      </c>
      <c r="I41" s="926">
        <f t="shared" si="4"/>
        <v>75.2</v>
      </c>
      <c r="J41" s="926">
        <f t="shared" si="4"/>
        <v>174.5</v>
      </c>
      <c r="K41" s="926">
        <f t="shared" si="4"/>
        <v>74.099999999999994</v>
      </c>
      <c r="X41" s="927"/>
    </row>
    <row r="42" spans="1:24">
      <c r="A42" s="922">
        <f t="shared" si="1"/>
        <v>37376</v>
      </c>
      <c r="B42" s="923">
        <f t="shared" si="0"/>
        <v>2003</v>
      </c>
      <c r="C42" s="924">
        <v>75.599999999999994</v>
      </c>
      <c r="D42" s="924">
        <v>175.7</v>
      </c>
      <c r="E42" s="924">
        <v>74.400000000000006</v>
      </c>
      <c r="F42" s="925" t="str">
        <f>IF($A42&lt;DATE(2018,7,1),"-",INDEX('I1 - Universal Data'!$E$16:$V$16, MATCH(YEAR(EOMONTH($A42,6)), 'I1 - Universal Data'!$E$14:$V$14, 0)))</f>
        <v>-</v>
      </c>
      <c r="G42" s="925" t="str">
        <f>IF($A42&lt;DATE(2018,7,1),"-",INDEX('I1 - Universal Data'!$E$15:$V$15, MATCH(YEAR(EOMONTH($A42,6)), 'I1 - Universal Data'!$E$14:$V$14, 0)))</f>
        <v>-</v>
      </c>
      <c r="H42" s="925" t="str">
        <f>IF($A42&lt;DATE(2018,7,1),"-",INDEX('I1 - Universal Data'!$E$17:$V$17, MATCH(YEAR(EOMONTH($A42,6)), 'I1 - Universal Data'!$E$14:$V$14, 0)))</f>
        <v>-</v>
      </c>
      <c r="I42" s="926">
        <f t="shared" si="4"/>
        <v>75.599999999999994</v>
      </c>
      <c r="J42" s="926">
        <f t="shared" si="4"/>
        <v>175.7</v>
      </c>
      <c r="K42" s="926">
        <f t="shared" si="4"/>
        <v>74.400000000000006</v>
      </c>
      <c r="X42" s="927"/>
    </row>
    <row r="43" spans="1:24">
      <c r="A43" s="922">
        <f t="shared" si="1"/>
        <v>37407</v>
      </c>
      <c r="B43" s="923">
        <f t="shared" si="0"/>
        <v>2003</v>
      </c>
      <c r="C43" s="924">
        <v>75.8</v>
      </c>
      <c r="D43" s="924">
        <v>176.2</v>
      </c>
      <c r="E43" s="924">
        <v>74.599999999999994</v>
      </c>
      <c r="F43" s="925" t="str">
        <f>IF($A43&lt;DATE(2018,7,1),"-",INDEX('I1 - Universal Data'!$E$16:$V$16, MATCH(YEAR(EOMONTH($A43,6)), 'I1 - Universal Data'!$E$14:$V$14, 0)))</f>
        <v>-</v>
      </c>
      <c r="G43" s="925" t="str">
        <f>IF($A43&lt;DATE(2018,7,1),"-",INDEX('I1 - Universal Data'!$E$15:$V$15, MATCH(YEAR(EOMONTH($A43,6)), 'I1 - Universal Data'!$E$14:$V$14, 0)))</f>
        <v>-</v>
      </c>
      <c r="H43" s="925" t="str">
        <f>IF($A43&lt;DATE(2018,7,1),"-",INDEX('I1 - Universal Data'!$E$17:$V$17, MATCH(YEAR(EOMONTH($A43,6)), 'I1 - Universal Data'!$E$14:$V$14, 0)))</f>
        <v>-</v>
      </c>
      <c r="I43" s="926">
        <f t="shared" si="4"/>
        <v>75.8</v>
      </c>
      <c r="J43" s="926">
        <f t="shared" si="4"/>
        <v>176.2</v>
      </c>
      <c r="K43" s="926">
        <f t="shared" si="4"/>
        <v>74.599999999999994</v>
      </c>
      <c r="X43" s="927"/>
    </row>
    <row r="44" spans="1:24">
      <c r="A44" s="922">
        <f t="shared" si="1"/>
        <v>37437</v>
      </c>
      <c r="B44" s="923">
        <f t="shared" si="0"/>
        <v>2003</v>
      </c>
      <c r="C44" s="924">
        <v>75.8</v>
      </c>
      <c r="D44" s="924">
        <v>176.2</v>
      </c>
      <c r="E44" s="924">
        <v>74.599999999999994</v>
      </c>
      <c r="F44" s="925" t="str">
        <f>IF($A44&lt;DATE(2018,7,1),"-",INDEX('I1 - Universal Data'!$E$16:$V$16, MATCH(YEAR(EOMONTH($A44,6)), 'I1 - Universal Data'!$E$14:$V$14, 0)))</f>
        <v>-</v>
      </c>
      <c r="G44" s="925" t="str">
        <f>IF($A44&lt;DATE(2018,7,1),"-",INDEX('I1 - Universal Data'!$E$15:$V$15, MATCH(YEAR(EOMONTH($A44,6)), 'I1 - Universal Data'!$E$14:$V$14, 0)))</f>
        <v>-</v>
      </c>
      <c r="H44" s="925" t="str">
        <f>IF($A44&lt;DATE(2018,7,1),"-",INDEX('I1 - Universal Data'!$E$17:$V$17, MATCH(YEAR(EOMONTH($A44,6)), 'I1 - Universal Data'!$E$14:$V$14, 0)))</f>
        <v>-</v>
      </c>
      <c r="I44" s="926">
        <f t="shared" si="4"/>
        <v>75.8</v>
      </c>
      <c r="J44" s="926">
        <f t="shared" si="4"/>
        <v>176.2</v>
      </c>
      <c r="K44" s="926">
        <f t="shared" si="4"/>
        <v>74.599999999999994</v>
      </c>
      <c r="X44" s="927"/>
    </row>
    <row r="45" spans="1:24">
      <c r="A45" s="922">
        <f t="shared" si="1"/>
        <v>37468</v>
      </c>
      <c r="B45" s="923">
        <f t="shared" si="0"/>
        <v>2003</v>
      </c>
      <c r="C45" s="924">
        <v>75.599999999999994</v>
      </c>
      <c r="D45" s="924">
        <v>175.9</v>
      </c>
      <c r="E45" s="924">
        <v>74.400000000000006</v>
      </c>
      <c r="F45" s="925" t="str">
        <f>IF($A45&lt;DATE(2018,7,1),"-",INDEX('I1 - Universal Data'!$E$16:$V$16, MATCH(YEAR(EOMONTH($A45,6)), 'I1 - Universal Data'!$E$14:$V$14, 0)))</f>
        <v>-</v>
      </c>
      <c r="G45" s="925" t="str">
        <f>IF($A45&lt;DATE(2018,7,1),"-",INDEX('I1 - Universal Data'!$E$15:$V$15, MATCH(YEAR(EOMONTH($A45,6)), 'I1 - Universal Data'!$E$14:$V$14, 0)))</f>
        <v>-</v>
      </c>
      <c r="H45" s="925" t="str">
        <f>IF($A45&lt;DATE(2018,7,1),"-",INDEX('I1 - Universal Data'!$E$17:$V$17, MATCH(YEAR(EOMONTH($A45,6)), 'I1 - Universal Data'!$E$14:$V$14, 0)))</f>
        <v>-</v>
      </c>
      <c r="I45" s="926">
        <f t="shared" si="4"/>
        <v>75.599999999999994</v>
      </c>
      <c r="J45" s="926">
        <f t="shared" si="4"/>
        <v>175.9</v>
      </c>
      <c r="K45" s="926">
        <f t="shared" si="4"/>
        <v>74.400000000000006</v>
      </c>
      <c r="X45" s="927"/>
    </row>
    <row r="46" spans="1:24">
      <c r="A46" s="922">
        <f t="shared" si="1"/>
        <v>37499</v>
      </c>
      <c r="B46" s="923">
        <f t="shared" si="0"/>
        <v>2003</v>
      </c>
      <c r="C46" s="924">
        <v>75.8</v>
      </c>
      <c r="D46" s="924">
        <v>176.4</v>
      </c>
      <c r="E46" s="924">
        <v>74.599999999999994</v>
      </c>
      <c r="F46" s="925" t="str">
        <f>IF($A46&lt;DATE(2018,7,1),"-",INDEX('I1 - Universal Data'!$E$16:$V$16, MATCH(YEAR(EOMONTH($A46,6)), 'I1 - Universal Data'!$E$14:$V$14, 0)))</f>
        <v>-</v>
      </c>
      <c r="G46" s="925" t="str">
        <f>IF($A46&lt;DATE(2018,7,1),"-",INDEX('I1 - Universal Data'!$E$15:$V$15, MATCH(YEAR(EOMONTH($A46,6)), 'I1 - Universal Data'!$E$14:$V$14, 0)))</f>
        <v>-</v>
      </c>
      <c r="H46" s="925" t="str">
        <f>IF($A46&lt;DATE(2018,7,1),"-",INDEX('I1 - Universal Data'!$E$17:$V$17, MATCH(YEAR(EOMONTH($A46,6)), 'I1 - Universal Data'!$E$14:$V$14, 0)))</f>
        <v>-</v>
      </c>
      <c r="I46" s="926">
        <f t="shared" si="4"/>
        <v>75.8</v>
      </c>
      <c r="J46" s="926">
        <f t="shared" si="4"/>
        <v>176.4</v>
      </c>
      <c r="K46" s="926">
        <f t="shared" si="4"/>
        <v>74.599999999999994</v>
      </c>
      <c r="X46" s="927"/>
    </row>
    <row r="47" spans="1:24">
      <c r="A47" s="922">
        <f t="shared" si="1"/>
        <v>37529</v>
      </c>
      <c r="B47" s="923">
        <f t="shared" si="0"/>
        <v>2003</v>
      </c>
      <c r="C47" s="924">
        <v>76</v>
      </c>
      <c r="D47" s="924">
        <v>177.6</v>
      </c>
      <c r="E47" s="924">
        <v>74.8</v>
      </c>
      <c r="F47" s="925" t="str">
        <f>IF($A47&lt;DATE(2018,7,1),"-",INDEX('I1 - Universal Data'!$E$16:$V$16, MATCH(YEAR(EOMONTH($A47,6)), 'I1 - Universal Data'!$E$14:$V$14, 0)))</f>
        <v>-</v>
      </c>
      <c r="G47" s="925" t="str">
        <f>IF($A47&lt;DATE(2018,7,1),"-",INDEX('I1 - Universal Data'!$E$15:$V$15, MATCH(YEAR(EOMONTH($A47,6)), 'I1 - Universal Data'!$E$14:$V$14, 0)))</f>
        <v>-</v>
      </c>
      <c r="H47" s="925" t="str">
        <f>IF($A47&lt;DATE(2018,7,1),"-",INDEX('I1 - Universal Data'!$E$17:$V$17, MATCH(YEAR(EOMONTH($A47,6)), 'I1 - Universal Data'!$E$14:$V$14, 0)))</f>
        <v>-</v>
      </c>
      <c r="I47" s="926">
        <f t="shared" si="4"/>
        <v>76</v>
      </c>
      <c r="J47" s="926">
        <f t="shared" si="4"/>
        <v>177.6</v>
      </c>
      <c r="K47" s="926">
        <f t="shared" si="4"/>
        <v>74.8</v>
      </c>
      <c r="X47" s="927"/>
    </row>
    <row r="48" spans="1:24">
      <c r="A48" s="922">
        <f t="shared" si="1"/>
        <v>37560</v>
      </c>
      <c r="B48" s="923">
        <f t="shared" si="0"/>
        <v>2003</v>
      </c>
      <c r="C48" s="924">
        <v>76.099999999999994</v>
      </c>
      <c r="D48" s="924">
        <v>177.9</v>
      </c>
      <c r="E48" s="924">
        <v>74.900000000000006</v>
      </c>
      <c r="F48" s="925" t="str">
        <f>IF($A48&lt;DATE(2018,7,1),"-",INDEX('I1 - Universal Data'!$E$16:$V$16, MATCH(YEAR(EOMONTH($A48,6)), 'I1 - Universal Data'!$E$14:$V$14, 0)))</f>
        <v>-</v>
      </c>
      <c r="G48" s="925" t="str">
        <f>IF($A48&lt;DATE(2018,7,1),"-",INDEX('I1 - Universal Data'!$E$15:$V$15, MATCH(YEAR(EOMONTH($A48,6)), 'I1 - Universal Data'!$E$14:$V$14, 0)))</f>
        <v>-</v>
      </c>
      <c r="H48" s="925" t="str">
        <f>IF($A48&lt;DATE(2018,7,1),"-",INDEX('I1 - Universal Data'!$E$17:$V$17, MATCH(YEAR(EOMONTH($A48,6)), 'I1 - Universal Data'!$E$14:$V$14, 0)))</f>
        <v>-</v>
      </c>
      <c r="I48" s="926">
        <f t="shared" si="4"/>
        <v>76.099999999999994</v>
      </c>
      <c r="J48" s="926">
        <f t="shared" si="4"/>
        <v>177.9</v>
      </c>
      <c r="K48" s="926">
        <f t="shared" si="4"/>
        <v>74.900000000000006</v>
      </c>
      <c r="X48" s="927"/>
    </row>
    <row r="49" spans="1:24">
      <c r="A49" s="922">
        <f t="shared" si="1"/>
        <v>37590</v>
      </c>
      <c r="B49" s="923">
        <f t="shared" si="0"/>
        <v>2003</v>
      </c>
      <c r="C49" s="924">
        <v>76.099999999999994</v>
      </c>
      <c r="D49" s="924">
        <v>178.2</v>
      </c>
      <c r="E49" s="924">
        <v>74.900000000000006</v>
      </c>
      <c r="F49" s="925" t="str">
        <f>IF($A49&lt;DATE(2018,7,1),"-",INDEX('I1 - Universal Data'!$E$16:$V$16, MATCH(YEAR(EOMONTH($A49,6)), 'I1 - Universal Data'!$E$14:$V$14, 0)))</f>
        <v>-</v>
      </c>
      <c r="G49" s="925" t="str">
        <f>IF($A49&lt;DATE(2018,7,1),"-",INDEX('I1 - Universal Data'!$E$15:$V$15, MATCH(YEAR(EOMONTH($A49,6)), 'I1 - Universal Data'!$E$14:$V$14, 0)))</f>
        <v>-</v>
      </c>
      <c r="H49" s="925" t="str">
        <f>IF($A49&lt;DATE(2018,7,1),"-",INDEX('I1 - Universal Data'!$E$17:$V$17, MATCH(YEAR(EOMONTH($A49,6)), 'I1 - Universal Data'!$E$14:$V$14, 0)))</f>
        <v>-</v>
      </c>
      <c r="I49" s="926">
        <f t="shared" si="4"/>
        <v>76.099999999999994</v>
      </c>
      <c r="J49" s="926">
        <f t="shared" si="4"/>
        <v>178.2</v>
      </c>
      <c r="K49" s="926">
        <f t="shared" si="4"/>
        <v>74.900000000000006</v>
      </c>
      <c r="X49" s="927"/>
    </row>
    <row r="50" spans="1:24">
      <c r="A50" s="922">
        <f t="shared" si="1"/>
        <v>37621</v>
      </c>
      <c r="B50" s="923">
        <f t="shared" si="0"/>
        <v>2003</v>
      </c>
      <c r="C50" s="924">
        <v>76.3</v>
      </c>
      <c r="D50" s="924">
        <v>178.5</v>
      </c>
      <c r="E50" s="924">
        <v>75.2</v>
      </c>
      <c r="F50" s="925" t="str">
        <f>IF($A50&lt;DATE(2018,7,1),"-",INDEX('I1 - Universal Data'!$E$16:$V$16, MATCH(YEAR(EOMONTH($A50,6)), 'I1 - Universal Data'!$E$14:$V$14, 0)))</f>
        <v>-</v>
      </c>
      <c r="G50" s="925" t="str">
        <f>IF($A50&lt;DATE(2018,7,1),"-",INDEX('I1 - Universal Data'!$E$15:$V$15, MATCH(YEAR(EOMONTH($A50,6)), 'I1 - Universal Data'!$E$14:$V$14, 0)))</f>
        <v>-</v>
      </c>
      <c r="H50" s="925" t="str">
        <f>IF($A50&lt;DATE(2018,7,1),"-",INDEX('I1 - Universal Data'!$E$17:$V$17, MATCH(YEAR(EOMONTH($A50,6)), 'I1 - Universal Data'!$E$14:$V$14, 0)))</f>
        <v>-</v>
      </c>
      <c r="I50" s="926">
        <f t="shared" si="4"/>
        <v>76.3</v>
      </c>
      <c r="J50" s="926">
        <f t="shared" si="4"/>
        <v>178.5</v>
      </c>
      <c r="K50" s="926">
        <f t="shared" si="4"/>
        <v>75.2</v>
      </c>
      <c r="X50" s="927"/>
    </row>
    <row r="51" spans="1:24">
      <c r="A51" s="922">
        <f t="shared" si="1"/>
        <v>37652</v>
      </c>
      <c r="B51" s="923">
        <f t="shared" si="0"/>
        <v>2003</v>
      </c>
      <c r="C51" s="924">
        <v>75.900000000000006</v>
      </c>
      <c r="D51" s="924">
        <v>178.4</v>
      </c>
      <c r="E51" s="924">
        <v>74.7</v>
      </c>
      <c r="F51" s="925" t="str">
        <f>IF($A51&lt;DATE(2018,7,1),"-",INDEX('I1 - Universal Data'!$E$16:$V$16, MATCH(YEAR(EOMONTH($A51,6)), 'I1 - Universal Data'!$E$14:$V$14, 0)))</f>
        <v>-</v>
      </c>
      <c r="G51" s="925" t="str">
        <f>IF($A51&lt;DATE(2018,7,1),"-",INDEX('I1 - Universal Data'!$E$15:$V$15, MATCH(YEAR(EOMONTH($A51,6)), 'I1 - Universal Data'!$E$14:$V$14, 0)))</f>
        <v>-</v>
      </c>
      <c r="H51" s="925" t="str">
        <f>IF($A51&lt;DATE(2018,7,1),"-",INDEX('I1 - Universal Data'!$E$17:$V$17, MATCH(YEAR(EOMONTH($A51,6)), 'I1 - Universal Data'!$E$14:$V$14, 0)))</f>
        <v>-</v>
      </c>
      <c r="I51" s="926">
        <f t="shared" si="4"/>
        <v>75.900000000000006</v>
      </c>
      <c r="J51" s="926">
        <f t="shared" si="4"/>
        <v>178.4</v>
      </c>
      <c r="K51" s="926">
        <f t="shared" si="4"/>
        <v>74.7</v>
      </c>
      <c r="X51" s="927"/>
    </row>
    <row r="52" spans="1:24">
      <c r="A52" s="922">
        <f t="shared" si="1"/>
        <v>37680</v>
      </c>
      <c r="B52" s="923">
        <f t="shared" si="0"/>
        <v>2003</v>
      </c>
      <c r="C52" s="924">
        <v>76.099999999999994</v>
      </c>
      <c r="D52" s="924">
        <v>179.3</v>
      </c>
      <c r="E52" s="924">
        <v>75</v>
      </c>
      <c r="F52" s="925" t="str">
        <f>IF($A52&lt;DATE(2018,7,1),"-",INDEX('I1 - Universal Data'!$E$16:$V$16, MATCH(YEAR(EOMONTH($A52,6)), 'I1 - Universal Data'!$E$14:$V$14, 0)))</f>
        <v>-</v>
      </c>
      <c r="G52" s="925" t="str">
        <f>IF($A52&lt;DATE(2018,7,1),"-",INDEX('I1 - Universal Data'!$E$15:$V$15, MATCH(YEAR(EOMONTH($A52,6)), 'I1 - Universal Data'!$E$14:$V$14, 0)))</f>
        <v>-</v>
      </c>
      <c r="H52" s="925" t="str">
        <f>IF($A52&lt;DATE(2018,7,1),"-",INDEX('I1 - Universal Data'!$E$17:$V$17, MATCH(YEAR(EOMONTH($A52,6)), 'I1 - Universal Data'!$E$14:$V$14, 0)))</f>
        <v>-</v>
      </c>
      <c r="I52" s="926">
        <f t="shared" si="4"/>
        <v>76.099999999999994</v>
      </c>
      <c r="J52" s="926">
        <f t="shared" si="4"/>
        <v>179.3</v>
      </c>
      <c r="K52" s="926">
        <f t="shared" si="4"/>
        <v>75</v>
      </c>
      <c r="X52" s="927"/>
    </row>
    <row r="53" spans="1:24">
      <c r="A53" s="922">
        <f t="shared" si="1"/>
        <v>37711</v>
      </c>
      <c r="B53" s="923">
        <f t="shared" si="0"/>
        <v>2003</v>
      </c>
      <c r="C53" s="924">
        <v>76.400000000000006</v>
      </c>
      <c r="D53" s="924">
        <v>179.9</v>
      </c>
      <c r="E53" s="924">
        <v>75.3</v>
      </c>
      <c r="F53" s="925" t="str">
        <f>IF($A53&lt;DATE(2018,7,1),"-",INDEX('I1 - Universal Data'!$E$16:$V$16, MATCH(YEAR(EOMONTH($A53,6)), 'I1 - Universal Data'!$E$14:$V$14, 0)))</f>
        <v>-</v>
      </c>
      <c r="G53" s="925" t="str">
        <f>IF($A53&lt;DATE(2018,7,1),"-",INDEX('I1 - Universal Data'!$E$15:$V$15, MATCH(YEAR(EOMONTH($A53,6)), 'I1 - Universal Data'!$E$14:$V$14, 0)))</f>
        <v>-</v>
      </c>
      <c r="H53" s="925" t="str">
        <f>IF($A53&lt;DATE(2018,7,1),"-",INDEX('I1 - Universal Data'!$E$17:$V$17, MATCH(YEAR(EOMONTH($A53,6)), 'I1 - Universal Data'!$E$14:$V$14, 0)))</f>
        <v>-</v>
      </c>
      <c r="I53" s="926">
        <f t="shared" si="4"/>
        <v>76.400000000000006</v>
      </c>
      <c r="J53" s="926">
        <f t="shared" si="4"/>
        <v>179.9</v>
      </c>
      <c r="K53" s="926">
        <f t="shared" si="4"/>
        <v>75.3</v>
      </c>
      <c r="X53" s="927"/>
    </row>
    <row r="54" spans="1:24">
      <c r="A54" s="922">
        <f t="shared" si="1"/>
        <v>37741</v>
      </c>
      <c r="B54" s="923">
        <f t="shared" si="0"/>
        <v>2004</v>
      </c>
      <c r="C54" s="924">
        <v>76.8</v>
      </c>
      <c r="D54" s="924">
        <v>181.2</v>
      </c>
      <c r="E54" s="924">
        <v>75.5</v>
      </c>
      <c r="F54" s="925" t="str">
        <f>IF($A54&lt;DATE(2018,7,1),"-",INDEX('I1 - Universal Data'!$E$16:$V$16, MATCH(YEAR(EOMONTH($A54,6)), 'I1 - Universal Data'!$E$14:$V$14, 0)))</f>
        <v>-</v>
      </c>
      <c r="G54" s="925" t="str">
        <f>IF($A54&lt;DATE(2018,7,1),"-",INDEX('I1 - Universal Data'!$E$15:$V$15, MATCH(YEAR(EOMONTH($A54,6)), 'I1 - Universal Data'!$E$14:$V$14, 0)))</f>
        <v>-</v>
      </c>
      <c r="H54" s="925" t="str">
        <f>IF($A54&lt;DATE(2018,7,1),"-",INDEX('I1 - Universal Data'!$E$17:$V$17, MATCH(YEAR(EOMONTH($A54,6)), 'I1 - Universal Data'!$E$14:$V$14, 0)))</f>
        <v>-</v>
      </c>
      <c r="I54" s="926">
        <f t="shared" si="4"/>
        <v>76.8</v>
      </c>
      <c r="J54" s="926">
        <f t="shared" si="4"/>
        <v>181.2</v>
      </c>
      <c r="K54" s="926">
        <f t="shared" si="4"/>
        <v>75.5</v>
      </c>
      <c r="X54" s="927"/>
    </row>
    <row r="55" spans="1:24">
      <c r="A55" s="922">
        <f t="shared" si="1"/>
        <v>37772</v>
      </c>
      <c r="B55" s="923">
        <f t="shared" si="0"/>
        <v>2004</v>
      </c>
      <c r="C55" s="924">
        <v>76.8</v>
      </c>
      <c r="D55" s="924">
        <v>181.5</v>
      </c>
      <c r="E55" s="924">
        <v>75.5</v>
      </c>
      <c r="F55" s="925" t="str">
        <f>IF($A55&lt;DATE(2018,7,1),"-",INDEX('I1 - Universal Data'!$E$16:$V$16, MATCH(YEAR(EOMONTH($A55,6)), 'I1 - Universal Data'!$E$14:$V$14, 0)))</f>
        <v>-</v>
      </c>
      <c r="G55" s="925" t="str">
        <f>IF($A55&lt;DATE(2018,7,1),"-",INDEX('I1 - Universal Data'!$E$15:$V$15, MATCH(YEAR(EOMONTH($A55,6)), 'I1 - Universal Data'!$E$14:$V$14, 0)))</f>
        <v>-</v>
      </c>
      <c r="H55" s="925" t="str">
        <f>IF($A55&lt;DATE(2018,7,1),"-",INDEX('I1 - Universal Data'!$E$17:$V$17, MATCH(YEAR(EOMONTH($A55,6)), 'I1 - Universal Data'!$E$14:$V$14, 0)))</f>
        <v>-</v>
      </c>
      <c r="I55" s="926">
        <f t="shared" ref="I55:K70" si="5">IF(ISBLANK(C55),I54*((1+F55)^(1/12)),C55)</f>
        <v>76.8</v>
      </c>
      <c r="J55" s="926">
        <f t="shared" si="5"/>
        <v>181.5</v>
      </c>
      <c r="K55" s="926">
        <f t="shared" si="5"/>
        <v>75.5</v>
      </c>
      <c r="X55" s="927"/>
    </row>
    <row r="56" spans="1:24">
      <c r="A56" s="922">
        <f t="shared" si="1"/>
        <v>37802</v>
      </c>
      <c r="B56" s="923">
        <f t="shared" si="0"/>
        <v>2004</v>
      </c>
      <c r="C56" s="924">
        <v>76.7</v>
      </c>
      <c r="D56" s="924">
        <v>181.3</v>
      </c>
      <c r="E56" s="924">
        <v>75.400000000000006</v>
      </c>
      <c r="F56" s="925" t="str">
        <f>IF($A56&lt;DATE(2018,7,1),"-",INDEX('I1 - Universal Data'!$E$16:$V$16, MATCH(YEAR(EOMONTH($A56,6)), 'I1 - Universal Data'!$E$14:$V$14, 0)))</f>
        <v>-</v>
      </c>
      <c r="G56" s="925" t="str">
        <f>IF($A56&lt;DATE(2018,7,1),"-",INDEX('I1 - Universal Data'!$E$15:$V$15, MATCH(YEAR(EOMONTH($A56,6)), 'I1 - Universal Data'!$E$14:$V$14, 0)))</f>
        <v>-</v>
      </c>
      <c r="H56" s="925" t="str">
        <f>IF($A56&lt;DATE(2018,7,1),"-",INDEX('I1 - Universal Data'!$E$17:$V$17, MATCH(YEAR(EOMONTH($A56,6)), 'I1 - Universal Data'!$E$14:$V$14, 0)))</f>
        <v>-</v>
      </c>
      <c r="I56" s="926">
        <f t="shared" si="5"/>
        <v>76.7</v>
      </c>
      <c r="J56" s="926">
        <f t="shared" si="5"/>
        <v>181.3</v>
      </c>
      <c r="K56" s="926">
        <f t="shared" si="5"/>
        <v>75.400000000000006</v>
      </c>
      <c r="X56" s="927"/>
    </row>
    <row r="57" spans="1:24">
      <c r="A57" s="922">
        <f t="shared" si="1"/>
        <v>37833</v>
      </c>
      <c r="B57" s="923">
        <f t="shared" si="0"/>
        <v>2004</v>
      </c>
      <c r="C57" s="924">
        <v>76.599999999999994</v>
      </c>
      <c r="D57" s="924">
        <v>181.3</v>
      </c>
      <c r="E57" s="924">
        <v>75.3</v>
      </c>
      <c r="F57" s="925" t="str">
        <f>IF($A57&lt;DATE(2018,7,1),"-",INDEX('I1 - Universal Data'!$E$16:$V$16, MATCH(YEAR(EOMONTH($A57,6)), 'I1 - Universal Data'!$E$14:$V$14, 0)))</f>
        <v>-</v>
      </c>
      <c r="G57" s="925" t="str">
        <f>IF($A57&lt;DATE(2018,7,1),"-",INDEX('I1 - Universal Data'!$E$15:$V$15, MATCH(YEAR(EOMONTH($A57,6)), 'I1 - Universal Data'!$E$14:$V$14, 0)))</f>
        <v>-</v>
      </c>
      <c r="H57" s="925" t="str">
        <f>IF($A57&lt;DATE(2018,7,1),"-",INDEX('I1 - Universal Data'!$E$17:$V$17, MATCH(YEAR(EOMONTH($A57,6)), 'I1 - Universal Data'!$E$14:$V$14, 0)))</f>
        <v>-</v>
      </c>
      <c r="I57" s="926">
        <f t="shared" si="5"/>
        <v>76.599999999999994</v>
      </c>
      <c r="J57" s="926">
        <f t="shared" si="5"/>
        <v>181.3</v>
      </c>
      <c r="K57" s="926">
        <f t="shared" si="5"/>
        <v>75.3</v>
      </c>
      <c r="X57" s="927"/>
    </row>
    <row r="58" spans="1:24">
      <c r="A58" s="922">
        <f t="shared" si="1"/>
        <v>37864</v>
      </c>
      <c r="B58" s="923">
        <f t="shared" si="0"/>
        <v>2004</v>
      </c>
      <c r="C58" s="924">
        <v>76.8</v>
      </c>
      <c r="D58" s="924">
        <v>181.6</v>
      </c>
      <c r="E58" s="924">
        <v>75.599999999999994</v>
      </c>
      <c r="F58" s="925" t="str">
        <f>IF($A58&lt;DATE(2018,7,1),"-",INDEX('I1 - Universal Data'!$E$16:$V$16, MATCH(YEAR(EOMONTH($A58,6)), 'I1 - Universal Data'!$E$14:$V$14, 0)))</f>
        <v>-</v>
      </c>
      <c r="G58" s="925" t="str">
        <f>IF($A58&lt;DATE(2018,7,1),"-",INDEX('I1 - Universal Data'!$E$15:$V$15, MATCH(YEAR(EOMONTH($A58,6)), 'I1 - Universal Data'!$E$14:$V$14, 0)))</f>
        <v>-</v>
      </c>
      <c r="H58" s="925" t="str">
        <f>IF($A58&lt;DATE(2018,7,1),"-",INDEX('I1 - Universal Data'!$E$17:$V$17, MATCH(YEAR(EOMONTH($A58,6)), 'I1 - Universal Data'!$E$14:$V$14, 0)))</f>
        <v>-</v>
      </c>
      <c r="I58" s="926">
        <f t="shared" si="5"/>
        <v>76.8</v>
      </c>
      <c r="J58" s="926">
        <f t="shared" si="5"/>
        <v>181.6</v>
      </c>
      <c r="K58" s="926">
        <f t="shared" si="5"/>
        <v>75.599999999999994</v>
      </c>
      <c r="X58" s="927"/>
    </row>
    <row r="59" spans="1:24">
      <c r="A59" s="922">
        <f t="shared" si="1"/>
        <v>37894</v>
      </c>
      <c r="B59" s="923">
        <f t="shared" si="0"/>
        <v>2004</v>
      </c>
      <c r="C59" s="924">
        <v>77</v>
      </c>
      <c r="D59" s="924">
        <v>182.5</v>
      </c>
      <c r="E59" s="924">
        <v>75.900000000000006</v>
      </c>
      <c r="F59" s="925" t="str">
        <f>IF($A59&lt;DATE(2018,7,1),"-",INDEX('I1 - Universal Data'!$E$16:$V$16, MATCH(YEAR(EOMONTH($A59,6)), 'I1 - Universal Data'!$E$14:$V$14, 0)))</f>
        <v>-</v>
      </c>
      <c r="G59" s="925" t="str">
        <f>IF($A59&lt;DATE(2018,7,1),"-",INDEX('I1 - Universal Data'!$E$15:$V$15, MATCH(YEAR(EOMONTH($A59,6)), 'I1 - Universal Data'!$E$14:$V$14, 0)))</f>
        <v>-</v>
      </c>
      <c r="H59" s="925" t="str">
        <f>IF($A59&lt;DATE(2018,7,1),"-",INDEX('I1 - Universal Data'!$E$17:$V$17, MATCH(YEAR(EOMONTH($A59,6)), 'I1 - Universal Data'!$E$14:$V$14, 0)))</f>
        <v>-</v>
      </c>
      <c r="I59" s="926">
        <f t="shared" si="5"/>
        <v>77</v>
      </c>
      <c r="J59" s="926">
        <f t="shared" si="5"/>
        <v>182.5</v>
      </c>
      <c r="K59" s="926">
        <f t="shared" si="5"/>
        <v>75.900000000000006</v>
      </c>
      <c r="X59" s="927"/>
    </row>
    <row r="60" spans="1:24">
      <c r="A60" s="922">
        <f t="shared" si="1"/>
        <v>37925</v>
      </c>
      <c r="B60" s="923">
        <f t="shared" si="0"/>
        <v>2004</v>
      </c>
      <c r="C60" s="924">
        <v>77.099999999999994</v>
      </c>
      <c r="D60" s="924">
        <v>182.6</v>
      </c>
      <c r="E60" s="924">
        <v>76</v>
      </c>
      <c r="F60" s="925" t="str">
        <f>IF($A60&lt;DATE(2018,7,1),"-",INDEX('I1 - Universal Data'!$E$16:$V$16, MATCH(YEAR(EOMONTH($A60,6)), 'I1 - Universal Data'!$E$14:$V$14, 0)))</f>
        <v>-</v>
      </c>
      <c r="G60" s="925" t="str">
        <f>IF($A60&lt;DATE(2018,7,1),"-",INDEX('I1 - Universal Data'!$E$15:$V$15, MATCH(YEAR(EOMONTH($A60,6)), 'I1 - Universal Data'!$E$14:$V$14, 0)))</f>
        <v>-</v>
      </c>
      <c r="H60" s="925" t="str">
        <f>IF($A60&lt;DATE(2018,7,1),"-",INDEX('I1 - Universal Data'!$E$17:$V$17, MATCH(YEAR(EOMONTH($A60,6)), 'I1 - Universal Data'!$E$14:$V$14, 0)))</f>
        <v>-</v>
      </c>
      <c r="I60" s="926">
        <f t="shared" si="5"/>
        <v>77.099999999999994</v>
      </c>
      <c r="J60" s="926">
        <f t="shared" si="5"/>
        <v>182.6</v>
      </c>
      <c r="K60" s="926">
        <f t="shared" si="5"/>
        <v>76</v>
      </c>
      <c r="X60" s="927"/>
    </row>
    <row r="61" spans="1:24">
      <c r="A61" s="922">
        <f t="shared" si="1"/>
        <v>37955</v>
      </c>
      <c r="B61" s="923">
        <f t="shared" si="0"/>
        <v>2004</v>
      </c>
      <c r="C61" s="924">
        <v>77.099999999999994</v>
      </c>
      <c r="D61" s="924">
        <v>182.7</v>
      </c>
      <c r="E61" s="924">
        <v>75.900000000000006</v>
      </c>
      <c r="F61" s="925" t="str">
        <f>IF($A61&lt;DATE(2018,7,1),"-",INDEX('I1 - Universal Data'!$E$16:$V$16, MATCH(YEAR(EOMONTH($A61,6)), 'I1 - Universal Data'!$E$14:$V$14, 0)))</f>
        <v>-</v>
      </c>
      <c r="G61" s="925" t="str">
        <f>IF($A61&lt;DATE(2018,7,1),"-",INDEX('I1 - Universal Data'!$E$15:$V$15, MATCH(YEAR(EOMONTH($A61,6)), 'I1 - Universal Data'!$E$14:$V$14, 0)))</f>
        <v>-</v>
      </c>
      <c r="H61" s="925" t="str">
        <f>IF($A61&lt;DATE(2018,7,1),"-",INDEX('I1 - Universal Data'!$E$17:$V$17, MATCH(YEAR(EOMONTH($A61,6)), 'I1 - Universal Data'!$E$14:$V$14, 0)))</f>
        <v>-</v>
      </c>
      <c r="I61" s="926">
        <f t="shared" si="5"/>
        <v>77.099999999999994</v>
      </c>
      <c r="J61" s="926">
        <f t="shared" si="5"/>
        <v>182.7</v>
      </c>
      <c r="K61" s="926">
        <f t="shared" si="5"/>
        <v>75.900000000000006</v>
      </c>
      <c r="X61" s="927"/>
    </row>
    <row r="62" spans="1:24">
      <c r="A62" s="922">
        <f t="shared" si="1"/>
        <v>37986</v>
      </c>
      <c r="B62" s="923">
        <f t="shared" si="0"/>
        <v>2004</v>
      </c>
      <c r="C62" s="924">
        <v>77.3</v>
      </c>
      <c r="D62" s="924">
        <v>183.5</v>
      </c>
      <c r="E62" s="924">
        <v>76.2</v>
      </c>
      <c r="F62" s="925" t="str">
        <f>IF($A62&lt;DATE(2018,7,1),"-",INDEX('I1 - Universal Data'!$E$16:$V$16, MATCH(YEAR(EOMONTH($A62,6)), 'I1 - Universal Data'!$E$14:$V$14, 0)))</f>
        <v>-</v>
      </c>
      <c r="G62" s="925" t="str">
        <f>IF($A62&lt;DATE(2018,7,1),"-",INDEX('I1 - Universal Data'!$E$15:$V$15, MATCH(YEAR(EOMONTH($A62,6)), 'I1 - Universal Data'!$E$14:$V$14, 0)))</f>
        <v>-</v>
      </c>
      <c r="H62" s="925" t="str">
        <f>IF($A62&lt;DATE(2018,7,1),"-",INDEX('I1 - Universal Data'!$E$17:$V$17, MATCH(YEAR(EOMONTH($A62,6)), 'I1 - Universal Data'!$E$14:$V$14, 0)))</f>
        <v>-</v>
      </c>
      <c r="I62" s="926">
        <f t="shared" si="5"/>
        <v>77.3</v>
      </c>
      <c r="J62" s="926">
        <f t="shared" si="5"/>
        <v>183.5</v>
      </c>
      <c r="K62" s="926">
        <f t="shared" si="5"/>
        <v>76.2</v>
      </c>
      <c r="X62" s="927"/>
    </row>
    <row r="63" spans="1:24">
      <c r="A63" s="922">
        <f t="shared" si="1"/>
        <v>38017</v>
      </c>
      <c r="B63" s="923">
        <f t="shared" si="0"/>
        <v>2004</v>
      </c>
      <c r="C63" s="924">
        <v>77</v>
      </c>
      <c r="D63" s="924">
        <v>183.1</v>
      </c>
      <c r="E63" s="924">
        <v>75.8</v>
      </c>
      <c r="F63" s="925" t="str">
        <f>IF($A63&lt;DATE(2018,7,1),"-",INDEX('I1 - Universal Data'!$E$16:$V$16, MATCH(YEAR(EOMONTH($A63,6)), 'I1 - Universal Data'!$E$14:$V$14, 0)))</f>
        <v>-</v>
      </c>
      <c r="G63" s="925" t="str">
        <f>IF($A63&lt;DATE(2018,7,1),"-",INDEX('I1 - Universal Data'!$E$15:$V$15, MATCH(YEAR(EOMONTH($A63,6)), 'I1 - Universal Data'!$E$14:$V$14, 0)))</f>
        <v>-</v>
      </c>
      <c r="H63" s="925" t="str">
        <f>IF($A63&lt;DATE(2018,7,1),"-",INDEX('I1 - Universal Data'!$E$17:$V$17, MATCH(YEAR(EOMONTH($A63,6)), 'I1 - Universal Data'!$E$14:$V$14, 0)))</f>
        <v>-</v>
      </c>
      <c r="I63" s="926">
        <f t="shared" si="5"/>
        <v>77</v>
      </c>
      <c r="J63" s="926">
        <f t="shared" si="5"/>
        <v>183.1</v>
      </c>
      <c r="K63" s="926">
        <f t="shared" si="5"/>
        <v>75.8</v>
      </c>
      <c r="X63" s="927"/>
    </row>
    <row r="64" spans="1:24">
      <c r="A64" s="922">
        <f t="shared" si="1"/>
        <v>38046</v>
      </c>
      <c r="B64" s="923">
        <f t="shared" si="0"/>
        <v>2004</v>
      </c>
      <c r="C64" s="924">
        <v>77.2</v>
      </c>
      <c r="D64" s="924">
        <v>183.8</v>
      </c>
      <c r="E64" s="924">
        <v>76</v>
      </c>
      <c r="F64" s="925" t="str">
        <f>IF($A64&lt;DATE(2018,7,1),"-",INDEX('I1 - Universal Data'!$E$16:$V$16, MATCH(YEAR(EOMONTH($A64,6)), 'I1 - Universal Data'!$E$14:$V$14, 0)))</f>
        <v>-</v>
      </c>
      <c r="G64" s="925" t="str">
        <f>IF($A64&lt;DATE(2018,7,1),"-",INDEX('I1 - Universal Data'!$E$15:$V$15, MATCH(YEAR(EOMONTH($A64,6)), 'I1 - Universal Data'!$E$14:$V$14, 0)))</f>
        <v>-</v>
      </c>
      <c r="H64" s="925" t="str">
        <f>IF($A64&lt;DATE(2018,7,1),"-",INDEX('I1 - Universal Data'!$E$17:$V$17, MATCH(YEAR(EOMONTH($A64,6)), 'I1 - Universal Data'!$E$14:$V$14, 0)))</f>
        <v>-</v>
      </c>
      <c r="I64" s="926">
        <f t="shared" si="5"/>
        <v>77.2</v>
      </c>
      <c r="J64" s="926">
        <f t="shared" si="5"/>
        <v>183.8</v>
      </c>
      <c r="K64" s="926">
        <f t="shared" si="5"/>
        <v>76</v>
      </c>
      <c r="X64" s="927"/>
    </row>
    <row r="65" spans="1:24">
      <c r="A65" s="922">
        <f t="shared" si="1"/>
        <v>38077</v>
      </c>
      <c r="B65" s="923">
        <f t="shared" si="0"/>
        <v>2004</v>
      </c>
      <c r="C65" s="924">
        <v>77.3</v>
      </c>
      <c r="D65" s="924">
        <v>184.6</v>
      </c>
      <c r="E65" s="924">
        <v>76.099999999999994</v>
      </c>
      <c r="F65" s="925" t="str">
        <f>IF($A65&lt;DATE(2018,7,1),"-",INDEX('I1 - Universal Data'!$E$16:$V$16, MATCH(YEAR(EOMONTH($A65,6)), 'I1 - Universal Data'!$E$14:$V$14, 0)))</f>
        <v>-</v>
      </c>
      <c r="G65" s="925" t="str">
        <f>IF($A65&lt;DATE(2018,7,1),"-",INDEX('I1 - Universal Data'!$E$15:$V$15, MATCH(YEAR(EOMONTH($A65,6)), 'I1 - Universal Data'!$E$14:$V$14, 0)))</f>
        <v>-</v>
      </c>
      <c r="H65" s="925" t="str">
        <f>IF($A65&lt;DATE(2018,7,1),"-",INDEX('I1 - Universal Data'!$E$17:$V$17, MATCH(YEAR(EOMONTH($A65,6)), 'I1 - Universal Data'!$E$14:$V$14, 0)))</f>
        <v>-</v>
      </c>
      <c r="I65" s="926">
        <f t="shared" si="5"/>
        <v>77.3</v>
      </c>
      <c r="J65" s="926">
        <f t="shared" si="5"/>
        <v>184.6</v>
      </c>
      <c r="K65" s="926">
        <f t="shared" si="5"/>
        <v>76.099999999999994</v>
      </c>
      <c r="X65" s="927"/>
    </row>
    <row r="66" spans="1:24">
      <c r="A66" s="922">
        <f t="shared" si="1"/>
        <v>38107</v>
      </c>
      <c r="B66" s="923">
        <f t="shared" si="0"/>
        <v>2005</v>
      </c>
      <c r="C66" s="924">
        <v>77.599999999999994</v>
      </c>
      <c r="D66" s="924">
        <v>185.7</v>
      </c>
      <c r="E66" s="924">
        <v>76.400000000000006</v>
      </c>
      <c r="F66" s="925" t="str">
        <f>IF($A66&lt;DATE(2018,7,1),"-",INDEX('I1 - Universal Data'!$E$16:$V$16, MATCH(YEAR(EOMONTH($A66,6)), 'I1 - Universal Data'!$E$14:$V$14, 0)))</f>
        <v>-</v>
      </c>
      <c r="G66" s="925" t="str">
        <f>IF($A66&lt;DATE(2018,7,1),"-",INDEX('I1 - Universal Data'!$E$15:$V$15, MATCH(YEAR(EOMONTH($A66,6)), 'I1 - Universal Data'!$E$14:$V$14, 0)))</f>
        <v>-</v>
      </c>
      <c r="H66" s="925" t="str">
        <f>IF($A66&lt;DATE(2018,7,1),"-",INDEX('I1 - Universal Data'!$E$17:$V$17, MATCH(YEAR(EOMONTH($A66,6)), 'I1 - Universal Data'!$E$14:$V$14, 0)))</f>
        <v>-</v>
      </c>
      <c r="I66" s="926">
        <f t="shared" si="5"/>
        <v>77.599999999999994</v>
      </c>
      <c r="J66" s="926">
        <f t="shared" si="5"/>
        <v>185.7</v>
      </c>
      <c r="K66" s="926">
        <f t="shared" si="5"/>
        <v>76.400000000000006</v>
      </c>
      <c r="X66" s="927"/>
    </row>
    <row r="67" spans="1:24">
      <c r="A67" s="922">
        <f t="shared" si="1"/>
        <v>38138</v>
      </c>
      <c r="B67" s="923">
        <f t="shared" si="0"/>
        <v>2005</v>
      </c>
      <c r="C67" s="924">
        <v>77.900000000000006</v>
      </c>
      <c r="D67" s="924">
        <v>186.5</v>
      </c>
      <c r="E67" s="924">
        <v>76.599999999999994</v>
      </c>
      <c r="F67" s="925" t="str">
        <f>IF($A67&lt;DATE(2018,7,1),"-",INDEX('I1 - Universal Data'!$E$16:$V$16, MATCH(YEAR(EOMONTH($A67,6)), 'I1 - Universal Data'!$E$14:$V$14, 0)))</f>
        <v>-</v>
      </c>
      <c r="G67" s="925" t="str">
        <f>IF($A67&lt;DATE(2018,7,1),"-",INDEX('I1 - Universal Data'!$E$15:$V$15, MATCH(YEAR(EOMONTH($A67,6)), 'I1 - Universal Data'!$E$14:$V$14, 0)))</f>
        <v>-</v>
      </c>
      <c r="H67" s="925" t="str">
        <f>IF($A67&lt;DATE(2018,7,1),"-",INDEX('I1 - Universal Data'!$E$17:$V$17, MATCH(YEAR(EOMONTH($A67,6)), 'I1 - Universal Data'!$E$14:$V$14, 0)))</f>
        <v>-</v>
      </c>
      <c r="I67" s="926">
        <f t="shared" si="5"/>
        <v>77.900000000000006</v>
      </c>
      <c r="J67" s="926">
        <f t="shared" si="5"/>
        <v>186.5</v>
      </c>
      <c r="K67" s="926">
        <f t="shared" si="5"/>
        <v>76.599999999999994</v>
      </c>
      <c r="X67" s="927"/>
    </row>
    <row r="68" spans="1:24">
      <c r="A68" s="922">
        <f t="shared" si="1"/>
        <v>38168</v>
      </c>
      <c r="B68" s="923">
        <f t="shared" si="0"/>
        <v>2005</v>
      </c>
      <c r="C68" s="924">
        <v>77.900000000000006</v>
      </c>
      <c r="D68" s="924">
        <v>186.8</v>
      </c>
      <c r="E68" s="924">
        <v>76.599999999999994</v>
      </c>
      <c r="F68" s="925" t="str">
        <f>IF($A68&lt;DATE(2018,7,1),"-",INDEX('I1 - Universal Data'!$E$16:$V$16, MATCH(YEAR(EOMONTH($A68,6)), 'I1 - Universal Data'!$E$14:$V$14, 0)))</f>
        <v>-</v>
      </c>
      <c r="G68" s="925" t="str">
        <f>IF($A68&lt;DATE(2018,7,1),"-",INDEX('I1 - Universal Data'!$E$15:$V$15, MATCH(YEAR(EOMONTH($A68,6)), 'I1 - Universal Data'!$E$14:$V$14, 0)))</f>
        <v>-</v>
      </c>
      <c r="H68" s="925" t="str">
        <f>IF($A68&lt;DATE(2018,7,1),"-",INDEX('I1 - Universal Data'!$E$17:$V$17, MATCH(YEAR(EOMONTH($A68,6)), 'I1 - Universal Data'!$E$14:$V$14, 0)))</f>
        <v>-</v>
      </c>
      <c r="I68" s="926">
        <f t="shared" si="5"/>
        <v>77.900000000000006</v>
      </c>
      <c r="J68" s="926">
        <f t="shared" si="5"/>
        <v>186.8</v>
      </c>
      <c r="K68" s="926">
        <f t="shared" si="5"/>
        <v>76.599999999999994</v>
      </c>
      <c r="X68" s="927"/>
    </row>
    <row r="69" spans="1:24">
      <c r="A69" s="922">
        <f t="shared" si="1"/>
        <v>38199</v>
      </c>
      <c r="B69" s="923">
        <f t="shared" si="0"/>
        <v>2005</v>
      </c>
      <c r="C69" s="924">
        <v>77.7</v>
      </c>
      <c r="D69" s="924">
        <v>186.8</v>
      </c>
      <c r="E69" s="924">
        <v>76.400000000000006</v>
      </c>
      <c r="F69" s="925" t="str">
        <f>IF($A69&lt;DATE(2018,7,1),"-",INDEX('I1 - Universal Data'!$E$16:$V$16, MATCH(YEAR(EOMONTH($A69,6)), 'I1 - Universal Data'!$E$14:$V$14, 0)))</f>
        <v>-</v>
      </c>
      <c r="G69" s="925" t="str">
        <f>IF($A69&lt;DATE(2018,7,1),"-",INDEX('I1 - Universal Data'!$E$15:$V$15, MATCH(YEAR(EOMONTH($A69,6)), 'I1 - Universal Data'!$E$14:$V$14, 0)))</f>
        <v>-</v>
      </c>
      <c r="H69" s="925" t="str">
        <f>IF($A69&lt;DATE(2018,7,1),"-",INDEX('I1 - Universal Data'!$E$17:$V$17, MATCH(YEAR(EOMONTH($A69,6)), 'I1 - Universal Data'!$E$14:$V$14, 0)))</f>
        <v>-</v>
      </c>
      <c r="I69" s="926">
        <f t="shared" si="5"/>
        <v>77.7</v>
      </c>
      <c r="J69" s="926">
        <f t="shared" si="5"/>
        <v>186.8</v>
      </c>
      <c r="K69" s="926">
        <f t="shared" si="5"/>
        <v>76.400000000000006</v>
      </c>
      <c r="X69" s="927"/>
    </row>
    <row r="70" spans="1:24">
      <c r="A70" s="922">
        <f t="shared" si="1"/>
        <v>38230</v>
      </c>
      <c r="B70" s="923">
        <f t="shared" ref="B70:B133" si="6">IF(MONTH(A70)&gt;=4,YEAR(A70)+1,YEAR(A70))</f>
        <v>2005</v>
      </c>
      <c r="C70" s="924">
        <v>77.900000000000006</v>
      </c>
      <c r="D70" s="924">
        <v>187.4</v>
      </c>
      <c r="E70" s="924">
        <v>76.599999999999994</v>
      </c>
      <c r="F70" s="925" t="str">
        <f>IF($A70&lt;DATE(2018,7,1),"-",INDEX('I1 - Universal Data'!$E$16:$V$16, MATCH(YEAR(EOMONTH($A70,6)), 'I1 - Universal Data'!$E$14:$V$14, 0)))</f>
        <v>-</v>
      </c>
      <c r="G70" s="925" t="str">
        <f>IF($A70&lt;DATE(2018,7,1),"-",INDEX('I1 - Universal Data'!$E$15:$V$15, MATCH(YEAR(EOMONTH($A70,6)), 'I1 - Universal Data'!$E$14:$V$14, 0)))</f>
        <v>-</v>
      </c>
      <c r="H70" s="925" t="str">
        <f>IF($A70&lt;DATE(2018,7,1),"-",INDEX('I1 - Universal Data'!$E$17:$V$17, MATCH(YEAR(EOMONTH($A70,6)), 'I1 - Universal Data'!$E$14:$V$14, 0)))</f>
        <v>-</v>
      </c>
      <c r="I70" s="926">
        <f t="shared" si="5"/>
        <v>77.900000000000006</v>
      </c>
      <c r="J70" s="926">
        <f t="shared" si="5"/>
        <v>187.4</v>
      </c>
      <c r="K70" s="926">
        <f t="shared" si="5"/>
        <v>76.599999999999994</v>
      </c>
      <c r="X70" s="927"/>
    </row>
    <row r="71" spans="1:24">
      <c r="A71" s="922">
        <f t="shared" ref="A71:A134" si="7">IF(MONTH(A70) = 12, EOMONTH(DATE(YEAR(A70) + 1, 1, 1), 0), EOMONTH(DATE(YEAR(A70), MONTH(A70) + 1, 1), 0))</f>
        <v>38260</v>
      </c>
      <c r="B71" s="923">
        <f t="shared" si="6"/>
        <v>2005</v>
      </c>
      <c r="C71" s="924">
        <v>77.900000000000006</v>
      </c>
      <c r="D71" s="924">
        <v>188.1</v>
      </c>
      <c r="E71" s="924">
        <v>76.7</v>
      </c>
      <c r="F71" s="925" t="str">
        <f>IF($A71&lt;DATE(2018,7,1),"-",INDEX('I1 - Universal Data'!$E$16:$V$16, MATCH(YEAR(EOMONTH($A71,6)), 'I1 - Universal Data'!$E$14:$V$14, 0)))</f>
        <v>-</v>
      </c>
      <c r="G71" s="925" t="str">
        <f>IF($A71&lt;DATE(2018,7,1),"-",INDEX('I1 - Universal Data'!$E$15:$V$15, MATCH(YEAR(EOMONTH($A71,6)), 'I1 - Universal Data'!$E$14:$V$14, 0)))</f>
        <v>-</v>
      </c>
      <c r="H71" s="925" t="str">
        <f>IF($A71&lt;DATE(2018,7,1),"-",INDEX('I1 - Universal Data'!$E$17:$V$17, MATCH(YEAR(EOMONTH($A71,6)), 'I1 - Universal Data'!$E$14:$V$14, 0)))</f>
        <v>-</v>
      </c>
      <c r="I71" s="926">
        <f t="shared" ref="I71:K86" si="8">IF(ISBLANK(C71),I70*((1+F71)^(1/12)),C71)</f>
        <v>77.900000000000006</v>
      </c>
      <c r="J71" s="926">
        <f t="shared" si="8"/>
        <v>188.1</v>
      </c>
      <c r="K71" s="926">
        <f t="shared" si="8"/>
        <v>76.7</v>
      </c>
      <c r="X71" s="927"/>
    </row>
    <row r="72" spans="1:24">
      <c r="A72" s="922">
        <f t="shared" si="7"/>
        <v>38291</v>
      </c>
      <c r="B72" s="923">
        <f t="shared" si="6"/>
        <v>2005</v>
      </c>
      <c r="C72" s="924">
        <v>78.099999999999994</v>
      </c>
      <c r="D72" s="924">
        <v>188.6</v>
      </c>
      <c r="E72" s="924">
        <v>76.900000000000006</v>
      </c>
      <c r="F72" s="925" t="str">
        <f>IF($A72&lt;DATE(2018,7,1),"-",INDEX('I1 - Universal Data'!$E$16:$V$16, MATCH(YEAR(EOMONTH($A72,6)), 'I1 - Universal Data'!$E$14:$V$14, 0)))</f>
        <v>-</v>
      </c>
      <c r="G72" s="925" t="str">
        <f>IF($A72&lt;DATE(2018,7,1),"-",INDEX('I1 - Universal Data'!$E$15:$V$15, MATCH(YEAR(EOMONTH($A72,6)), 'I1 - Universal Data'!$E$14:$V$14, 0)))</f>
        <v>-</v>
      </c>
      <c r="H72" s="925" t="str">
        <f>IF($A72&lt;DATE(2018,7,1),"-",INDEX('I1 - Universal Data'!$E$17:$V$17, MATCH(YEAR(EOMONTH($A72,6)), 'I1 - Universal Data'!$E$14:$V$14, 0)))</f>
        <v>-</v>
      </c>
      <c r="I72" s="926">
        <f t="shared" si="8"/>
        <v>78.099999999999994</v>
      </c>
      <c r="J72" s="926">
        <f t="shared" si="8"/>
        <v>188.6</v>
      </c>
      <c r="K72" s="926">
        <f t="shared" si="8"/>
        <v>76.900000000000006</v>
      </c>
      <c r="X72" s="927"/>
    </row>
    <row r="73" spans="1:24">
      <c r="A73" s="922">
        <f t="shared" si="7"/>
        <v>38321</v>
      </c>
      <c r="B73" s="923">
        <f t="shared" si="6"/>
        <v>2005</v>
      </c>
      <c r="C73" s="924">
        <v>78.3</v>
      </c>
      <c r="D73" s="924">
        <v>189</v>
      </c>
      <c r="E73" s="924">
        <v>77</v>
      </c>
      <c r="F73" s="925" t="str">
        <f>IF($A73&lt;DATE(2018,7,1),"-",INDEX('I1 - Universal Data'!$E$16:$V$16, MATCH(YEAR(EOMONTH($A73,6)), 'I1 - Universal Data'!$E$14:$V$14, 0)))</f>
        <v>-</v>
      </c>
      <c r="G73" s="925" t="str">
        <f>IF($A73&lt;DATE(2018,7,1),"-",INDEX('I1 - Universal Data'!$E$15:$V$15, MATCH(YEAR(EOMONTH($A73,6)), 'I1 - Universal Data'!$E$14:$V$14, 0)))</f>
        <v>-</v>
      </c>
      <c r="H73" s="925" t="str">
        <f>IF($A73&lt;DATE(2018,7,1),"-",INDEX('I1 - Universal Data'!$E$17:$V$17, MATCH(YEAR(EOMONTH($A73,6)), 'I1 - Universal Data'!$E$14:$V$14, 0)))</f>
        <v>-</v>
      </c>
      <c r="I73" s="926">
        <f t="shared" si="8"/>
        <v>78.3</v>
      </c>
      <c r="J73" s="926">
        <f t="shared" si="8"/>
        <v>189</v>
      </c>
      <c r="K73" s="926">
        <f t="shared" si="8"/>
        <v>77</v>
      </c>
      <c r="X73" s="927"/>
    </row>
    <row r="74" spans="1:24">
      <c r="A74" s="922">
        <f t="shared" si="7"/>
        <v>38352</v>
      </c>
      <c r="B74" s="923">
        <f t="shared" si="6"/>
        <v>2005</v>
      </c>
      <c r="C74" s="924">
        <v>78.599999999999994</v>
      </c>
      <c r="D74" s="924">
        <v>189.9</v>
      </c>
      <c r="E74" s="924">
        <v>77.400000000000006</v>
      </c>
      <c r="F74" s="925" t="str">
        <f>IF($A74&lt;DATE(2018,7,1),"-",INDEX('I1 - Universal Data'!$E$16:$V$16, MATCH(YEAR(EOMONTH($A74,6)), 'I1 - Universal Data'!$E$14:$V$14, 0)))</f>
        <v>-</v>
      </c>
      <c r="G74" s="925" t="str">
        <f>IF($A74&lt;DATE(2018,7,1),"-",INDEX('I1 - Universal Data'!$E$15:$V$15, MATCH(YEAR(EOMONTH($A74,6)), 'I1 - Universal Data'!$E$14:$V$14, 0)))</f>
        <v>-</v>
      </c>
      <c r="H74" s="925" t="str">
        <f>IF($A74&lt;DATE(2018,7,1),"-",INDEX('I1 - Universal Data'!$E$17:$V$17, MATCH(YEAR(EOMONTH($A74,6)), 'I1 - Universal Data'!$E$14:$V$14, 0)))</f>
        <v>-</v>
      </c>
      <c r="I74" s="926">
        <f t="shared" si="8"/>
        <v>78.599999999999994</v>
      </c>
      <c r="J74" s="926">
        <f t="shared" si="8"/>
        <v>189.9</v>
      </c>
      <c r="K74" s="926">
        <f t="shared" si="8"/>
        <v>77.400000000000006</v>
      </c>
      <c r="X74" s="927"/>
    </row>
    <row r="75" spans="1:24">
      <c r="A75" s="922">
        <f t="shared" si="7"/>
        <v>38383</v>
      </c>
      <c r="B75" s="923">
        <f t="shared" si="6"/>
        <v>2005</v>
      </c>
      <c r="C75" s="924">
        <v>78.3</v>
      </c>
      <c r="D75" s="924">
        <v>188.9</v>
      </c>
      <c r="E75" s="924">
        <v>77</v>
      </c>
      <c r="F75" s="925" t="str">
        <f>IF($A75&lt;DATE(2018,7,1),"-",INDEX('I1 - Universal Data'!$E$16:$V$16, MATCH(YEAR(EOMONTH($A75,6)), 'I1 - Universal Data'!$E$14:$V$14, 0)))</f>
        <v>-</v>
      </c>
      <c r="G75" s="925" t="str">
        <f>IF($A75&lt;DATE(2018,7,1),"-",INDEX('I1 - Universal Data'!$E$15:$V$15, MATCH(YEAR(EOMONTH($A75,6)), 'I1 - Universal Data'!$E$14:$V$14, 0)))</f>
        <v>-</v>
      </c>
      <c r="H75" s="925" t="str">
        <f>IF($A75&lt;DATE(2018,7,1),"-",INDEX('I1 - Universal Data'!$E$17:$V$17, MATCH(YEAR(EOMONTH($A75,6)), 'I1 - Universal Data'!$E$14:$V$14, 0)))</f>
        <v>-</v>
      </c>
      <c r="I75" s="926">
        <f t="shared" si="8"/>
        <v>78.3</v>
      </c>
      <c r="J75" s="926">
        <f t="shared" si="8"/>
        <v>188.9</v>
      </c>
      <c r="K75" s="926">
        <f t="shared" si="8"/>
        <v>77</v>
      </c>
      <c r="X75" s="927"/>
    </row>
    <row r="76" spans="1:24">
      <c r="A76" s="922">
        <f t="shared" si="7"/>
        <v>38411</v>
      </c>
      <c r="B76" s="923">
        <f t="shared" si="6"/>
        <v>2005</v>
      </c>
      <c r="C76" s="924">
        <v>78.5</v>
      </c>
      <c r="D76" s="924">
        <v>189.6</v>
      </c>
      <c r="E76" s="924">
        <v>77.2</v>
      </c>
      <c r="F76" s="925" t="str">
        <f>IF($A76&lt;DATE(2018,7,1),"-",INDEX('I1 - Universal Data'!$E$16:$V$16, MATCH(YEAR(EOMONTH($A76,6)), 'I1 - Universal Data'!$E$14:$V$14, 0)))</f>
        <v>-</v>
      </c>
      <c r="G76" s="925" t="str">
        <f>IF($A76&lt;DATE(2018,7,1),"-",INDEX('I1 - Universal Data'!$E$15:$V$15, MATCH(YEAR(EOMONTH($A76,6)), 'I1 - Universal Data'!$E$14:$V$14, 0)))</f>
        <v>-</v>
      </c>
      <c r="H76" s="925" t="str">
        <f>IF($A76&lt;DATE(2018,7,1),"-",INDEX('I1 - Universal Data'!$E$17:$V$17, MATCH(YEAR(EOMONTH($A76,6)), 'I1 - Universal Data'!$E$14:$V$14, 0)))</f>
        <v>-</v>
      </c>
      <c r="I76" s="926">
        <f t="shared" si="8"/>
        <v>78.5</v>
      </c>
      <c r="J76" s="926">
        <f t="shared" si="8"/>
        <v>189.6</v>
      </c>
      <c r="K76" s="926">
        <f t="shared" si="8"/>
        <v>77.2</v>
      </c>
      <c r="X76" s="927"/>
    </row>
    <row r="77" spans="1:24">
      <c r="A77" s="922">
        <f t="shared" si="7"/>
        <v>38442</v>
      </c>
      <c r="B77" s="923">
        <f t="shared" si="6"/>
        <v>2005</v>
      </c>
      <c r="C77" s="924">
        <v>78.8</v>
      </c>
      <c r="D77" s="924">
        <v>190.5</v>
      </c>
      <c r="E77" s="924">
        <v>77.5</v>
      </c>
      <c r="F77" s="925" t="str">
        <f>IF($A77&lt;DATE(2018,7,1),"-",INDEX('I1 - Universal Data'!$E$16:$V$16, MATCH(YEAR(EOMONTH($A77,6)), 'I1 - Universal Data'!$E$14:$V$14, 0)))</f>
        <v>-</v>
      </c>
      <c r="G77" s="925" t="str">
        <f>IF($A77&lt;DATE(2018,7,1),"-",INDEX('I1 - Universal Data'!$E$15:$V$15, MATCH(YEAR(EOMONTH($A77,6)), 'I1 - Universal Data'!$E$14:$V$14, 0)))</f>
        <v>-</v>
      </c>
      <c r="H77" s="925" t="str">
        <f>IF($A77&lt;DATE(2018,7,1),"-",INDEX('I1 - Universal Data'!$E$17:$V$17, MATCH(YEAR(EOMONTH($A77,6)), 'I1 - Universal Data'!$E$14:$V$14, 0)))</f>
        <v>-</v>
      </c>
      <c r="I77" s="926">
        <f t="shared" si="8"/>
        <v>78.8</v>
      </c>
      <c r="J77" s="926">
        <f t="shared" si="8"/>
        <v>190.5</v>
      </c>
      <c r="K77" s="926">
        <f t="shared" si="8"/>
        <v>77.5</v>
      </c>
      <c r="X77" s="927"/>
    </row>
    <row r="78" spans="1:24">
      <c r="A78" s="922">
        <f t="shared" si="7"/>
        <v>38472</v>
      </c>
      <c r="B78" s="923">
        <f t="shared" si="6"/>
        <v>2006</v>
      </c>
      <c r="C78" s="924">
        <v>79.099999999999994</v>
      </c>
      <c r="D78" s="924">
        <v>191.6</v>
      </c>
      <c r="E78" s="924">
        <v>77.8</v>
      </c>
      <c r="F78" s="925" t="str">
        <f>IF($A78&lt;DATE(2018,7,1),"-",INDEX('I1 - Universal Data'!$E$16:$V$16, MATCH(YEAR(EOMONTH($A78,6)), 'I1 - Universal Data'!$E$14:$V$14, 0)))</f>
        <v>-</v>
      </c>
      <c r="G78" s="925" t="str">
        <f>IF($A78&lt;DATE(2018,7,1),"-",INDEX('I1 - Universal Data'!$E$15:$V$15, MATCH(YEAR(EOMONTH($A78,6)), 'I1 - Universal Data'!$E$14:$V$14, 0)))</f>
        <v>-</v>
      </c>
      <c r="H78" s="925" t="str">
        <f>IF($A78&lt;DATE(2018,7,1),"-",INDEX('I1 - Universal Data'!$E$17:$V$17, MATCH(YEAR(EOMONTH($A78,6)), 'I1 - Universal Data'!$E$14:$V$14, 0)))</f>
        <v>-</v>
      </c>
      <c r="I78" s="926">
        <f t="shared" si="8"/>
        <v>79.099999999999994</v>
      </c>
      <c r="J78" s="926">
        <f t="shared" si="8"/>
        <v>191.6</v>
      </c>
      <c r="K78" s="926">
        <f t="shared" si="8"/>
        <v>77.8</v>
      </c>
      <c r="X78" s="927"/>
    </row>
    <row r="79" spans="1:24">
      <c r="A79" s="922">
        <f t="shared" si="7"/>
        <v>38503</v>
      </c>
      <c r="B79" s="923">
        <f t="shared" si="6"/>
        <v>2006</v>
      </c>
      <c r="C79" s="924">
        <v>79.400000000000006</v>
      </c>
      <c r="D79" s="924">
        <v>192</v>
      </c>
      <c r="E79" s="924">
        <v>78.099999999999994</v>
      </c>
      <c r="F79" s="925" t="str">
        <f>IF($A79&lt;DATE(2018,7,1),"-",INDEX('I1 - Universal Data'!$E$16:$V$16, MATCH(YEAR(EOMONTH($A79,6)), 'I1 - Universal Data'!$E$14:$V$14, 0)))</f>
        <v>-</v>
      </c>
      <c r="G79" s="925" t="str">
        <f>IF($A79&lt;DATE(2018,7,1),"-",INDEX('I1 - Universal Data'!$E$15:$V$15, MATCH(YEAR(EOMONTH($A79,6)), 'I1 - Universal Data'!$E$14:$V$14, 0)))</f>
        <v>-</v>
      </c>
      <c r="H79" s="925" t="str">
        <f>IF($A79&lt;DATE(2018,7,1),"-",INDEX('I1 - Universal Data'!$E$17:$V$17, MATCH(YEAR(EOMONTH($A79,6)), 'I1 - Universal Data'!$E$14:$V$14, 0)))</f>
        <v>-</v>
      </c>
      <c r="I79" s="926">
        <f t="shared" si="8"/>
        <v>79.400000000000006</v>
      </c>
      <c r="J79" s="926">
        <f t="shared" si="8"/>
        <v>192</v>
      </c>
      <c r="K79" s="926">
        <f t="shared" si="8"/>
        <v>78.099999999999994</v>
      </c>
      <c r="X79" s="927"/>
    </row>
    <row r="80" spans="1:24">
      <c r="A80" s="922">
        <f t="shared" si="7"/>
        <v>38533</v>
      </c>
      <c r="B80" s="923">
        <f t="shared" si="6"/>
        <v>2006</v>
      </c>
      <c r="C80" s="924">
        <v>79.400000000000006</v>
      </c>
      <c r="D80" s="924">
        <v>192.2</v>
      </c>
      <c r="E80" s="924">
        <v>78.099999999999994</v>
      </c>
      <c r="F80" s="925" t="str">
        <f>IF($A80&lt;DATE(2018,7,1),"-",INDEX('I1 - Universal Data'!$E$16:$V$16, MATCH(YEAR(EOMONTH($A80,6)), 'I1 - Universal Data'!$E$14:$V$14, 0)))</f>
        <v>-</v>
      </c>
      <c r="G80" s="925" t="str">
        <f>IF($A80&lt;DATE(2018,7,1),"-",INDEX('I1 - Universal Data'!$E$15:$V$15, MATCH(YEAR(EOMONTH($A80,6)), 'I1 - Universal Data'!$E$14:$V$14, 0)))</f>
        <v>-</v>
      </c>
      <c r="H80" s="925" t="str">
        <f>IF($A80&lt;DATE(2018,7,1),"-",INDEX('I1 - Universal Data'!$E$17:$V$17, MATCH(YEAR(EOMONTH($A80,6)), 'I1 - Universal Data'!$E$14:$V$14, 0)))</f>
        <v>-</v>
      </c>
      <c r="I80" s="926">
        <f t="shared" si="8"/>
        <v>79.400000000000006</v>
      </c>
      <c r="J80" s="926">
        <f t="shared" si="8"/>
        <v>192.2</v>
      </c>
      <c r="K80" s="926">
        <f t="shared" si="8"/>
        <v>78.099999999999994</v>
      </c>
      <c r="X80" s="927"/>
    </row>
    <row r="81" spans="1:24">
      <c r="A81" s="922">
        <f t="shared" si="7"/>
        <v>38564</v>
      </c>
      <c r="B81" s="923">
        <f t="shared" si="6"/>
        <v>2006</v>
      </c>
      <c r="C81" s="924">
        <v>79.5</v>
      </c>
      <c r="D81" s="924">
        <v>192.2</v>
      </c>
      <c r="E81" s="924">
        <v>78.2</v>
      </c>
      <c r="F81" s="925" t="str">
        <f>IF($A81&lt;DATE(2018,7,1),"-",INDEX('I1 - Universal Data'!$E$16:$V$16, MATCH(YEAR(EOMONTH($A81,6)), 'I1 - Universal Data'!$E$14:$V$14, 0)))</f>
        <v>-</v>
      </c>
      <c r="G81" s="925" t="str">
        <f>IF($A81&lt;DATE(2018,7,1),"-",INDEX('I1 - Universal Data'!$E$15:$V$15, MATCH(YEAR(EOMONTH($A81,6)), 'I1 - Universal Data'!$E$14:$V$14, 0)))</f>
        <v>-</v>
      </c>
      <c r="H81" s="925" t="str">
        <f>IF($A81&lt;DATE(2018,7,1),"-",INDEX('I1 - Universal Data'!$E$17:$V$17, MATCH(YEAR(EOMONTH($A81,6)), 'I1 - Universal Data'!$E$14:$V$14, 0)))</f>
        <v>-</v>
      </c>
      <c r="I81" s="926">
        <f t="shared" si="8"/>
        <v>79.5</v>
      </c>
      <c r="J81" s="926">
        <f t="shared" si="8"/>
        <v>192.2</v>
      </c>
      <c r="K81" s="926">
        <f t="shared" si="8"/>
        <v>78.2</v>
      </c>
      <c r="X81" s="927"/>
    </row>
    <row r="82" spans="1:24">
      <c r="A82" s="922">
        <f t="shared" si="7"/>
        <v>38595</v>
      </c>
      <c r="B82" s="923">
        <f t="shared" si="6"/>
        <v>2006</v>
      </c>
      <c r="C82" s="924">
        <v>79.7</v>
      </c>
      <c r="D82" s="924">
        <v>192.6</v>
      </c>
      <c r="E82" s="924">
        <v>78.400000000000006</v>
      </c>
      <c r="F82" s="925" t="str">
        <f>IF($A82&lt;DATE(2018,7,1),"-",INDEX('I1 - Universal Data'!$E$16:$V$16, MATCH(YEAR(EOMONTH($A82,6)), 'I1 - Universal Data'!$E$14:$V$14, 0)))</f>
        <v>-</v>
      </c>
      <c r="G82" s="925" t="str">
        <f>IF($A82&lt;DATE(2018,7,1),"-",INDEX('I1 - Universal Data'!$E$15:$V$15, MATCH(YEAR(EOMONTH($A82,6)), 'I1 - Universal Data'!$E$14:$V$14, 0)))</f>
        <v>-</v>
      </c>
      <c r="H82" s="925" t="str">
        <f>IF($A82&lt;DATE(2018,7,1),"-",INDEX('I1 - Universal Data'!$E$17:$V$17, MATCH(YEAR(EOMONTH($A82,6)), 'I1 - Universal Data'!$E$14:$V$14, 0)))</f>
        <v>-</v>
      </c>
      <c r="I82" s="926">
        <f t="shared" si="8"/>
        <v>79.7</v>
      </c>
      <c r="J82" s="926">
        <f t="shared" si="8"/>
        <v>192.6</v>
      </c>
      <c r="K82" s="926">
        <f t="shared" si="8"/>
        <v>78.400000000000006</v>
      </c>
      <c r="X82" s="927"/>
    </row>
    <row r="83" spans="1:24">
      <c r="A83" s="922">
        <f t="shared" si="7"/>
        <v>38625</v>
      </c>
      <c r="B83" s="923">
        <f t="shared" si="6"/>
        <v>2006</v>
      </c>
      <c r="C83" s="924">
        <v>79.900000000000006</v>
      </c>
      <c r="D83" s="924">
        <v>193.1</v>
      </c>
      <c r="E83" s="924">
        <v>78.599999999999994</v>
      </c>
      <c r="F83" s="925" t="str">
        <f>IF($A83&lt;DATE(2018,7,1),"-",INDEX('I1 - Universal Data'!$E$16:$V$16, MATCH(YEAR(EOMONTH($A83,6)), 'I1 - Universal Data'!$E$14:$V$14, 0)))</f>
        <v>-</v>
      </c>
      <c r="G83" s="925" t="str">
        <f>IF($A83&lt;DATE(2018,7,1),"-",INDEX('I1 - Universal Data'!$E$15:$V$15, MATCH(YEAR(EOMONTH($A83,6)), 'I1 - Universal Data'!$E$14:$V$14, 0)))</f>
        <v>-</v>
      </c>
      <c r="H83" s="925" t="str">
        <f>IF($A83&lt;DATE(2018,7,1),"-",INDEX('I1 - Universal Data'!$E$17:$V$17, MATCH(YEAR(EOMONTH($A83,6)), 'I1 - Universal Data'!$E$14:$V$14, 0)))</f>
        <v>-</v>
      </c>
      <c r="I83" s="926">
        <f t="shared" si="8"/>
        <v>79.900000000000006</v>
      </c>
      <c r="J83" s="926">
        <f t="shared" si="8"/>
        <v>193.1</v>
      </c>
      <c r="K83" s="926">
        <f t="shared" si="8"/>
        <v>78.599999999999994</v>
      </c>
      <c r="X83" s="927"/>
    </row>
    <row r="84" spans="1:24">
      <c r="A84" s="922">
        <f t="shared" si="7"/>
        <v>38656</v>
      </c>
      <c r="B84" s="923">
        <f t="shared" si="6"/>
        <v>2006</v>
      </c>
      <c r="C84" s="924">
        <v>80</v>
      </c>
      <c r="D84" s="924">
        <v>193.3</v>
      </c>
      <c r="E84" s="924">
        <v>78.7</v>
      </c>
      <c r="F84" s="925" t="str">
        <f>IF($A84&lt;DATE(2018,7,1),"-",INDEX('I1 - Universal Data'!$E$16:$V$16, MATCH(YEAR(EOMONTH($A84,6)), 'I1 - Universal Data'!$E$14:$V$14, 0)))</f>
        <v>-</v>
      </c>
      <c r="G84" s="925" t="str">
        <f>IF($A84&lt;DATE(2018,7,1),"-",INDEX('I1 - Universal Data'!$E$15:$V$15, MATCH(YEAR(EOMONTH($A84,6)), 'I1 - Universal Data'!$E$14:$V$14, 0)))</f>
        <v>-</v>
      </c>
      <c r="H84" s="925" t="str">
        <f>IF($A84&lt;DATE(2018,7,1),"-",INDEX('I1 - Universal Data'!$E$17:$V$17, MATCH(YEAR(EOMONTH($A84,6)), 'I1 - Universal Data'!$E$14:$V$14, 0)))</f>
        <v>-</v>
      </c>
      <c r="I84" s="926">
        <f t="shared" si="8"/>
        <v>80</v>
      </c>
      <c r="J84" s="926">
        <f t="shared" si="8"/>
        <v>193.3</v>
      </c>
      <c r="K84" s="926">
        <f t="shared" si="8"/>
        <v>78.7</v>
      </c>
      <c r="X84" s="927"/>
    </row>
    <row r="85" spans="1:24">
      <c r="A85" s="922">
        <f t="shared" si="7"/>
        <v>38686</v>
      </c>
      <c r="B85" s="923">
        <f t="shared" si="6"/>
        <v>2006</v>
      </c>
      <c r="C85" s="924">
        <v>80</v>
      </c>
      <c r="D85" s="924">
        <v>193.6</v>
      </c>
      <c r="E85" s="924">
        <v>78.7</v>
      </c>
      <c r="F85" s="925" t="str">
        <f>IF($A85&lt;DATE(2018,7,1),"-",INDEX('I1 - Universal Data'!$E$16:$V$16, MATCH(YEAR(EOMONTH($A85,6)), 'I1 - Universal Data'!$E$14:$V$14, 0)))</f>
        <v>-</v>
      </c>
      <c r="G85" s="925" t="str">
        <f>IF($A85&lt;DATE(2018,7,1),"-",INDEX('I1 - Universal Data'!$E$15:$V$15, MATCH(YEAR(EOMONTH($A85,6)), 'I1 - Universal Data'!$E$14:$V$14, 0)))</f>
        <v>-</v>
      </c>
      <c r="H85" s="925" t="str">
        <f>IF($A85&lt;DATE(2018,7,1),"-",INDEX('I1 - Universal Data'!$E$17:$V$17, MATCH(YEAR(EOMONTH($A85,6)), 'I1 - Universal Data'!$E$14:$V$14, 0)))</f>
        <v>-</v>
      </c>
      <c r="I85" s="926">
        <f t="shared" si="8"/>
        <v>80</v>
      </c>
      <c r="J85" s="926">
        <f t="shared" si="8"/>
        <v>193.6</v>
      </c>
      <c r="K85" s="926">
        <f t="shared" si="8"/>
        <v>78.7</v>
      </c>
      <c r="X85" s="927"/>
    </row>
    <row r="86" spans="1:24">
      <c r="A86" s="922">
        <f t="shared" si="7"/>
        <v>38717</v>
      </c>
      <c r="B86" s="923">
        <f t="shared" si="6"/>
        <v>2006</v>
      </c>
      <c r="C86" s="924">
        <v>80.3</v>
      </c>
      <c r="D86" s="924">
        <v>194.1</v>
      </c>
      <c r="E86" s="924">
        <v>78.900000000000006</v>
      </c>
      <c r="F86" s="925" t="str">
        <f>IF($A86&lt;DATE(2018,7,1),"-",INDEX('I1 - Universal Data'!$E$16:$V$16, MATCH(YEAR(EOMONTH($A86,6)), 'I1 - Universal Data'!$E$14:$V$14, 0)))</f>
        <v>-</v>
      </c>
      <c r="G86" s="925" t="str">
        <f>IF($A86&lt;DATE(2018,7,1),"-",INDEX('I1 - Universal Data'!$E$15:$V$15, MATCH(YEAR(EOMONTH($A86,6)), 'I1 - Universal Data'!$E$14:$V$14, 0)))</f>
        <v>-</v>
      </c>
      <c r="H86" s="925" t="str">
        <f>IF($A86&lt;DATE(2018,7,1),"-",INDEX('I1 - Universal Data'!$E$17:$V$17, MATCH(YEAR(EOMONTH($A86,6)), 'I1 - Universal Data'!$E$14:$V$14, 0)))</f>
        <v>-</v>
      </c>
      <c r="I86" s="926">
        <f t="shared" si="8"/>
        <v>80.3</v>
      </c>
      <c r="J86" s="926">
        <f t="shared" si="8"/>
        <v>194.1</v>
      </c>
      <c r="K86" s="926">
        <f t="shared" si="8"/>
        <v>78.900000000000006</v>
      </c>
      <c r="X86" s="927"/>
    </row>
    <row r="87" spans="1:24">
      <c r="A87" s="922">
        <f t="shared" si="7"/>
        <v>38748</v>
      </c>
      <c r="B87" s="923">
        <f t="shared" si="6"/>
        <v>2006</v>
      </c>
      <c r="C87" s="924">
        <v>80</v>
      </c>
      <c r="D87" s="924">
        <v>193.4</v>
      </c>
      <c r="E87" s="924">
        <v>78.5</v>
      </c>
      <c r="F87" s="925" t="str">
        <f>IF($A87&lt;DATE(2018,7,1),"-",INDEX('I1 - Universal Data'!$E$16:$V$16, MATCH(YEAR(EOMONTH($A87,6)), 'I1 - Universal Data'!$E$14:$V$14, 0)))</f>
        <v>-</v>
      </c>
      <c r="G87" s="925" t="str">
        <f>IF($A87&lt;DATE(2018,7,1),"-",INDEX('I1 - Universal Data'!$E$15:$V$15, MATCH(YEAR(EOMONTH($A87,6)), 'I1 - Universal Data'!$E$14:$V$14, 0)))</f>
        <v>-</v>
      </c>
      <c r="H87" s="925" t="str">
        <f>IF($A87&lt;DATE(2018,7,1),"-",INDEX('I1 - Universal Data'!$E$17:$V$17, MATCH(YEAR(EOMONTH($A87,6)), 'I1 - Universal Data'!$E$14:$V$14, 0)))</f>
        <v>-</v>
      </c>
      <c r="I87" s="926">
        <f t="shared" ref="I87:K102" si="9">IF(ISBLANK(C87),I86*((1+F87)^(1/12)),C87)</f>
        <v>80</v>
      </c>
      <c r="J87" s="926">
        <f t="shared" si="9"/>
        <v>193.4</v>
      </c>
      <c r="K87" s="926">
        <f t="shared" si="9"/>
        <v>78.5</v>
      </c>
      <c r="X87" s="927"/>
    </row>
    <row r="88" spans="1:24">
      <c r="A88" s="922">
        <f t="shared" si="7"/>
        <v>38776</v>
      </c>
      <c r="B88" s="923">
        <f t="shared" si="6"/>
        <v>2006</v>
      </c>
      <c r="C88" s="924">
        <v>80.2</v>
      </c>
      <c r="D88" s="924">
        <v>194.2</v>
      </c>
      <c r="E88" s="924">
        <v>78.8</v>
      </c>
      <c r="F88" s="925" t="str">
        <f>IF($A88&lt;DATE(2018,7,1),"-",INDEX('I1 - Universal Data'!$E$16:$V$16, MATCH(YEAR(EOMONTH($A88,6)), 'I1 - Universal Data'!$E$14:$V$14, 0)))</f>
        <v>-</v>
      </c>
      <c r="G88" s="925" t="str">
        <f>IF($A88&lt;DATE(2018,7,1),"-",INDEX('I1 - Universal Data'!$E$15:$V$15, MATCH(YEAR(EOMONTH($A88,6)), 'I1 - Universal Data'!$E$14:$V$14, 0)))</f>
        <v>-</v>
      </c>
      <c r="H88" s="925" t="str">
        <f>IF($A88&lt;DATE(2018,7,1),"-",INDEX('I1 - Universal Data'!$E$17:$V$17, MATCH(YEAR(EOMONTH($A88,6)), 'I1 - Universal Data'!$E$14:$V$14, 0)))</f>
        <v>-</v>
      </c>
      <c r="I88" s="926">
        <f t="shared" si="9"/>
        <v>80.2</v>
      </c>
      <c r="J88" s="926">
        <f t="shared" si="9"/>
        <v>194.2</v>
      </c>
      <c r="K88" s="926">
        <f t="shared" si="9"/>
        <v>78.8</v>
      </c>
      <c r="X88" s="927"/>
    </row>
    <row r="89" spans="1:24">
      <c r="A89" s="922">
        <f t="shared" si="7"/>
        <v>38807</v>
      </c>
      <c r="B89" s="923">
        <f t="shared" si="6"/>
        <v>2006</v>
      </c>
      <c r="C89" s="924">
        <v>80.400000000000006</v>
      </c>
      <c r="D89" s="924">
        <v>195</v>
      </c>
      <c r="E89" s="924">
        <v>78.900000000000006</v>
      </c>
      <c r="F89" s="925" t="str">
        <f>IF($A89&lt;DATE(2018,7,1),"-",INDEX('I1 - Universal Data'!$E$16:$V$16, MATCH(YEAR(EOMONTH($A89,6)), 'I1 - Universal Data'!$E$14:$V$14, 0)))</f>
        <v>-</v>
      </c>
      <c r="G89" s="925" t="str">
        <f>IF($A89&lt;DATE(2018,7,1),"-",INDEX('I1 - Universal Data'!$E$15:$V$15, MATCH(YEAR(EOMONTH($A89,6)), 'I1 - Universal Data'!$E$14:$V$14, 0)))</f>
        <v>-</v>
      </c>
      <c r="H89" s="925" t="str">
        <f>IF($A89&lt;DATE(2018,7,1),"-",INDEX('I1 - Universal Data'!$E$17:$V$17, MATCH(YEAR(EOMONTH($A89,6)), 'I1 - Universal Data'!$E$14:$V$14, 0)))</f>
        <v>-</v>
      </c>
      <c r="I89" s="926">
        <f t="shared" si="9"/>
        <v>80.400000000000006</v>
      </c>
      <c r="J89" s="926">
        <f t="shared" si="9"/>
        <v>195</v>
      </c>
      <c r="K89" s="926">
        <f t="shared" si="9"/>
        <v>78.900000000000006</v>
      </c>
      <c r="X89" s="927"/>
    </row>
    <row r="90" spans="1:24">
      <c r="A90" s="922">
        <f t="shared" si="7"/>
        <v>38837</v>
      </c>
      <c r="B90" s="923">
        <f t="shared" si="6"/>
        <v>2007</v>
      </c>
      <c r="C90" s="924">
        <v>80.900000000000006</v>
      </c>
      <c r="D90" s="924">
        <v>196.5</v>
      </c>
      <c r="E90" s="924">
        <v>79.400000000000006</v>
      </c>
      <c r="F90" s="925" t="str">
        <f>IF($A90&lt;DATE(2018,7,1),"-",INDEX('I1 - Universal Data'!$E$16:$V$16, MATCH(YEAR(EOMONTH($A90,6)), 'I1 - Universal Data'!$E$14:$V$14, 0)))</f>
        <v>-</v>
      </c>
      <c r="G90" s="925" t="str">
        <f>IF($A90&lt;DATE(2018,7,1),"-",INDEX('I1 - Universal Data'!$E$15:$V$15, MATCH(YEAR(EOMONTH($A90,6)), 'I1 - Universal Data'!$E$14:$V$14, 0)))</f>
        <v>-</v>
      </c>
      <c r="H90" s="925" t="str">
        <f>IF($A90&lt;DATE(2018,7,1),"-",INDEX('I1 - Universal Data'!$E$17:$V$17, MATCH(YEAR(EOMONTH($A90,6)), 'I1 - Universal Data'!$E$14:$V$14, 0)))</f>
        <v>-</v>
      </c>
      <c r="I90" s="926">
        <f t="shared" si="9"/>
        <v>80.900000000000006</v>
      </c>
      <c r="J90" s="926">
        <f t="shared" si="9"/>
        <v>196.5</v>
      </c>
      <c r="K90" s="926">
        <f t="shared" si="9"/>
        <v>79.400000000000006</v>
      </c>
      <c r="X90" s="927"/>
    </row>
    <row r="91" spans="1:24">
      <c r="A91" s="922">
        <f t="shared" si="7"/>
        <v>38868</v>
      </c>
      <c r="B91" s="923">
        <f t="shared" si="6"/>
        <v>2007</v>
      </c>
      <c r="C91" s="924">
        <v>81.3</v>
      </c>
      <c r="D91" s="924">
        <v>197.7</v>
      </c>
      <c r="E91" s="924">
        <v>79.900000000000006</v>
      </c>
      <c r="F91" s="925" t="str">
        <f>IF($A91&lt;DATE(2018,7,1),"-",INDEX('I1 - Universal Data'!$E$16:$V$16, MATCH(YEAR(EOMONTH($A91,6)), 'I1 - Universal Data'!$E$14:$V$14, 0)))</f>
        <v>-</v>
      </c>
      <c r="G91" s="925" t="str">
        <f>IF($A91&lt;DATE(2018,7,1),"-",INDEX('I1 - Universal Data'!$E$15:$V$15, MATCH(YEAR(EOMONTH($A91,6)), 'I1 - Universal Data'!$E$14:$V$14, 0)))</f>
        <v>-</v>
      </c>
      <c r="H91" s="925" t="str">
        <f>IF($A91&lt;DATE(2018,7,1),"-",INDEX('I1 - Universal Data'!$E$17:$V$17, MATCH(YEAR(EOMONTH($A91,6)), 'I1 - Universal Data'!$E$14:$V$14, 0)))</f>
        <v>-</v>
      </c>
      <c r="I91" s="926">
        <f t="shared" si="9"/>
        <v>81.3</v>
      </c>
      <c r="J91" s="926">
        <f t="shared" si="9"/>
        <v>197.7</v>
      </c>
      <c r="K91" s="926">
        <f t="shared" si="9"/>
        <v>79.900000000000006</v>
      </c>
      <c r="X91" s="927"/>
    </row>
    <row r="92" spans="1:24">
      <c r="A92" s="922">
        <f t="shared" si="7"/>
        <v>38898</v>
      </c>
      <c r="B92" s="923">
        <f t="shared" si="6"/>
        <v>2007</v>
      </c>
      <c r="C92" s="924">
        <v>81.5</v>
      </c>
      <c r="D92" s="924">
        <v>198.5</v>
      </c>
      <c r="E92" s="924">
        <v>80.099999999999994</v>
      </c>
      <c r="F92" s="925" t="str">
        <f>IF($A92&lt;DATE(2018,7,1),"-",INDEX('I1 - Universal Data'!$E$16:$V$16, MATCH(YEAR(EOMONTH($A92,6)), 'I1 - Universal Data'!$E$14:$V$14, 0)))</f>
        <v>-</v>
      </c>
      <c r="G92" s="925" t="str">
        <f>IF($A92&lt;DATE(2018,7,1),"-",INDEX('I1 - Universal Data'!$E$15:$V$15, MATCH(YEAR(EOMONTH($A92,6)), 'I1 - Universal Data'!$E$14:$V$14, 0)))</f>
        <v>-</v>
      </c>
      <c r="H92" s="925" t="str">
        <f>IF($A92&lt;DATE(2018,7,1),"-",INDEX('I1 - Universal Data'!$E$17:$V$17, MATCH(YEAR(EOMONTH($A92,6)), 'I1 - Universal Data'!$E$14:$V$14, 0)))</f>
        <v>-</v>
      </c>
      <c r="I92" s="926">
        <f t="shared" si="9"/>
        <v>81.5</v>
      </c>
      <c r="J92" s="926">
        <f t="shared" si="9"/>
        <v>198.5</v>
      </c>
      <c r="K92" s="926">
        <f t="shared" si="9"/>
        <v>80.099999999999994</v>
      </c>
      <c r="X92" s="927"/>
    </row>
    <row r="93" spans="1:24">
      <c r="A93" s="922">
        <f t="shared" si="7"/>
        <v>38929</v>
      </c>
      <c r="B93" s="923">
        <f t="shared" si="6"/>
        <v>2007</v>
      </c>
      <c r="C93" s="924">
        <v>81.5</v>
      </c>
      <c r="D93" s="924">
        <v>198.5</v>
      </c>
      <c r="E93" s="924">
        <v>80</v>
      </c>
      <c r="F93" s="925" t="str">
        <f>IF($A93&lt;DATE(2018,7,1),"-",INDEX('I1 - Universal Data'!$E$16:$V$16, MATCH(YEAR(EOMONTH($A93,6)), 'I1 - Universal Data'!$E$14:$V$14, 0)))</f>
        <v>-</v>
      </c>
      <c r="G93" s="925" t="str">
        <f>IF($A93&lt;DATE(2018,7,1),"-",INDEX('I1 - Universal Data'!$E$15:$V$15, MATCH(YEAR(EOMONTH($A93,6)), 'I1 - Universal Data'!$E$14:$V$14, 0)))</f>
        <v>-</v>
      </c>
      <c r="H93" s="925" t="str">
        <f>IF($A93&lt;DATE(2018,7,1),"-",INDEX('I1 - Universal Data'!$E$17:$V$17, MATCH(YEAR(EOMONTH($A93,6)), 'I1 - Universal Data'!$E$14:$V$14, 0)))</f>
        <v>-</v>
      </c>
      <c r="I93" s="926">
        <f t="shared" si="9"/>
        <v>81.5</v>
      </c>
      <c r="J93" s="926">
        <f t="shared" si="9"/>
        <v>198.5</v>
      </c>
      <c r="K93" s="926">
        <f t="shared" si="9"/>
        <v>80</v>
      </c>
      <c r="X93" s="927"/>
    </row>
    <row r="94" spans="1:24">
      <c r="A94" s="922">
        <f t="shared" si="7"/>
        <v>38960</v>
      </c>
      <c r="B94" s="923">
        <f t="shared" si="6"/>
        <v>2007</v>
      </c>
      <c r="C94" s="924">
        <v>81.8</v>
      </c>
      <c r="D94" s="924">
        <v>199.2</v>
      </c>
      <c r="E94" s="924">
        <v>80.400000000000006</v>
      </c>
      <c r="F94" s="925" t="str">
        <f>IF($A94&lt;DATE(2018,7,1),"-",INDEX('I1 - Universal Data'!$E$16:$V$16, MATCH(YEAR(EOMONTH($A94,6)), 'I1 - Universal Data'!$E$14:$V$14, 0)))</f>
        <v>-</v>
      </c>
      <c r="G94" s="925" t="str">
        <f>IF($A94&lt;DATE(2018,7,1),"-",INDEX('I1 - Universal Data'!$E$15:$V$15, MATCH(YEAR(EOMONTH($A94,6)), 'I1 - Universal Data'!$E$14:$V$14, 0)))</f>
        <v>-</v>
      </c>
      <c r="H94" s="925" t="str">
        <f>IF($A94&lt;DATE(2018,7,1),"-",INDEX('I1 - Universal Data'!$E$17:$V$17, MATCH(YEAR(EOMONTH($A94,6)), 'I1 - Universal Data'!$E$14:$V$14, 0)))</f>
        <v>-</v>
      </c>
      <c r="I94" s="926">
        <f t="shared" si="9"/>
        <v>81.8</v>
      </c>
      <c r="J94" s="926">
        <f t="shared" si="9"/>
        <v>199.2</v>
      </c>
      <c r="K94" s="926">
        <f t="shared" si="9"/>
        <v>80.400000000000006</v>
      </c>
      <c r="X94" s="927"/>
    </row>
    <row r="95" spans="1:24">
      <c r="A95" s="922">
        <f t="shared" si="7"/>
        <v>38990</v>
      </c>
      <c r="B95" s="923">
        <f t="shared" si="6"/>
        <v>2007</v>
      </c>
      <c r="C95" s="924">
        <v>81.900000000000006</v>
      </c>
      <c r="D95" s="924">
        <v>200.1</v>
      </c>
      <c r="E95" s="924">
        <v>80.5</v>
      </c>
      <c r="F95" s="925" t="str">
        <f>IF($A95&lt;DATE(2018,7,1),"-",INDEX('I1 - Universal Data'!$E$16:$V$16, MATCH(YEAR(EOMONTH($A95,6)), 'I1 - Universal Data'!$E$14:$V$14, 0)))</f>
        <v>-</v>
      </c>
      <c r="G95" s="925" t="str">
        <f>IF($A95&lt;DATE(2018,7,1),"-",INDEX('I1 - Universal Data'!$E$15:$V$15, MATCH(YEAR(EOMONTH($A95,6)), 'I1 - Universal Data'!$E$14:$V$14, 0)))</f>
        <v>-</v>
      </c>
      <c r="H95" s="925" t="str">
        <f>IF($A95&lt;DATE(2018,7,1),"-",INDEX('I1 - Universal Data'!$E$17:$V$17, MATCH(YEAR(EOMONTH($A95,6)), 'I1 - Universal Data'!$E$14:$V$14, 0)))</f>
        <v>-</v>
      </c>
      <c r="I95" s="926">
        <f t="shared" si="9"/>
        <v>81.900000000000006</v>
      </c>
      <c r="J95" s="926">
        <f t="shared" si="9"/>
        <v>200.1</v>
      </c>
      <c r="K95" s="926">
        <f t="shared" si="9"/>
        <v>80.5</v>
      </c>
      <c r="X95" s="927"/>
    </row>
    <row r="96" spans="1:24">
      <c r="A96" s="922">
        <f t="shared" si="7"/>
        <v>39021</v>
      </c>
      <c r="B96" s="923">
        <f t="shared" si="6"/>
        <v>2007</v>
      </c>
      <c r="C96" s="924">
        <v>82</v>
      </c>
      <c r="D96" s="924">
        <v>200.4</v>
      </c>
      <c r="E96" s="924">
        <v>80.599999999999994</v>
      </c>
      <c r="F96" s="925" t="str">
        <f>IF($A96&lt;DATE(2018,7,1),"-",INDEX('I1 - Universal Data'!$E$16:$V$16, MATCH(YEAR(EOMONTH($A96,6)), 'I1 - Universal Data'!$E$14:$V$14, 0)))</f>
        <v>-</v>
      </c>
      <c r="G96" s="925" t="str">
        <f>IF($A96&lt;DATE(2018,7,1),"-",INDEX('I1 - Universal Data'!$E$15:$V$15, MATCH(YEAR(EOMONTH($A96,6)), 'I1 - Universal Data'!$E$14:$V$14, 0)))</f>
        <v>-</v>
      </c>
      <c r="H96" s="925" t="str">
        <f>IF($A96&lt;DATE(2018,7,1),"-",INDEX('I1 - Universal Data'!$E$17:$V$17, MATCH(YEAR(EOMONTH($A96,6)), 'I1 - Universal Data'!$E$14:$V$14, 0)))</f>
        <v>-</v>
      </c>
      <c r="I96" s="926">
        <f t="shared" si="9"/>
        <v>82</v>
      </c>
      <c r="J96" s="926">
        <f t="shared" si="9"/>
        <v>200.4</v>
      </c>
      <c r="K96" s="926">
        <f t="shared" si="9"/>
        <v>80.599999999999994</v>
      </c>
      <c r="X96" s="927"/>
    </row>
    <row r="97" spans="1:24">
      <c r="A97" s="922">
        <f t="shared" si="7"/>
        <v>39051</v>
      </c>
      <c r="B97" s="923">
        <f t="shared" si="6"/>
        <v>2007</v>
      </c>
      <c r="C97" s="924">
        <v>82.2</v>
      </c>
      <c r="D97" s="924">
        <v>201.1</v>
      </c>
      <c r="E97" s="924">
        <v>80.8</v>
      </c>
      <c r="F97" s="925" t="str">
        <f>IF($A97&lt;DATE(2018,7,1),"-",INDEX('I1 - Universal Data'!$E$16:$V$16, MATCH(YEAR(EOMONTH($A97,6)), 'I1 - Universal Data'!$E$14:$V$14, 0)))</f>
        <v>-</v>
      </c>
      <c r="G97" s="925" t="str">
        <f>IF($A97&lt;DATE(2018,7,1),"-",INDEX('I1 - Universal Data'!$E$15:$V$15, MATCH(YEAR(EOMONTH($A97,6)), 'I1 - Universal Data'!$E$14:$V$14, 0)))</f>
        <v>-</v>
      </c>
      <c r="H97" s="925" t="str">
        <f>IF($A97&lt;DATE(2018,7,1),"-",INDEX('I1 - Universal Data'!$E$17:$V$17, MATCH(YEAR(EOMONTH($A97,6)), 'I1 - Universal Data'!$E$14:$V$14, 0)))</f>
        <v>-</v>
      </c>
      <c r="I97" s="926">
        <f t="shared" si="9"/>
        <v>82.2</v>
      </c>
      <c r="J97" s="926">
        <f t="shared" si="9"/>
        <v>201.1</v>
      </c>
      <c r="K97" s="926">
        <f t="shared" si="9"/>
        <v>80.8</v>
      </c>
      <c r="X97" s="927"/>
    </row>
    <row r="98" spans="1:24">
      <c r="A98" s="922">
        <f t="shared" si="7"/>
        <v>39082</v>
      </c>
      <c r="B98" s="923">
        <f t="shared" si="6"/>
        <v>2007</v>
      </c>
      <c r="C98" s="924">
        <v>82.6</v>
      </c>
      <c r="D98" s="924">
        <v>202.7</v>
      </c>
      <c r="E98" s="924">
        <v>81.3</v>
      </c>
      <c r="F98" s="925" t="str">
        <f>IF($A98&lt;DATE(2018,7,1),"-",INDEX('I1 - Universal Data'!$E$16:$V$16, MATCH(YEAR(EOMONTH($A98,6)), 'I1 - Universal Data'!$E$14:$V$14, 0)))</f>
        <v>-</v>
      </c>
      <c r="G98" s="925" t="str">
        <f>IF($A98&lt;DATE(2018,7,1),"-",INDEX('I1 - Universal Data'!$E$15:$V$15, MATCH(YEAR(EOMONTH($A98,6)), 'I1 - Universal Data'!$E$14:$V$14, 0)))</f>
        <v>-</v>
      </c>
      <c r="H98" s="925" t="str">
        <f>IF($A98&lt;DATE(2018,7,1),"-",INDEX('I1 - Universal Data'!$E$17:$V$17, MATCH(YEAR(EOMONTH($A98,6)), 'I1 - Universal Data'!$E$14:$V$14, 0)))</f>
        <v>-</v>
      </c>
      <c r="I98" s="926">
        <f t="shared" si="9"/>
        <v>82.6</v>
      </c>
      <c r="J98" s="926">
        <f t="shared" si="9"/>
        <v>202.7</v>
      </c>
      <c r="K98" s="926">
        <f t="shared" si="9"/>
        <v>81.3</v>
      </c>
      <c r="X98" s="927"/>
    </row>
    <row r="99" spans="1:24">
      <c r="A99" s="922">
        <f t="shared" si="7"/>
        <v>39113</v>
      </c>
      <c r="B99" s="923">
        <f t="shared" si="6"/>
        <v>2007</v>
      </c>
      <c r="C99" s="924">
        <v>82.1</v>
      </c>
      <c r="D99" s="924">
        <v>201.6</v>
      </c>
      <c r="E99" s="924">
        <v>80.599999999999994</v>
      </c>
      <c r="F99" s="925" t="str">
        <f>IF($A99&lt;DATE(2018,7,1),"-",INDEX('I1 - Universal Data'!$E$16:$V$16, MATCH(YEAR(EOMONTH($A99,6)), 'I1 - Universal Data'!$E$14:$V$14, 0)))</f>
        <v>-</v>
      </c>
      <c r="G99" s="925" t="str">
        <f>IF($A99&lt;DATE(2018,7,1),"-",INDEX('I1 - Universal Data'!$E$15:$V$15, MATCH(YEAR(EOMONTH($A99,6)), 'I1 - Universal Data'!$E$14:$V$14, 0)))</f>
        <v>-</v>
      </c>
      <c r="H99" s="925" t="str">
        <f>IF($A99&lt;DATE(2018,7,1),"-",INDEX('I1 - Universal Data'!$E$17:$V$17, MATCH(YEAR(EOMONTH($A99,6)), 'I1 - Universal Data'!$E$14:$V$14, 0)))</f>
        <v>-</v>
      </c>
      <c r="I99" s="926">
        <f t="shared" si="9"/>
        <v>82.1</v>
      </c>
      <c r="J99" s="926">
        <f t="shared" si="9"/>
        <v>201.6</v>
      </c>
      <c r="K99" s="926">
        <f t="shared" si="9"/>
        <v>80.599999999999994</v>
      </c>
      <c r="X99" s="927"/>
    </row>
    <row r="100" spans="1:24">
      <c r="A100" s="922">
        <f t="shared" si="7"/>
        <v>39141</v>
      </c>
      <c r="B100" s="923">
        <f t="shared" si="6"/>
        <v>2007</v>
      </c>
      <c r="C100" s="924">
        <v>82.4</v>
      </c>
      <c r="D100" s="924">
        <v>203.1</v>
      </c>
      <c r="E100" s="924">
        <v>81</v>
      </c>
      <c r="F100" s="925" t="str">
        <f>IF($A100&lt;DATE(2018,7,1),"-",INDEX('I1 - Universal Data'!$E$16:$V$16, MATCH(YEAR(EOMONTH($A100,6)), 'I1 - Universal Data'!$E$14:$V$14, 0)))</f>
        <v>-</v>
      </c>
      <c r="G100" s="925" t="str">
        <f>IF($A100&lt;DATE(2018,7,1),"-",INDEX('I1 - Universal Data'!$E$15:$V$15, MATCH(YEAR(EOMONTH($A100,6)), 'I1 - Universal Data'!$E$14:$V$14, 0)))</f>
        <v>-</v>
      </c>
      <c r="H100" s="925" t="str">
        <f>IF($A100&lt;DATE(2018,7,1),"-",INDEX('I1 - Universal Data'!$E$17:$V$17, MATCH(YEAR(EOMONTH($A100,6)), 'I1 - Universal Data'!$E$14:$V$14, 0)))</f>
        <v>-</v>
      </c>
      <c r="I100" s="926">
        <f t="shared" si="9"/>
        <v>82.4</v>
      </c>
      <c r="J100" s="926">
        <f t="shared" si="9"/>
        <v>203.1</v>
      </c>
      <c r="K100" s="926">
        <f t="shared" si="9"/>
        <v>81</v>
      </c>
      <c r="X100" s="927"/>
    </row>
    <row r="101" spans="1:24">
      <c r="A101" s="922">
        <f t="shared" si="7"/>
        <v>39172</v>
      </c>
      <c r="B101" s="923">
        <f t="shared" si="6"/>
        <v>2007</v>
      </c>
      <c r="C101" s="924">
        <v>82.8</v>
      </c>
      <c r="D101" s="924">
        <v>204.4</v>
      </c>
      <c r="E101" s="924">
        <v>81.400000000000006</v>
      </c>
      <c r="F101" s="925" t="str">
        <f>IF($A101&lt;DATE(2018,7,1),"-",INDEX('I1 - Universal Data'!$E$16:$V$16, MATCH(YEAR(EOMONTH($A101,6)), 'I1 - Universal Data'!$E$14:$V$14, 0)))</f>
        <v>-</v>
      </c>
      <c r="G101" s="925" t="str">
        <f>IF($A101&lt;DATE(2018,7,1),"-",INDEX('I1 - Universal Data'!$E$15:$V$15, MATCH(YEAR(EOMONTH($A101,6)), 'I1 - Universal Data'!$E$14:$V$14, 0)))</f>
        <v>-</v>
      </c>
      <c r="H101" s="925" t="str">
        <f>IF($A101&lt;DATE(2018,7,1),"-",INDEX('I1 - Universal Data'!$E$17:$V$17, MATCH(YEAR(EOMONTH($A101,6)), 'I1 - Universal Data'!$E$14:$V$14, 0)))</f>
        <v>-</v>
      </c>
      <c r="I101" s="926">
        <f t="shared" si="9"/>
        <v>82.8</v>
      </c>
      <c r="J101" s="926">
        <f t="shared" si="9"/>
        <v>204.4</v>
      </c>
      <c r="K101" s="926">
        <f t="shared" si="9"/>
        <v>81.400000000000006</v>
      </c>
      <c r="X101" s="927"/>
    </row>
    <row r="102" spans="1:24">
      <c r="A102" s="922">
        <f t="shared" si="7"/>
        <v>39202</v>
      </c>
      <c r="B102" s="923">
        <f t="shared" si="6"/>
        <v>2008</v>
      </c>
      <c r="C102" s="924">
        <v>83.1</v>
      </c>
      <c r="D102" s="924">
        <v>205.4</v>
      </c>
      <c r="E102" s="924">
        <v>81.599999999999994</v>
      </c>
      <c r="F102" s="925" t="str">
        <f>IF($A102&lt;DATE(2018,7,1),"-",INDEX('I1 - Universal Data'!$E$16:$V$16, MATCH(YEAR(EOMONTH($A102,6)), 'I1 - Universal Data'!$E$14:$V$14, 0)))</f>
        <v>-</v>
      </c>
      <c r="G102" s="925" t="str">
        <f>IF($A102&lt;DATE(2018,7,1),"-",INDEX('I1 - Universal Data'!$E$15:$V$15, MATCH(YEAR(EOMONTH($A102,6)), 'I1 - Universal Data'!$E$14:$V$14, 0)))</f>
        <v>-</v>
      </c>
      <c r="H102" s="925" t="str">
        <f>IF($A102&lt;DATE(2018,7,1),"-",INDEX('I1 - Universal Data'!$E$17:$V$17, MATCH(YEAR(EOMONTH($A102,6)), 'I1 - Universal Data'!$E$14:$V$14, 0)))</f>
        <v>-</v>
      </c>
      <c r="I102" s="926">
        <f t="shared" si="9"/>
        <v>83.1</v>
      </c>
      <c r="J102" s="926">
        <f t="shared" si="9"/>
        <v>205.4</v>
      </c>
      <c r="K102" s="926">
        <f t="shared" si="9"/>
        <v>81.599999999999994</v>
      </c>
      <c r="X102" s="927"/>
    </row>
    <row r="103" spans="1:24">
      <c r="A103" s="922">
        <f t="shared" si="7"/>
        <v>39233</v>
      </c>
      <c r="B103" s="923">
        <f t="shared" si="6"/>
        <v>2008</v>
      </c>
      <c r="C103" s="924">
        <v>83.3</v>
      </c>
      <c r="D103" s="924">
        <v>206.2</v>
      </c>
      <c r="E103" s="924">
        <v>81.8</v>
      </c>
      <c r="F103" s="925" t="str">
        <f>IF($A103&lt;DATE(2018,7,1),"-",INDEX('I1 - Universal Data'!$E$16:$V$16, MATCH(YEAR(EOMONTH($A103,6)), 'I1 - Universal Data'!$E$14:$V$14, 0)))</f>
        <v>-</v>
      </c>
      <c r="G103" s="925" t="str">
        <f>IF($A103&lt;DATE(2018,7,1),"-",INDEX('I1 - Universal Data'!$E$15:$V$15, MATCH(YEAR(EOMONTH($A103,6)), 'I1 - Universal Data'!$E$14:$V$14, 0)))</f>
        <v>-</v>
      </c>
      <c r="H103" s="925" t="str">
        <f>IF($A103&lt;DATE(2018,7,1),"-",INDEX('I1 - Universal Data'!$E$17:$V$17, MATCH(YEAR(EOMONTH($A103,6)), 'I1 - Universal Data'!$E$14:$V$14, 0)))</f>
        <v>-</v>
      </c>
      <c r="I103" s="926">
        <f t="shared" ref="I103:K118" si="10">IF(ISBLANK(C103),I102*((1+F103)^(1/12)),C103)</f>
        <v>83.3</v>
      </c>
      <c r="J103" s="926">
        <f t="shared" si="10"/>
        <v>206.2</v>
      </c>
      <c r="K103" s="926">
        <f t="shared" si="10"/>
        <v>81.8</v>
      </c>
      <c r="X103" s="927"/>
    </row>
    <row r="104" spans="1:24">
      <c r="A104" s="922">
        <f t="shared" si="7"/>
        <v>39263</v>
      </c>
      <c r="B104" s="923">
        <f t="shared" si="6"/>
        <v>2008</v>
      </c>
      <c r="C104" s="924">
        <v>83.5</v>
      </c>
      <c r="D104" s="924">
        <v>207.3</v>
      </c>
      <c r="E104" s="924">
        <v>82</v>
      </c>
      <c r="F104" s="925" t="str">
        <f>IF($A104&lt;DATE(2018,7,1),"-",INDEX('I1 - Universal Data'!$E$16:$V$16, MATCH(YEAR(EOMONTH($A104,6)), 'I1 - Universal Data'!$E$14:$V$14, 0)))</f>
        <v>-</v>
      </c>
      <c r="G104" s="925" t="str">
        <f>IF($A104&lt;DATE(2018,7,1),"-",INDEX('I1 - Universal Data'!$E$15:$V$15, MATCH(YEAR(EOMONTH($A104,6)), 'I1 - Universal Data'!$E$14:$V$14, 0)))</f>
        <v>-</v>
      </c>
      <c r="H104" s="925" t="str">
        <f>IF($A104&lt;DATE(2018,7,1),"-",INDEX('I1 - Universal Data'!$E$17:$V$17, MATCH(YEAR(EOMONTH($A104,6)), 'I1 - Universal Data'!$E$14:$V$14, 0)))</f>
        <v>-</v>
      </c>
      <c r="I104" s="926">
        <f t="shared" si="10"/>
        <v>83.5</v>
      </c>
      <c r="J104" s="926">
        <f t="shared" si="10"/>
        <v>207.3</v>
      </c>
      <c r="K104" s="926">
        <f t="shared" si="10"/>
        <v>82</v>
      </c>
      <c r="X104" s="927"/>
    </row>
    <row r="105" spans="1:24">
      <c r="A105" s="922">
        <f t="shared" si="7"/>
        <v>39294</v>
      </c>
      <c r="B105" s="923">
        <f t="shared" si="6"/>
        <v>2008</v>
      </c>
      <c r="C105" s="924">
        <v>83.1</v>
      </c>
      <c r="D105" s="924">
        <v>206.1</v>
      </c>
      <c r="E105" s="924">
        <v>81.5</v>
      </c>
      <c r="F105" s="925" t="str">
        <f>IF($A105&lt;DATE(2018,7,1),"-",INDEX('I1 - Universal Data'!$E$16:$V$16, MATCH(YEAR(EOMONTH($A105,6)), 'I1 - Universal Data'!$E$14:$V$14, 0)))</f>
        <v>-</v>
      </c>
      <c r="G105" s="925" t="str">
        <f>IF($A105&lt;DATE(2018,7,1),"-",INDEX('I1 - Universal Data'!$E$15:$V$15, MATCH(YEAR(EOMONTH($A105,6)), 'I1 - Universal Data'!$E$14:$V$14, 0)))</f>
        <v>-</v>
      </c>
      <c r="H105" s="925" t="str">
        <f>IF($A105&lt;DATE(2018,7,1),"-",INDEX('I1 - Universal Data'!$E$17:$V$17, MATCH(YEAR(EOMONTH($A105,6)), 'I1 - Universal Data'!$E$14:$V$14, 0)))</f>
        <v>-</v>
      </c>
      <c r="I105" s="926">
        <f t="shared" si="10"/>
        <v>83.1</v>
      </c>
      <c r="J105" s="926">
        <f t="shared" si="10"/>
        <v>206.1</v>
      </c>
      <c r="K105" s="926">
        <f t="shared" si="10"/>
        <v>81.5</v>
      </c>
      <c r="X105" s="927"/>
    </row>
    <row r="106" spans="1:24">
      <c r="A106" s="922">
        <f t="shared" si="7"/>
        <v>39325</v>
      </c>
      <c r="B106" s="923">
        <f t="shared" si="6"/>
        <v>2008</v>
      </c>
      <c r="C106" s="924">
        <v>83.4</v>
      </c>
      <c r="D106" s="924">
        <v>207.3</v>
      </c>
      <c r="E106" s="924">
        <v>81.8</v>
      </c>
      <c r="F106" s="925" t="str">
        <f>IF($A106&lt;DATE(2018,7,1),"-",INDEX('I1 - Universal Data'!$E$16:$V$16, MATCH(YEAR(EOMONTH($A106,6)), 'I1 - Universal Data'!$E$14:$V$14, 0)))</f>
        <v>-</v>
      </c>
      <c r="G106" s="925" t="str">
        <f>IF($A106&lt;DATE(2018,7,1),"-",INDEX('I1 - Universal Data'!$E$15:$V$15, MATCH(YEAR(EOMONTH($A106,6)), 'I1 - Universal Data'!$E$14:$V$14, 0)))</f>
        <v>-</v>
      </c>
      <c r="H106" s="925" t="str">
        <f>IF($A106&lt;DATE(2018,7,1),"-",INDEX('I1 - Universal Data'!$E$17:$V$17, MATCH(YEAR(EOMONTH($A106,6)), 'I1 - Universal Data'!$E$14:$V$14, 0)))</f>
        <v>-</v>
      </c>
      <c r="I106" s="926">
        <f t="shared" si="10"/>
        <v>83.4</v>
      </c>
      <c r="J106" s="926">
        <f t="shared" si="10"/>
        <v>207.3</v>
      </c>
      <c r="K106" s="926">
        <f t="shared" si="10"/>
        <v>81.8</v>
      </c>
      <c r="X106" s="927"/>
    </row>
    <row r="107" spans="1:24">
      <c r="A107" s="922">
        <f t="shared" si="7"/>
        <v>39355</v>
      </c>
      <c r="B107" s="923">
        <f t="shared" si="6"/>
        <v>2008</v>
      </c>
      <c r="C107" s="924">
        <v>83.5</v>
      </c>
      <c r="D107" s="924">
        <v>208</v>
      </c>
      <c r="E107" s="924">
        <v>81.900000000000006</v>
      </c>
      <c r="F107" s="925" t="str">
        <f>IF($A107&lt;DATE(2018,7,1),"-",INDEX('I1 - Universal Data'!$E$16:$V$16, MATCH(YEAR(EOMONTH($A107,6)), 'I1 - Universal Data'!$E$14:$V$14, 0)))</f>
        <v>-</v>
      </c>
      <c r="G107" s="925" t="str">
        <f>IF($A107&lt;DATE(2018,7,1),"-",INDEX('I1 - Universal Data'!$E$15:$V$15, MATCH(YEAR(EOMONTH($A107,6)), 'I1 - Universal Data'!$E$14:$V$14, 0)))</f>
        <v>-</v>
      </c>
      <c r="H107" s="925" t="str">
        <f>IF($A107&lt;DATE(2018,7,1),"-",INDEX('I1 - Universal Data'!$E$17:$V$17, MATCH(YEAR(EOMONTH($A107,6)), 'I1 - Universal Data'!$E$14:$V$14, 0)))</f>
        <v>-</v>
      </c>
      <c r="I107" s="926">
        <f t="shared" si="10"/>
        <v>83.5</v>
      </c>
      <c r="J107" s="926">
        <f t="shared" si="10"/>
        <v>208</v>
      </c>
      <c r="K107" s="926">
        <f t="shared" si="10"/>
        <v>81.900000000000006</v>
      </c>
      <c r="X107" s="927"/>
    </row>
    <row r="108" spans="1:24">
      <c r="A108" s="922">
        <f t="shared" si="7"/>
        <v>39386</v>
      </c>
      <c r="B108" s="923">
        <f t="shared" si="6"/>
        <v>2008</v>
      </c>
      <c r="C108" s="924">
        <v>83.8</v>
      </c>
      <c r="D108" s="924">
        <v>208.9</v>
      </c>
      <c r="E108" s="924">
        <v>82.3</v>
      </c>
      <c r="F108" s="925" t="str">
        <f>IF($A108&lt;DATE(2018,7,1),"-",INDEX('I1 - Universal Data'!$E$16:$V$16, MATCH(YEAR(EOMONTH($A108,6)), 'I1 - Universal Data'!$E$14:$V$14, 0)))</f>
        <v>-</v>
      </c>
      <c r="G108" s="925" t="str">
        <f>IF($A108&lt;DATE(2018,7,1),"-",INDEX('I1 - Universal Data'!$E$15:$V$15, MATCH(YEAR(EOMONTH($A108,6)), 'I1 - Universal Data'!$E$14:$V$14, 0)))</f>
        <v>-</v>
      </c>
      <c r="H108" s="925" t="str">
        <f>IF($A108&lt;DATE(2018,7,1),"-",INDEX('I1 - Universal Data'!$E$17:$V$17, MATCH(YEAR(EOMONTH($A108,6)), 'I1 - Universal Data'!$E$14:$V$14, 0)))</f>
        <v>-</v>
      </c>
      <c r="I108" s="926">
        <f t="shared" si="10"/>
        <v>83.8</v>
      </c>
      <c r="J108" s="926">
        <f t="shared" si="10"/>
        <v>208.9</v>
      </c>
      <c r="K108" s="926">
        <f t="shared" si="10"/>
        <v>82.3</v>
      </c>
      <c r="X108" s="927"/>
    </row>
    <row r="109" spans="1:24">
      <c r="A109" s="922">
        <f t="shared" si="7"/>
        <v>39416</v>
      </c>
      <c r="B109" s="923">
        <f t="shared" si="6"/>
        <v>2008</v>
      </c>
      <c r="C109" s="924">
        <v>84.1</v>
      </c>
      <c r="D109" s="924">
        <v>209.7</v>
      </c>
      <c r="E109" s="924">
        <v>82.5</v>
      </c>
      <c r="F109" s="925" t="str">
        <f>IF($A109&lt;DATE(2018,7,1),"-",INDEX('I1 - Universal Data'!$E$16:$V$16, MATCH(YEAR(EOMONTH($A109,6)), 'I1 - Universal Data'!$E$14:$V$14, 0)))</f>
        <v>-</v>
      </c>
      <c r="G109" s="925" t="str">
        <f>IF($A109&lt;DATE(2018,7,1),"-",INDEX('I1 - Universal Data'!$E$15:$V$15, MATCH(YEAR(EOMONTH($A109,6)), 'I1 - Universal Data'!$E$14:$V$14, 0)))</f>
        <v>-</v>
      </c>
      <c r="H109" s="925" t="str">
        <f>IF($A109&lt;DATE(2018,7,1),"-",INDEX('I1 - Universal Data'!$E$17:$V$17, MATCH(YEAR(EOMONTH($A109,6)), 'I1 - Universal Data'!$E$14:$V$14, 0)))</f>
        <v>-</v>
      </c>
      <c r="I109" s="926">
        <f t="shared" si="10"/>
        <v>84.1</v>
      </c>
      <c r="J109" s="926">
        <f t="shared" si="10"/>
        <v>209.7</v>
      </c>
      <c r="K109" s="926">
        <f t="shared" si="10"/>
        <v>82.5</v>
      </c>
      <c r="X109" s="927"/>
    </row>
    <row r="110" spans="1:24">
      <c r="A110" s="922">
        <f t="shared" si="7"/>
        <v>39447</v>
      </c>
      <c r="B110" s="923">
        <f t="shared" si="6"/>
        <v>2008</v>
      </c>
      <c r="C110" s="924">
        <v>84.5</v>
      </c>
      <c r="D110" s="924">
        <v>210.9</v>
      </c>
      <c r="E110" s="924">
        <v>83</v>
      </c>
      <c r="F110" s="925" t="str">
        <f>IF($A110&lt;DATE(2018,7,1),"-",INDEX('I1 - Universal Data'!$E$16:$V$16, MATCH(YEAR(EOMONTH($A110,6)), 'I1 - Universal Data'!$E$14:$V$14, 0)))</f>
        <v>-</v>
      </c>
      <c r="G110" s="925" t="str">
        <f>IF($A110&lt;DATE(2018,7,1),"-",INDEX('I1 - Universal Data'!$E$15:$V$15, MATCH(YEAR(EOMONTH($A110,6)), 'I1 - Universal Data'!$E$14:$V$14, 0)))</f>
        <v>-</v>
      </c>
      <c r="H110" s="925" t="str">
        <f>IF($A110&lt;DATE(2018,7,1),"-",INDEX('I1 - Universal Data'!$E$17:$V$17, MATCH(YEAR(EOMONTH($A110,6)), 'I1 - Universal Data'!$E$14:$V$14, 0)))</f>
        <v>-</v>
      </c>
      <c r="I110" s="926">
        <f t="shared" si="10"/>
        <v>84.5</v>
      </c>
      <c r="J110" s="926">
        <f t="shared" si="10"/>
        <v>210.9</v>
      </c>
      <c r="K110" s="926">
        <f t="shared" si="10"/>
        <v>83</v>
      </c>
      <c r="X110" s="927"/>
    </row>
    <row r="111" spans="1:24">
      <c r="A111" s="922">
        <f t="shared" si="7"/>
        <v>39478</v>
      </c>
      <c r="B111" s="923">
        <f t="shared" si="6"/>
        <v>2008</v>
      </c>
      <c r="C111" s="924">
        <v>84.1</v>
      </c>
      <c r="D111" s="924">
        <v>209.8</v>
      </c>
      <c r="E111" s="924">
        <v>82.4</v>
      </c>
      <c r="F111" s="925" t="str">
        <f>IF($A111&lt;DATE(2018,7,1),"-",INDEX('I1 - Universal Data'!$E$16:$V$16, MATCH(YEAR(EOMONTH($A111,6)), 'I1 - Universal Data'!$E$14:$V$14, 0)))</f>
        <v>-</v>
      </c>
      <c r="G111" s="925" t="str">
        <f>IF($A111&lt;DATE(2018,7,1),"-",INDEX('I1 - Universal Data'!$E$15:$V$15, MATCH(YEAR(EOMONTH($A111,6)), 'I1 - Universal Data'!$E$14:$V$14, 0)))</f>
        <v>-</v>
      </c>
      <c r="H111" s="925" t="str">
        <f>IF($A111&lt;DATE(2018,7,1),"-",INDEX('I1 - Universal Data'!$E$17:$V$17, MATCH(YEAR(EOMONTH($A111,6)), 'I1 - Universal Data'!$E$14:$V$14, 0)))</f>
        <v>-</v>
      </c>
      <c r="I111" s="926">
        <f t="shared" si="10"/>
        <v>84.1</v>
      </c>
      <c r="J111" s="926">
        <f t="shared" si="10"/>
        <v>209.8</v>
      </c>
      <c r="K111" s="926">
        <f t="shared" si="10"/>
        <v>82.4</v>
      </c>
      <c r="X111" s="927"/>
    </row>
    <row r="112" spans="1:24">
      <c r="A112" s="922">
        <f t="shared" si="7"/>
        <v>39507</v>
      </c>
      <c r="B112" s="923">
        <f t="shared" si="6"/>
        <v>2008</v>
      </c>
      <c r="C112" s="924">
        <v>84.6</v>
      </c>
      <c r="D112" s="924">
        <v>211.4</v>
      </c>
      <c r="E112" s="924">
        <v>83</v>
      </c>
      <c r="F112" s="925" t="str">
        <f>IF($A112&lt;DATE(2018,7,1),"-",INDEX('I1 - Universal Data'!$E$16:$V$16, MATCH(YEAR(EOMONTH($A112,6)), 'I1 - Universal Data'!$E$14:$V$14, 0)))</f>
        <v>-</v>
      </c>
      <c r="G112" s="925" t="str">
        <f>IF($A112&lt;DATE(2018,7,1),"-",INDEX('I1 - Universal Data'!$E$15:$V$15, MATCH(YEAR(EOMONTH($A112,6)), 'I1 - Universal Data'!$E$14:$V$14, 0)))</f>
        <v>-</v>
      </c>
      <c r="H112" s="925" t="str">
        <f>IF($A112&lt;DATE(2018,7,1),"-",INDEX('I1 - Universal Data'!$E$17:$V$17, MATCH(YEAR(EOMONTH($A112,6)), 'I1 - Universal Data'!$E$14:$V$14, 0)))</f>
        <v>-</v>
      </c>
      <c r="I112" s="926">
        <f t="shared" si="10"/>
        <v>84.6</v>
      </c>
      <c r="J112" s="926">
        <f t="shared" si="10"/>
        <v>211.4</v>
      </c>
      <c r="K112" s="926">
        <f t="shared" si="10"/>
        <v>83</v>
      </c>
      <c r="X112" s="927"/>
    </row>
    <row r="113" spans="1:24">
      <c r="A113" s="922">
        <f t="shared" si="7"/>
        <v>39538</v>
      </c>
      <c r="B113" s="923">
        <f t="shared" si="6"/>
        <v>2008</v>
      </c>
      <c r="C113" s="924">
        <v>84.9</v>
      </c>
      <c r="D113" s="924">
        <v>212.1</v>
      </c>
      <c r="E113" s="924">
        <v>83.4</v>
      </c>
      <c r="F113" s="925" t="str">
        <f>IF($A113&lt;DATE(2018,7,1),"-",INDEX('I1 - Universal Data'!$E$16:$V$16, MATCH(YEAR(EOMONTH($A113,6)), 'I1 - Universal Data'!$E$14:$V$14, 0)))</f>
        <v>-</v>
      </c>
      <c r="G113" s="925" t="str">
        <f>IF($A113&lt;DATE(2018,7,1),"-",INDEX('I1 - Universal Data'!$E$15:$V$15, MATCH(YEAR(EOMONTH($A113,6)), 'I1 - Universal Data'!$E$14:$V$14, 0)))</f>
        <v>-</v>
      </c>
      <c r="H113" s="925" t="str">
        <f>IF($A113&lt;DATE(2018,7,1),"-",INDEX('I1 - Universal Data'!$E$17:$V$17, MATCH(YEAR(EOMONTH($A113,6)), 'I1 - Universal Data'!$E$14:$V$14, 0)))</f>
        <v>-</v>
      </c>
      <c r="I113" s="926">
        <f t="shared" si="10"/>
        <v>84.9</v>
      </c>
      <c r="J113" s="926">
        <f t="shared" si="10"/>
        <v>212.1</v>
      </c>
      <c r="K113" s="926">
        <f t="shared" si="10"/>
        <v>83.4</v>
      </c>
      <c r="X113" s="927"/>
    </row>
    <row r="114" spans="1:24">
      <c r="A114" s="922">
        <f t="shared" si="7"/>
        <v>39568</v>
      </c>
      <c r="B114" s="923">
        <f t="shared" si="6"/>
        <v>2009</v>
      </c>
      <c r="C114" s="924">
        <v>85.6</v>
      </c>
      <c r="D114" s="924">
        <v>214</v>
      </c>
      <c r="E114" s="924">
        <v>84</v>
      </c>
      <c r="F114" s="925" t="str">
        <f>IF($A114&lt;DATE(2018,7,1),"-",INDEX('I1 - Universal Data'!$E$16:$V$16, MATCH(YEAR(EOMONTH($A114,6)), 'I1 - Universal Data'!$E$14:$V$14, 0)))</f>
        <v>-</v>
      </c>
      <c r="G114" s="925" t="str">
        <f>IF($A114&lt;DATE(2018,7,1),"-",INDEX('I1 - Universal Data'!$E$15:$V$15, MATCH(YEAR(EOMONTH($A114,6)), 'I1 - Universal Data'!$E$14:$V$14, 0)))</f>
        <v>-</v>
      </c>
      <c r="H114" s="925" t="str">
        <f>IF($A114&lt;DATE(2018,7,1),"-",INDEX('I1 - Universal Data'!$E$17:$V$17, MATCH(YEAR(EOMONTH($A114,6)), 'I1 - Universal Data'!$E$14:$V$14, 0)))</f>
        <v>-</v>
      </c>
      <c r="I114" s="926">
        <f t="shared" si="10"/>
        <v>85.6</v>
      </c>
      <c r="J114" s="926">
        <f t="shared" si="10"/>
        <v>214</v>
      </c>
      <c r="K114" s="926">
        <f t="shared" si="10"/>
        <v>84</v>
      </c>
      <c r="X114" s="927"/>
    </row>
    <row r="115" spans="1:24">
      <c r="A115" s="922">
        <f t="shared" si="7"/>
        <v>39599</v>
      </c>
      <c r="B115" s="923">
        <f t="shared" si="6"/>
        <v>2009</v>
      </c>
      <c r="C115" s="924">
        <v>86.1</v>
      </c>
      <c r="D115" s="924">
        <v>215.1</v>
      </c>
      <c r="E115" s="924">
        <v>84.6</v>
      </c>
      <c r="F115" s="925" t="str">
        <f>IF($A115&lt;DATE(2018,7,1),"-",INDEX('I1 - Universal Data'!$E$16:$V$16, MATCH(YEAR(EOMONTH($A115,6)), 'I1 - Universal Data'!$E$14:$V$14, 0)))</f>
        <v>-</v>
      </c>
      <c r="G115" s="925" t="str">
        <f>IF($A115&lt;DATE(2018,7,1),"-",INDEX('I1 - Universal Data'!$E$15:$V$15, MATCH(YEAR(EOMONTH($A115,6)), 'I1 - Universal Data'!$E$14:$V$14, 0)))</f>
        <v>-</v>
      </c>
      <c r="H115" s="925" t="str">
        <f>IF($A115&lt;DATE(2018,7,1),"-",INDEX('I1 - Universal Data'!$E$17:$V$17, MATCH(YEAR(EOMONTH($A115,6)), 'I1 - Universal Data'!$E$14:$V$14, 0)))</f>
        <v>-</v>
      </c>
      <c r="I115" s="926">
        <f t="shared" si="10"/>
        <v>86.1</v>
      </c>
      <c r="J115" s="926">
        <f t="shared" si="10"/>
        <v>215.1</v>
      </c>
      <c r="K115" s="926">
        <f t="shared" si="10"/>
        <v>84.6</v>
      </c>
      <c r="X115" s="927"/>
    </row>
    <row r="116" spans="1:24">
      <c r="A116" s="922">
        <f t="shared" si="7"/>
        <v>39629</v>
      </c>
      <c r="B116" s="923">
        <f t="shared" si="6"/>
        <v>2009</v>
      </c>
      <c r="C116" s="924">
        <v>86.6</v>
      </c>
      <c r="D116" s="924">
        <v>216.8</v>
      </c>
      <c r="E116" s="924">
        <v>85.2</v>
      </c>
      <c r="F116" s="925" t="str">
        <f>IF($A116&lt;DATE(2018,7,1),"-",INDEX('I1 - Universal Data'!$E$16:$V$16, MATCH(YEAR(EOMONTH($A116,6)), 'I1 - Universal Data'!$E$14:$V$14, 0)))</f>
        <v>-</v>
      </c>
      <c r="G116" s="925" t="str">
        <f>IF($A116&lt;DATE(2018,7,1),"-",INDEX('I1 - Universal Data'!$E$15:$V$15, MATCH(YEAR(EOMONTH($A116,6)), 'I1 - Universal Data'!$E$14:$V$14, 0)))</f>
        <v>-</v>
      </c>
      <c r="H116" s="925" t="str">
        <f>IF($A116&lt;DATE(2018,7,1),"-",INDEX('I1 - Universal Data'!$E$17:$V$17, MATCH(YEAR(EOMONTH($A116,6)), 'I1 - Universal Data'!$E$14:$V$14, 0)))</f>
        <v>-</v>
      </c>
      <c r="I116" s="926">
        <f t="shared" si="10"/>
        <v>86.6</v>
      </c>
      <c r="J116" s="926">
        <f t="shared" si="10"/>
        <v>216.8</v>
      </c>
      <c r="K116" s="926">
        <f t="shared" si="10"/>
        <v>85.2</v>
      </c>
      <c r="X116" s="927"/>
    </row>
    <row r="117" spans="1:24">
      <c r="A117" s="922">
        <f t="shared" si="7"/>
        <v>39660</v>
      </c>
      <c r="B117" s="923">
        <f t="shared" si="6"/>
        <v>2009</v>
      </c>
      <c r="C117" s="924">
        <v>86.6</v>
      </c>
      <c r="D117" s="924">
        <v>216.5</v>
      </c>
      <c r="E117" s="924">
        <v>85.1</v>
      </c>
      <c r="F117" s="925" t="str">
        <f>IF($A117&lt;DATE(2018,7,1),"-",INDEX('I1 - Universal Data'!$E$16:$V$16, MATCH(YEAR(EOMONTH($A117,6)), 'I1 - Universal Data'!$E$14:$V$14, 0)))</f>
        <v>-</v>
      </c>
      <c r="G117" s="925" t="str">
        <f>IF($A117&lt;DATE(2018,7,1),"-",INDEX('I1 - Universal Data'!$E$15:$V$15, MATCH(YEAR(EOMONTH($A117,6)), 'I1 - Universal Data'!$E$14:$V$14, 0)))</f>
        <v>-</v>
      </c>
      <c r="H117" s="925" t="str">
        <f>IF($A117&lt;DATE(2018,7,1),"-",INDEX('I1 - Universal Data'!$E$17:$V$17, MATCH(YEAR(EOMONTH($A117,6)), 'I1 - Universal Data'!$E$14:$V$14, 0)))</f>
        <v>-</v>
      </c>
      <c r="I117" s="926">
        <f t="shared" si="10"/>
        <v>86.6</v>
      </c>
      <c r="J117" s="926">
        <f t="shared" si="10"/>
        <v>216.5</v>
      </c>
      <c r="K117" s="926">
        <f t="shared" si="10"/>
        <v>85.1</v>
      </c>
      <c r="X117" s="927"/>
    </row>
    <row r="118" spans="1:24">
      <c r="A118" s="922">
        <f t="shared" si="7"/>
        <v>39691</v>
      </c>
      <c r="B118" s="923">
        <f t="shared" si="6"/>
        <v>2009</v>
      </c>
      <c r="C118" s="924">
        <v>87.1</v>
      </c>
      <c r="D118" s="924">
        <v>217.2</v>
      </c>
      <c r="E118" s="924">
        <v>85.7</v>
      </c>
      <c r="F118" s="925" t="str">
        <f>IF($A118&lt;DATE(2018,7,1),"-",INDEX('I1 - Universal Data'!$E$16:$V$16, MATCH(YEAR(EOMONTH($A118,6)), 'I1 - Universal Data'!$E$14:$V$14, 0)))</f>
        <v>-</v>
      </c>
      <c r="G118" s="925" t="str">
        <f>IF($A118&lt;DATE(2018,7,1),"-",INDEX('I1 - Universal Data'!$E$15:$V$15, MATCH(YEAR(EOMONTH($A118,6)), 'I1 - Universal Data'!$E$14:$V$14, 0)))</f>
        <v>-</v>
      </c>
      <c r="H118" s="925" t="str">
        <f>IF($A118&lt;DATE(2018,7,1),"-",INDEX('I1 - Universal Data'!$E$17:$V$17, MATCH(YEAR(EOMONTH($A118,6)), 'I1 - Universal Data'!$E$14:$V$14, 0)))</f>
        <v>-</v>
      </c>
      <c r="I118" s="926">
        <f t="shared" si="10"/>
        <v>87.1</v>
      </c>
      <c r="J118" s="926">
        <f t="shared" si="10"/>
        <v>217.2</v>
      </c>
      <c r="K118" s="926">
        <f t="shared" si="10"/>
        <v>85.7</v>
      </c>
      <c r="X118" s="927"/>
    </row>
    <row r="119" spans="1:24">
      <c r="A119" s="922">
        <f t="shared" si="7"/>
        <v>39721</v>
      </c>
      <c r="B119" s="923">
        <f t="shared" si="6"/>
        <v>2009</v>
      </c>
      <c r="C119" s="924">
        <v>87.5</v>
      </c>
      <c r="D119" s="924">
        <v>218.4</v>
      </c>
      <c r="E119" s="924">
        <v>86.1</v>
      </c>
      <c r="F119" s="925" t="str">
        <f>IF($A119&lt;DATE(2018,7,1),"-",INDEX('I1 - Universal Data'!$E$16:$V$16, MATCH(YEAR(EOMONTH($A119,6)), 'I1 - Universal Data'!$E$14:$V$14, 0)))</f>
        <v>-</v>
      </c>
      <c r="G119" s="925" t="str">
        <f>IF($A119&lt;DATE(2018,7,1),"-",INDEX('I1 - Universal Data'!$E$15:$V$15, MATCH(YEAR(EOMONTH($A119,6)), 'I1 - Universal Data'!$E$14:$V$14, 0)))</f>
        <v>-</v>
      </c>
      <c r="H119" s="925" t="str">
        <f>IF($A119&lt;DATE(2018,7,1),"-",INDEX('I1 - Universal Data'!$E$17:$V$17, MATCH(YEAR(EOMONTH($A119,6)), 'I1 - Universal Data'!$E$14:$V$14, 0)))</f>
        <v>-</v>
      </c>
      <c r="I119" s="926">
        <f t="shared" ref="I119:K134" si="11">IF(ISBLANK(C119),I118*((1+F119)^(1/12)),C119)</f>
        <v>87.5</v>
      </c>
      <c r="J119" s="926">
        <f t="shared" si="11"/>
        <v>218.4</v>
      </c>
      <c r="K119" s="926">
        <f t="shared" si="11"/>
        <v>86.1</v>
      </c>
      <c r="X119" s="927"/>
    </row>
    <row r="120" spans="1:24">
      <c r="A120" s="922">
        <f t="shared" si="7"/>
        <v>39752</v>
      </c>
      <c r="B120" s="923">
        <f t="shared" si="6"/>
        <v>2009</v>
      </c>
      <c r="C120" s="924">
        <v>87.3</v>
      </c>
      <c r="D120" s="924">
        <v>217.7</v>
      </c>
      <c r="E120" s="924">
        <v>85.9</v>
      </c>
      <c r="F120" s="925" t="str">
        <f>IF($A120&lt;DATE(2018,7,1),"-",INDEX('I1 - Universal Data'!$E$16:$V$16, MATCH(YEAR(EOMONTH($A120,6)), 'I1 - Universal Data'!$E$14:$V$14, 0)))</f>
        <v>-</v>
      </c>
      <c r="G120" s="925" t="str">
        <f>IF($A120&lt;DATE(2018,7,1),"-",INDEX('I1 - Universal Data'!$E$15:$V$15, MATCH(YEAR(EOMONTH($A120,6)), 'I1 - Universal Data'!$E$14:$V$14, 0)))</f>
        <v>-</v>
      </c>
      <c r="H120" s="925" t="str">
        <f>IF($A120&lt;DATE(2018,7,1),"-",INDEX('I1 - Universal Data'!$E$17:$V$17, MATCH(YEAR(EOMONTH($A120,6)), 'I1 - Universal Data'!$E$14:$V$14, 0)))</f>
        <v>-</v>
      </c>
      <c r="I120" s="926">
        <f t="shared" si="11"/>
        <v>87.3</v>
      </c>
      <c r="J120" s="926">
        <f t="shared" si="11"/>
        <v>217.7</v>
      </c>
      <c r="K120" s="926">
        <f t="shared" si="11"/>
        <v>85.9</v>
      </c>
      <c r="X120" s="927"/>
    </row>
    <row r="121" spans="1:24">
      <c r="A121" s="922">
        <f t="shared" si="7"/>
        <v>39782</v>
      </c>
      <c r="B121" s="923">
        <f t="shared" si="6"/>
        <v>2009</v>
      </c>
      <c r="C121" s="924">
        <v>87.3</v>
      </c>
      <c r="D121" s="924">
        <v>216</v>
      </c>
      <c r="E121" s="924">
        <v>85.8</v>
      </c>
      <c r="F121" s="925" t="str">
        <f>IF($A121&lt;DATE(2018,7,1),"-",INDEX('I1 - Universal Data'!$E$16:$V$16, MATCH(YEAR(EOMONTH($A121,6)), 'I1 - Universal Data'!$E$14:$V$14, 0)))</f>
        <v>-</v>
      </c>
      <c r="G121" s="925" t="str">
        <f>IF($A121&lt;DATE(2018,7,1),"-",INDEX('I1 - Universal Data'!$E$15:$V$15, MATCH(YEAR(EOMONTH($A121,6)), 'I1 - Universal Data'!$E$14:$V$14, 0)))</f>
        <v>-</v>
      </c>
      <c r="H121" s="925" t="str">
        <f>IF($A121&lt;DATE(2018,7,1),"-",INDEX('I1 - Universal Data'!$E$17:$V$17, MATCH(YEAR(EOMONTH($A121,6)), 'I1 - Universal Data'!$E$14:$V$14, 0)))</f>
        <v>-</v>
      </c>
      <c r="I121" s="926">
        <f t="shared" si="11"/>
        <v>87.3</v>
      </c>
      <c r="J121" s="926">
        <f t="shared" si="11"/>
        <v>216</v>
      </c>
      <c r="K121" s="926">
        <f t="shared" si="11"/>
        <v>85.8</v>
      </c>
      <c r="X121" s="927"/>
    </row>
    <row r="122" spans="1:24">
      <c r="A122" s="922">
        <f t="shared" si="7"/>
        <v>39813</v>
      </c>
      <c r="B122" s="923">
        <f t="shared" si="6"/>
        <v>2009</v>
      </c>
      <c r="C122" s="924">
        <v>87.1</v>
      </c>
      <c r="D122" s="924">
        <v>212.9</v>
      </c>
      <c r="E122" s="924">
        <v>85.5</v>
      </c>
      <c r="F122" s="925" t="str">
        <f>IF($A122&lt;DATE(2018,7,1),"-",INDEX('I1 - Universal Data'!$E$16:$V$16, MATCH(YEAR(EOMONTH($A122,6)), 'I1 - Universal Data'!$E$14:$V$14, 0)))</f>
        <v>-</v>
      </c>
      <c r="G122" s="925" t="str">
        <f>IF($A122&lt;DATE(2018,7,1),"-",INDEX('I1 - Universal Data'!$E$15:$V$15, MATCH(YEAR(EOMONTH($A122,6)), 'I1 - Universal Data'!$E$14:$V$14, 0)))</f>
        <v>-</v>
      </c>
      <c r="H122" s="925" t="str">
        <f>IF($A122&lt;DATE(2018,7,1),"-",INDEX('I1 - Universal Data'!$E$17:$V$17, MATCH(YEAR(EOMONTH($A122,6)), 'I1 - Universal Data'!$E$14:$V$14, 0)))</f>
        <v>-</v>
      </c>
      <c r="I122" s="926">
        <f t="shared" si="11"/>
        <v>87.1</v>
      </c>
      <c r="J122" s="926">
        <f t="shared" si="11"/>
        <v>212.9</v>
      </c>
      <c r="K122" s="926">
        <f t="shared" si="11"/>
        <v>85.5</v>
      </c>
      <c r="X122" s="927"/>
    </row>
    <row r="123" spans="1:24">
      <c r="A123" s="922">
        <f t="shared" si="7"/>
        <v>39844</v>
      </c>
      <c r="B123" s="923">
        <f t="shared" si="6"/>
        <v>2009</v>
      </c>
      <c r="C123" s="924">
        <v>86.6</v>
      </c>
      <c r="D123" s="924">
        <v>210.1</v>
      </c>
      <c r="E123" s="924">
        <v>84.9</v>
      </c>
      <c r="F123" s="925" t="str">
        <f>IF($A123&lt;DATE(2018,7,1),"-",INDEX('I1 - Universal Data'!$E$16:$V$16, MATCH(YEAR(EOMONTH($A123,6)), 'I1 - Universal Data'!$E$14:$V$14, 0)))</f>
        <v>-</v>
      </c>
      <c r="G123" s="925" t="str">
        <f>IF($A123&lt;DATE(2018,7,1),"-",INDEX('I1 - Universal Data'!$E$15:$V$15, MATCH(YEAR(EOMONTH($A123,6)), 'I1 - Universal Data'!$E$14:$V$14, 0)))</f>
        <v>-</v>
      </c>
      <c r="H123" s="925" t="str">
        <f>IF($A123&lt;DATE(2018,7,1),"-",INDEX('I1 - Universal Data'!$E$17:$V$17, MATCH(YEAR(EOMONTH($A123,6)), 'I1 - Universal Data'!$E$14:$V$14, 0)))</f>
        <v>-</v>
      </c>
      <c r="I123" s="926">
        <f t="shared" si="11"/>
        <v>86.6</v>
      </c>
      <c r="J123" s="926">
        <f t="shared" si="11"/>
        <v>210.1</v>
      </c>
      <c r="K123" s="926">
        <f t="shared" si="11"/>
        <v>84.9</v>
      </c>
      <c r="X123" s="927"/>
    </row>
    <row r="124" spans="1:24">
      <c r="A124" s="922">
        <f t="shared" si="7"/>
        <v>39872</v>
      </c>
      <c r="B124" s="923">
        <f t="shared" si="6"/>
        <v>2009</v>
      </c>
      <c r="C124" s="924">
        <v>87.2</v>
      </c>
      <c r="D124" s="924">
        <v>211.4</v>
      </c>
      <c r="E124" s="924">
        <v>85.6</v>
      </c>
      <c r="F124" s="925" t="str">
        <f>IF($A124&lt;DATE(2018,7,1),"-",INDEX('I1 - Universal Data'!$E$16:$V$16, MATCH(YEAR(EOMONTH($A124,6)), 'I1 - Universal Data'!$E$14:$V$14, 0)))</f>
        <v>-</v>
      </c>
      <c r="G124" s="925" t="str">
        <f>IF($A124&lt;DATE(2018,7,1),"-",INDEX('I1 - Universal Data'!$E$15:$V$15, MATCH(YEAR(EOMONTH($A124,6)), 'I1 - Universal Data'!$E$14:$V$14, 0)))</f>
        <v>-</v>
      </c>
      <c r="H124" s="925" t="str">
        <f>IF($A124&lt;DATE(2018,7,1),"-",INDEX('I1 - Universal Data'!$E$17:$V$17, MATCH(YEAR(EOMONTH($A124,6)), 'I1 - Universal Data'!$E$14:$V$14, 0)))</f>
        <v>-</v>
      </c>
      <c r="I124" s="926">
        <f t="shared" si="11"/>
        <v>87.2</v>
      </c>
      <c r="J124" s="926">
        <f t="shared" si="11"/>
        <v>211.4</v>
      </c>
      <c r="K124" s="926">
        <f t="shared" si="11"/>
        <v>85.6</v>
      </c>
      <c r="X124" s="927"/>
    </row>
    <row r="125" spans="1:24">
      <c r="A125" s="922">
        <f t="shared" si="7"/>
        <v>39903</v>
      </c>
      <c r="B125" s="923">
        <f t="shared" si="6"/>
        <v>2009</v>
      </c>
      <c r="C125" s="924">
        <v>87.3</v>
      </c>
      <c r="D125" s="924">
        <v>211.3</v>
      </c>
      <c r="E125" s="924">
        <v>85.8</v>
      </c>
      <c r="F125" s="925" t="str">
        <f>IF($A125&lt;DATE(2018,7,1),"-",INDEX('I1 - Universal Data'!$E$16:$V$16, MATCH(YEAR(EOMONTH($A125,6)), 'I1 - Universal Data'!$E$14:$V$14, 0)))</f>
        <v>-</v>
      </c>
      <c r="G125" s="925" t="str">
        <f>IF($A125&lt;DATE(2018,7,1),"-",INDEX('I1 - Universal Data'!$E$15:$V$15, MATCH(YEAR(EOMONTH($A125,6)), 'I1 - Universal Data'!$E$14:$V$14, 0)))</f>
        <v>-</v>
      </c>
      <c r="H125" s="925" t="str">
        <f>IF($A125&lt;DATE(2018,7,1),"-",INDEX('I1 - Universal Data'!$E$17:$V$17, MATCH(YEAR(EOMONTH($A125,6)), 'I1 - Universal Data'!$E$14:$V$14, 0)))</f>
        <v>-</v>
      </c>
      <c r="I125" s="926">
        <f t="shared" si="11"/>
        <v>87.3</v>
      </c>
      <c r="J125" s="926">
        <f t="shared" si="11"/>
        <v>211.3</v>
      </c>
      <c r="K125" s="926">
        <f t="shared" si="11"/>
        <v>85.8</v>
      </c>
      <c r="X125" s="927"/>
    </row>
    <row r="126" spans="1:24">
      <c r="A126" s="922">
        <f t="shared" si="7"/>
        <v>39933</v>
      </c>
      <c r="B126" s="923">
        <f t="shared" si="6"/>
        <v>2010</v>
      </c>
      <c r="C126" s="924">
        <v>87.5</v>
      </c>
      <c r="D126" s="924">
        <v>211.5</v>
      </c>
      <c r="E126" s="924">
        <v>86</v>
      </c>
      <c r="F126" s="925" t="str">
        <f>IF($A126&lt;DATE(2018,7,1),"-",INDEX('I1 - Universal Data'!$E$16:$V$16, MATCH(YEAR(EOMONTH($A126,6)), 'I1 - Universal Data'!$E$14:$V$14, 0)))</f>
        <v>-</v>
      </c>
      <c r="G126" s="925" t="str">
        <f>IF($A126&lt;DATE(2018,7,1),"-",INDEX('I1 - Universal Data'!$E$15:$V$15, MATCH(YEAR(EOMONTH($A126,6)), 'I1 - Universal Data'!$E$14:$V$14, 0)))</f>
        <v>-</v>
      </c>
      <c r="H126" s="925" t="str">
        <f>IF($A126&lt;DATE(2018,7,1),"-",INDEX('I1 - Universal Data'!$E$17:$V$17, MATCH(YEAR(EOMONTH($A126,6)), 'I1 - Universal Data'!$E$14:$V$14, 0)))</f>
        <v>-</v>
      </c>
      <c r="I126" s="926">
        <f t="shared" si="11"/>
        <v>87.5</v>
      </c>
      <c r="J126" s="926">
        <f t="shared" si="11"/>
        <v>211.5</v>
      </c>
      <c r="K126" s="926">
        <f t="shared" si="11"/>
        <v>86</v>
      </c>
      <c r="X126" s="927"/>
    </row>
    <row r="127" spans="1:24">
      <c r="A127" s="922">
        <f t="shared" si="7"/>
        <v>39964</v>
      </c>
      <c r="B127" s="923">
        <f t="shared" si="6"/>
        <v>2010</v>
      </c>
      <c r="C127" s="924">
        <v>87.9</v>
      </c>
      <c r="D127" s="924">
        <v>212.8</v>
      </c>
      <c r="E127" s="924">
        <v>86.4</v>
      </c>
      <c r="F127" s="925" t="str">
        <f>IF($A127&lt;DATE(2018,7,1),"-",INDEX('I1 - Universal Data'!$E$16:$V$16, MATCH(YEAR(EOMONTH($A127,6)), 'I1 - Universal Data'!$E$14:$V$14, 0)))</f>
        <v>-</v>
      </c>
      <c r="G127" s="925" t="str">
        <f>IF($A127&lt;DATE(2018,7,1),"-",INDEX('I1 - Universal Data'!$E$15:$V$15, MATCH(YEAR(EOMONTH($A127,6)), 'I1 - Universal Data'!$E$14:$V$14, 0)))</f>
        <v>-</v>
      </c>
      <c r="H127" s="925" t="str">
        <f>IF($A127&lt;DATE(2018,7,1),"-",INDEX('I1 - Universal Data'!$E$17:$V$17, MATCH(YEAR(EOMONTH($A127,6)), 'I1 - Universal Data'!$E$14:$V$14, 0)))</f>
        <v>-</v>
      </c>
      <c r="I127" s="926">
        <f t="shared" si="11"/>
        <v>87.9</v>
      </c>
      <c r="J127" s="926">
        <f t="shared" si="11"/>
        <v>212.8</v>
      </c>
      <c r="K127" s="926">
        <f t="shared" si="11"/>
        <v>86.4</v>
      </c>
      <c r="X127" s="927"/>
    </row>
    <row r="128" spans="1:24">
      <c r="A128" s="922">
        <f t="shared" si="7"/>
        <v>39994</v>
      </c>
      <c r="B128" s="923">
        <f t="shared" si="6"/>
        <v>2010</v>
      </c>
      <c r="C128" s="924">
        <v>88.1</v>
      </c>
      <c r="D128" s="924">
        <v>213.4</v>
      </c>
      <c r="E128" s="924">
        <v>86.7</v>
      </c>
      <c r="F128" s="925" t="str">
        <f>IF($A128&lt;DATE(2018,7,1),"-",INDEX('I1 - Universal Data'!$E$16:$V$16, MATCH(YEAR(EOMONTH($A128,6)), 'I1 - Universal Data'!$E$14:$V$14, 0)))</f>
        <v>-</v>
      </c>
      <c r="G128" s="925" t="str">
        <f>IF($A128&lt;DATE(2018,7,1),"-",INDEX('I1 - Universal Data'!$E$15:$V$15, MATCH(YEAR(EOMONTH($A128,6)), 'I1 - Universal Data'!$E$14:$V$14, 0)))</f>
        <v>-</v>
      </c>
      <c r="H128" s="925" t="str">
        <f>IF($A128&lt;DATE(2018,7,1),"-",INDEX('I1 - Universal Data'!$E$17:$V$17, MATCH(YEAR(EOMONTH($A128,6)), 'I1 - Universal Data'!$E$14:$V$14, 0)))</f>
        <v>-</v>
      </c>
      <c r="I128" s="926">
        <f t="shared" si="11"/>
        <v>88.1</v>
      </c>
      <c r="J128" s="926">
        <f t="shared" si="11"/>
        <v>213.4</v>
      </c>
      <c r="K128" s="926">
        <f t="shared" si="11"/>
        <v>86.7</v>
      </c>
      <c r="X128" s="927"/>
    </row>
    <row r="129" spans="1:24">
      <c r="A129" s="922">
        <f t="shared" si="7"/>
        <v>40025</v>
      </c>
      <c r="B129" s="923">
        <f t="shared" si="6"/>
        <v>2010</v>
      </c>
      <c r="C129" s="924">
        <v>88</v>
      </c>
      <c r="D129" s="924">
        <v>213.4</v>
      </c>
      <c r="E129" s="924">
        <v>86.7</v>
      </c>
      <c r="F129" s="925" t="str">
        <f>IF($A129&lt;DATE(2018,7,1),"-",INDEX('I1 - Universal Data'!$E$16:$V$16, MATCH(YEAR(EOMONTH($A129,6)), 'I1 - Universal Data'!$E$14:$V$14, 0)))</f>
        <v>-</v>
      </c>
      <c r="G129" s="925" t="str">
        <f>IF($A129&lt;DATE(2018,7,1),"-",INDEX('I1 - Universal Data'!$E$15:$V$15, MATCH(YEAR(EOMONTH($A129,6)), 'I1 - Universal Data'!$E$14:$V$14, 0)))</f>
        <v>-</v>
      </c>
      <c r="H129" s="925" t="str">
        <f>IF($A129&lt;DATE(2018,7,1),"-",INDEX('I1 - Universal Data'!$E$17:$V$17, MATCH(YEAR(EOMONTH($A129,6)), 'I1 - Universal Data'!$E$14:$V$14, 0)))</f>
        <v>-</v>
      </c>
      <c r="I129" s="926">
        <f t="shared" si="11"/>
        <v>88</v>
      </c>
      <c r="J129" s="926">
        <f t="shared" si="11"/>
        <v>213.4</v>
      </c>
      <c r="K129" s="926">
        <f t="shared" si="11"/>
        <v>86.7</v>
      </c>
      <c r="X129" s="927"/>
    </row>
    <row r="130" spans="1:24">
      <c r="A130" s="922">
        <f t="shared" si="7"/>
        <v>40056</v>
      </c>
      <c r="B130" s="923">
        <f t="shared" si="6"/>
        <v>2010</v>
      </c>
      <c r="C130" s="924">
        <v>88.3</v>
      </c>
      <c r="D130" s="924">
        <v>214.4</v>
      </c>
      <c r="E130" s="924">
        <v>87</v>
      </c>
      <c r="F130" s="925" t="str">
        <f>IF($A130&lt;DATE(2018,7,1),"-",INDEX('I1 - Universal Data'!$E$16:$V$16, MATCH(YEAR(EOMONTH($A130,6)), 'I1 - Universal Data'!$E$14:$V$14, 0)))</f>
        <v>-</v>
      </c>
      <c r="G130" s="925" t="str">
        <f>IF($A130&lt;DATE(2018,7,1),"-",INDEX('I1 - Universal Data'!$E$15:$V$15, MATCH(YEAR(EOMONTH($A130,6)), 'I1 - Universal Data'!$E$14:$V$14, 0)))</f>
        <v>-</v>
      </c>
      <c r="H130" s="925" t="str">
        <f>IF($A130&lt;DATE(2018,7,1),"-",INDEX('I1 - Universal Data'!$E$17:$V$17, MATCH(YEAR(EOMONTH($A130,6)), 'I1 - Universal Data'!$E$14:$V$14, 0)))</f>
        <v>-</v>
      </c>
      <c r="I130" s="926">
        <f t="shared" si="11"/>
        <v>88.3</v>
      </c>
      <c r="J130" s="926">
        <f t="shared" si="11"/>
        <v>214.4</v>
      </c>
      <c r="K130" s="926">
        <f t="shared" si="11"/>
        <v>87</v>
      </c>
      <c r="X130" s="927"/>
    </row>
    <row r="131" spans="1:24">
      <c r="A131" s="922">
        <f t="shared" si="7"/>
        <v>40086</v>
      </c>
      <c r="B131" s="923">
        <f t="shared" si="6"/>
        <v>2010</v>
      </c>
      <c r="C131" s="924">
        <v>88.3</v>
      </c>
      <c r="D131" s="924">
        <v>215.3</v>
      </c>
      <c r="E131" s="924">
        <v>87.1</v>
      </c>
      <c r="F131" s="925" t="str">
        <f>IF($A131&lt;DATE(2018,7,1),"-",INDEX('I1 - Universal Data'!$E$16:$V$16, MATCH(YEAR(EOMONTH($A131,6)), 'I1 - Universal Data'!$E$14:$V$14, 0)))</f>
        <v>-</v>
      </c>
      <c r="G131" s="925" t="str">
        <f>IF($A131&lt;DATE(2018,7,1),"-",INDEX('I1 - Universal Data'!$E$15:$V$15, MATCH(YEAR(EOMONTH($A131,6)), 'I1 - Universal Data'!$E$14:$V$14, 0)))</f>
        <v>-</v>
      </c>
      <c r="H131" s="925" t="str">
        <f>IF($A131&lt;DATE(2018,7,1),"-",INDEX('I1 - Universal Data'!$E$17:$V$17, MATCH(YEAR(EOMONTH($A131,6)), 'I1 - Universal Data'!$E$14:$V$14, 0)))</f>
        <v>-</v>
      </c>
      <c r="I131" s="926">
        <f t="shared" si="11"/>
        <v>88.3</v>
      </c>
      <c r="J131" s="926">
        <f t="shared" si="11"/>
        <v>215.3</v>
      </c>
      <c r="K131" s="926">
        <f t="shared" si="11"/>
        <v>87.1</v>
      </c>
      <c r="X131" s="927"/>
    </row>
    <row r="132" spans="1:24">
      <c r="A132" s="922">
        <f t="shared" si="7"/>
        <v>40117</v>
      </c>
      <c r="B132" s="923">
        <f t="shared" si="6"/>
        <v>2010</v>
      </c>
      <c r="C132" s="924">
        <v>88.4</v>
      </c>
      <c r="D132" s="924">
        <v>216</v>
      </c>
      <c r="E132" s="924">
        <v>87.2</v>
      </c>
      <c r="F132" s="925" t="str">
        <f>IF($A132&lt;DATE(2018,7,1),"-",INDEX('I1 - Universal Data'!$E$16:$V$16, MATCH(YEAR(EOMONTH($A132,6)), 'I1 - Universal Data'!$E$14:$V$14, 0)))</f>
        <v>-</v>
      </c>
      <c r="G132" s="925" t="str">
        <f>IF($A132&lt;DATE(2018,7,1),"-",INDEX('I1 - Universal Data'!$E$15:$V$15, MATCH(YEAR(EOMONTH($A132,6)), 'I1 - Universal Data'!$E$14:$V$14, 0)))</f>
        <v>-</v>
      </c>
      <c r="H132" s="925" t="str">
        <f>IF($A132&lt;DATE(2018,7,1),"-",INDEX('I1 - Universal Data'!$E$17:$V$17, MATCH(YEAR(EOMONTH($A132,6)), 'I1 - Universal Data'!$E$14:$V$14, 0)))</f>
        <v>-</v>
      </c>
      <c r="I132" s="926">
        <f t="shared" si="11"/>
        <v>88.4</v>
      </c>
      <c r="J132" s="926">
        <f t="shared" si="11"/>
        <v>216</v>
      </c>
      <c r="K132" s="926">
        <f t="shared" si="11"/>
        <v>87.2</v>
      </c>
      <c r="X132" s="927"/>
    </row>
    <row r="133" spans="1:24">
      <c r="A133" s="922">
        <f t="shared" si="7"/>
        <v>40147</v>
      </c>
      <c r="B133" s="923">
        <f t="shared" si="6"/>
        <v>2010</v>
      </c>
      <c r="C133" s="924">
        <v>88.6</v>
      </c>
      <c r="D133" s="924">
        <v>216.6</v>
      </c>
      <c r="E133" s="924">
        <v>87.5</v>
      </c>
      <c r="F133" s="925" t="str">
        <f>IF($A133&lt;DATE(2018,7,1),"-",INDEX('I1 - Universal Data'!$E$16:$V$16, MATCH(YEAR(EOMONTH($A133,6)), 'I1 - Universal Data'!$E$14:$V$14, 0)))</f>
        <v>-</v>
      </c>
      <c r="G133" s="925" t="str">
        <f>IF($A133&lt;DATE(2018,7,1),"-",INDEX('I1 - Universal Data'!$E$15:$V$15, MATCH(YEAR(EOMONTH($A133,6)), 'I1 - Universal Data'!$E$14:$V$14, 0)))</f>
        <v>-</v>
      </c>
      <c r="H133" s="925" t="str">
        <f>IF($A133&lt;DATE(2018,7,1),"-",INDEX('I1 - Universal Data'!$E$17:$V$17, MATCH(YEAR(EOMONTH($A133,6)), 'I1 - Universal Data'!$E$14:$V$14, 0)))</f>
        <v>-</v>
      </c>
      <c r="I133" s="926">
        <f t="shared" si="11"/>
        <v>88.6</v>
      </c>
      <c r="J133" s="926">
        <f t="shared" si="11"/>
        <v>216.6</v>
      </c>
      <c r="K133" s="926">
        <f t="shared" si="11"/>
        <v>87.5</v>
      </c>
      <c r="X133" s="927"/>
    </row>
    <row r="134" spans="1:24">
      <c r="A134" s="922">
        <f t="shared" si="7"/>
        <v>40178</v>
      </c>
      <c r="B134" s="923">
        <f t="shared" ref="B134:B197" si="12">IF(MONTH(A134)&gt;=4,YEAR(A134)+1,YEAR(A134))</f>
        <v>2010</v>
      </c>
      <c r="C134" s="924">
        <v>88.9</v>
      </c>
      <c r="D134" s="924">
        <v>218</v>
      </c>
      <c r="E134" s="924">
        <v>88</v>
      </c>
      <c r="F134" s="925" t="str">
        <f>IF($A134&lt;DATE(2018,7,1),"-",INDEX('I1 - Universal Data'!$E$16:$V$16, MATCH(YEAR(EOMONTH($A134,6)), 'I1 - Universal Data'!$E$14:$V$14, 0)))</f>
        <v>-</v>
      </c>
      <c r="G134" s="925" t="str">
        <f>IF($A134&lt;DATE(2018,7,1),"-",INDEX('I1 - Universal Data'!$E$15:$V$15, MATCH(YEAR(EOMONTH($A134,6)), 'I1 - Universal Data'!$E$14:$V$14, 0)))</f>
        <v>-</v>
      </c>
      <c r="H134" s="925" t="str">
        <f>IF($A134&lt;DATE(2018,7,1),"-",INDEX('I1 - Universal Data'!$E$17:$V$17, MATCH(YEAR(EOMONTH($A134,6)), 'I1 - Universal Data'!$E$14:$V$14, 0)))</f>
        <v>-</v>
      </c>
      <c r="I134" s="926">
        <f t="shared" si="11"/>
        <v>88.9</v>
      </c>
      <c r="J134" s="926">
        <f t="shared" si="11"/>
        <v>218</v>
      </c>
      <c r="K134" s="926">
        <f t="shared" si="11"/>
        <v>88</v>
      </c>
      <c r="X134" s="927"/>
    </row>
    <row r="135" spans="1:24">
      <c r="A135" s="922">
        <f t="shared" ref="A135:A198" si="13">IF(MONTH(A134) = 12, EOMONTH(DATE(YEAR(A134) + 1, 1, 1), 0), EOMONTH(DATE(YEAR(A134), MONTH(A134) + 1, 1), 0))</f>
        <v>40209</v>
      </c>
      <c r="B135" s="923">
        <f t="shared" si="12"/>
        <v>2010</v>
      </c>
      <c r="C135" s="924">
        <v>88.8</v>
      </c>
      <c r="D135" s="924">
        <v>217.9</v>
      </c>
      <c r="E135" s="924">
        <v>87.8</v>
      </c>
      <c r="F135" s="925" t="str">
        <f>IF($A135&lt;DATE(2018,7,1),"-",INDEX('I1 - Universal Data'!$E$16:$V$16, MATCH(YEAR(EOMONTH($A135,6)), 'I1 - Universal Data'!$E$14:$V$14, 0)))</f>
        <v>-</v>
      </c>
      <c r="G135" s="925" t="str">
        <f>IF($A135&lt;DATE(2018,7,1),"-",INDEX('I1 - Universal Data'!$E$15:$V$15, MATCH(YEAR(EOMONTH($A135,6)), 'I1 - Universal Data'!$E$14:$V$14, 0)))</f>
        <v>-</v>
      </c>
      <c r="H135" s="925" t="str">
        <f>IF($A135&lt;DATE(2018,7,1),"-",INDEX('I1 - Universal Data'!$E$17:$V$17, MATCH(YEAR(EOMONTH($A135,6)), 'I1 - Universal Data'!$E$14:$V$14, 0)))</f>
        <v>-</v>
      </c>
      <c r="I135" s="926">
        <f t="shared" ref="I135:K150" si="14">IF(ISBLANK(C135),I134*((1+F135)^(1/12)),C135)</f>
        <v>88.8</v>
      </c>
      <c r="J135" s="926">
        <f t="shared" si="14"/>
        <v>217.9</v>
      </c>
      <c r="K135" s="926">
        <f t="shared" si="14"/>
        <v>87.8</v>
      </c>
      <c r="X135" s="927"/>
    </row>
    <row r="136" spans="1:24">
      <c r="A136" s="922">
        <f t="shared" si="13"/>
        <v>40237</v>
      </c>
      <c r="B136" s="923">
        <f t="shared" si="12"/>
        <v>2010</v>
      </c>
      <c r="C136" s="924">
        <v>89</v>
      </c>
      <c r="D136" s="924">
        <v>219.2</v>
      </c>
      <c r="E136" s="924">
        <v>88.2</v>
      </c>
      <c r="F136" s="925" t="str">
        <f>IF($A136&lt;DATE(2018,7,1),"-",INDEX('I1 - Universal Data'!$E$16:$V$16, MATCH(YEAR(EOMONTH($A136,6)), 'I1 - Universal Data'!$E$14:$V$14, 0)))</f>
        <v>-</v>
      </c>
      <c r="G136" s="925" t="str">
        <f>IF($A136&lt;DATE(2018,7,1),"-",INDEX('I1 - Universal Data'!$E$15:$V$15, MATCH(YEAR(EOMONTH($A136,6)), 'I1 - Universal Data'!$E$14:$V$14, 0)))</f>
        <v>-</v>
      </c>
      <c r="H136" s="925" t="str">
        <f>IF($A136&lt;DATE(2018,7,1),"-",INDEX('I1 - Universal Data'!$E$17:$V$17, MATCH(YEAR(EOMONTH($A136,6)), 'I1 - Universal Data'!$E$14:$V$14, 0)))</f>
        <v>-</v>
      </c>
      <c r="I136" s="926">
        <f t="shared" si="14"/>
        <v>89</v>
      </c>
      <c r="J136" s="926">
        <f t="shared" si="14"/>
        <v>219.2</v>
      </c>
      <c r="K136" s="926">
        <f t="shared" si="14"/>
        <v>88.2</v>
      </c>
      <c r="X136" s="927"/>
    </row>
    <row r="137" spans="1:24">
      <c r="A137" s="922">
        <f t="shared" si="13"/>
        <v>40268</v>
      </c>
      <c r="B137" s="923">
        <f t="shared" si="12"/>
        <v>2010</v>
      </c>
      <c r="C137" s="924">
        <v>89.4</v>
      </c>
      <c r="D137" s="924">
        <v>220.7</v>
      </c>
      <c r="E137" s="924">
        <v>88.7</v>
      </c>
      <c r="F137" s="925" t="str">
        <f>IF($A137&lt;DATE(2018,7,1),"-",INDEX('I1 - Universal Data'!$E$16:$V$16, MATCH(YEAR(EOMONTH($A137,6)), 'I1 - Universal Data'!$E$14:$V$14, 0)))</f>
        <v>-</v>
      </c>
      <c r="G137" s="925" t="str">
        <f>IF($A137&lt;DATE(2018,7,1),"-",INDEX('I1 - Universal Data'!$E$15:$V$15, MATCH(YEAR(EOMONTH($A137,6)), 'I1 - Universal Data'!$E$14:$V$14, 0)))</f>
        <v>-</v>
      </c>
      <c r="H137" s="925" t="str">
        <f>IF($A137&lt;DATE(2018,7,1),"-",INDEX('I1 - Universal Data'!$E$17:$V$17, MATCH(YEAR(EOMONTH($A137,6)), 'I1 - Universal Data'!$E$14:$V$14, 0)))</f>
        <v>-</v>
      </c>
      <c r="I137" s="926">
        <f t="shared" si="14"/>
        <v>89.4</v>
      </c>
      <c r="J137" s="926">
        <f t="shared" si="14"/>
        <v>220.7</v>
      </c>
      <c r="K137" s="926">
        <f t="shared" si="14"/>
        <v>88.7</v>
      </c>
      <c r="X137" s="927"/>
    </row>
    <row r="138" spans="1:24">
      <c r="A138" s="922">
        <f t="shared" si="13"/>
        <v>40298</v>
      </c>
      <c r="B138" s="923">
        <f t="shared" si="12"/>
        <v>2011</v>
      </c>
      <c r="C138" s="924">
        <v>89.9</v>
      </c>
      <c r="D138" s="924">
        <v>222.8</v>
      </c>
      <c r="E138" s="924">
        <v>89.2</v>
      </c>
      <c r="F138" s="925" t="str">
        <f>IF($A138&lt;DATE(2018,7,1),"-",INDEX('I1 - Universal Data'!$E$16:$V$16, MATCH(YEAR(EOMONTH($A138,6)), 'I1 - Universal Data'!$E$14:$V$14, 0)))</f>
        <v>-</v>
      </c>
      <c r="G138" s="925" t="str">
        <f>IF($A138&lt;DATE(2018,7,1),"-",INDEX('I1 - Universal Data'!$E$15:$V$15, MATCH(YEAR(EOMONTH($A138,6)), 'I1 - Universal Data'!$E$14:$V$14, 0)))</f>
        <v>-</v>
      </c>
      <c r="H138" s="925" t="str">
        <f>IF($A138&lt;DATE(2018,7,1),"-",INDEX('I1 - Universal Data'!$E$17:$V$17, MATCH(YEAR(EOMONTH($A138,6)), 'I1 - Universal Data'!$E$14:$V$14, 0)))</f>
        <v>-</v>
      </c>
      <c r="I138" s="926">
        <f t="shared" si="14"/>
        <v>89.9</v>
      </c>
      <c r="J138" s="926">
        <f t="shared" si="14"/>
        <v>222.8</v>
      </c>
      <c r="K138" s="926">
        <f t="shared" si="14"/>
        <v>89.2</v>
      </c>
      <c r="X138" s="927"/>
    </row>
    <row r="139" spans="1:24">
      <c r="A139" s="922">
        <f t="shared" si="13"/>
        <v>40329</v>
      </c>
      <c r="B139" s="923">
        <f t="shared" si="12"/>
        <v>2011</v>
      </c>
      <c r="C139" s="924">
        <v>90.1</v>
      </c>
      <c r="D139" s="924">
        <v>223.6</v>
      </c>
      <c r="E139" s="924">
        <v>89.4</v>
      </c>
      <c r="F139" s="925" t="str">
        <f>IF($A139&lt;DATE(2018,7,1),"-",INDEX('I1 - Universal Data'!$E$16:$V$16, MATCH(YEAR(EOMONTH($A139,6)), 'I1 - Universal Data'!$E$14:$V$14, 0)))</f>
        <v>-</v>
      </c>
      <c r="G139" s="925" t="str">
        <f>IF($A139&lt;DATE(2018,7,1),"-",INDEX('I1 - Universal Data'!$E$15:$V$15, MATCH(YEAR(EOMONTH($A139,6)), 'I1 - Universal Data'!$E$14:$V$14, 0)))</f>
        <v>-</v>
      </c>
      <c r="H139" s="925" t="str">
        <f>IF($A139&lt;DATE(2018,7,1),"-",INDEX('I1 - Universal Data'!$E$17:$V$17, MATCH(YEAR(EOMONTH($A139,6)), 'I1 - Universal Data'!$E$14:$V$14, 0)))</f>
        <v>-</v>
      </c>
      <c r="I139" s="926">
        <f t="shared" si="14"/>
        <v>90.1</v>
      </c>
      <c r="J139" s="926">
        <f t="shared" si="14"/>
        <v>223.6</v>
      </c>
      <c r="K139" s="926">
        <f t="shared" si="14"/>
        <v>89.4</v>
      </c>
      <c r="X139" s="927"/>
    </row>
    <row r="140" spans="1:24">
      <c r="A140" s="922">
        <f t="shared" si="13"/>
        <v>40359</v>
      </c>
      <c r="B140" s="923">
        <f t="shared" si="12"/>
        <v>2011</v>
      </c>
      <c r="C140" s="924">
        <v>90.2</v>
      </c>
      <c r="D140" s="924">
        <v>224.1</v>
      </c>
      <c r="E140" s="924">
        <v>89.5</v>
      </c>
      <c r="F140" s="925" t="str">
        <f>IF($A140&lt;DATE(2018,7,1),"-",INDEX('I1 - Universal Data'!$E$16:$V$16, MATCH(YEAR(EOMONTH($A140,6)), 'I1 - Universal Data'!$E$14:$V$14, 0)))</f>
        <v>-</v>
      </c>
      <c r="G140" s="925" t="str">
        <f>IF($A140&lt;DATE(2018,7,1),"-",INDEX('I1 - Universal Data'!$E$15:$V$15, MATCH(YEAR(EOMONTH($A140,6)), 'I1 - Universal Data'!$E$14:$V$14, 0)))</f>
        <v>-</v>
      </c>
      <c r="H140" s="925" t="str">
        <f>IF($A140&lt;DATE(2018,7,1),"-",INDEX('I1 - Universal Data'!$E$17:$V$17, MATCH(YEAR(EOMONTH($A140,6)), 'I1 - Universal Data'!$E$14:$V$14, 0)))</f>
        <v>-</v>
      </c>
      <c r="I140" s="926">
        <f t="shared" si="14"/>
        <v>90.2</v>
      </c>
      <c r="J140" s="926">
        <f t="shared" si="14"/>
        <v>224.1</v>
      </c>
      <c r="K140" s="926">
        <f t="shared" si="14"/>
        <v>89.5</v>
      </c>
      <c r="X140" s="927"/>
    </row>
    <row r="141" spans="1:24">
      <c r="A141" s="922">
        <f t="shared" si="13"/>
        <v>40390</v>
      </c>
      <c r="B141" s="923">
        <f t="shared" si="12"/>
        <v>2011</v>
      </c>
      <c r="C141" s="924">
        <v>90</v>
      </c>
      <c r="D141" s="924">
        <v>223.6</v>
      </c>
      <c r="E141" s="924">
        <v>89.3</v>
      </c>
      <c r="F141" s="925" t="str">
        <f>IF($A141&lt;DATE(2018,7,1),"-",INDEX('I1 - Universal Data'!$E$16:$V$16, MATCH(YEAR(EOMONTH($A141,6)), 'I1 - Universal Data'!$E$14:$V$14, 0)))</f>
        <v>-</v>
      </c>
      <c r="G141" s="925" t="str">
        <f>IF($A141&lt;DATE(2018,7,1),"-",INDEX('I1 - Universal Data'!$E$15:$V$15, MATCH(YEAR(EOMONTH($A141,6)), 'I1 - Universal Data'!$E$14:$V$14, 0)))</f>
        <v>-</v>
      </c>
      <c r="H141" s="925" t="str">
        <f>IF($A141&lt;DATE(2018,7,1),"-",INDEX('I1 - Universal Data'!$E$17:$V$17, MATCH(YEAR(EOMONTH($A141,6)), 'I1 - Universal Data'!$E$14:$V$14, 0)))</f>
        <v>-</v>
      </c>
      <c r="I141" s="926">
        <f t="shared" si="14"/>
        <v>90</v>
      </c>
      <c r="J141" s="926">
        <f t="shared" si="14"/>
        <v>223.6</v>
      </c>
      <c r="K141" s="926">
        <f t="shared" si="14"/>
        <v>89.3</v>
      </c>
      <c r="X141" s="927"/>
    </row>
    <row r="142" spans="1:24">
      <c r="A142" s="922">
        <f t="shared" si="13"/>
        <v>40421</v>
      </c>
      <c r="B142" s="923">
        <f t="shared" si="12"/>
        <v>2011</v>
      </c>
      <c r="C142" s="924">
        <v>90.4</v>
      </c>
      <c r="D142" s="924">
        <v>224.5</v>
      </c>
      <c r="E142" s="924">
        <v>89.8</v>
      </c>
      <c r="F142" s="925" t="str">
        <f>IF($A142&lt;DATE(2018,7,1),"-",INDEX('I1 - Universal Data'!$E$16:$V$16, MATCH(YEAR(EOMONTH($A142,6)), 'I1 - Universal Data'!$E$14:$V$14, 0)))</f>
        <v>-</v>
      </c>
      <c r="G142" s="925" t="str">
        <f>IF($A142&lt;DATE(2018,7,1),"-",INDEX('I1 - Universal Data'!$E$15:$V$15, MATCH(YEAR(EOMONTH($A142,6)), 'I1 - Universal Data'!$E$14:$V$14, 0)))</f>
        <v>-</v>
      </c>
      <c r="H142" s="925" t="str">
        <f>IF($A142&lt;DATE(2018,7,1),"-",INDEX('I1 - Universal Data'!$E$17:$V$17, MATCH(YEAR(EOMONTH($A142,6)), 'I1 - Universal Data'!$E$14:$V$14, 0)))</f>
        <v>-</v>
      </c>
      <c r="I142" s="926">
        <f t="shared" si="14"/>
        <v>90.4</v>
      </c>
      <c r="J142" s="926">
        <f t="shared" si="14"/>
        <v>224.5</v>
      </c>
      <c r="K142" s="926">
        <f t="shared" si="14"/>
        <v>89.8</v>
      </c>
      <c r="X142" s="927"/>
    </row>
    <row r="143" spans="1:24">
      <c r="A143" s="922">
        <f t="shared" si="13"/>
        <v>40451</v>
      </c>
      <c r="B143" s="923">
        <f t="shared" si="12"/>
        <v>2011</v>
      </c>
      <c r="C143" s="924">
        <v>90.4</v>
      </c>
      <c r="D143" s="924">
        <v>225.3</v>
      </c>
      <c r="E143" s="924">
        <v>89.8</v>
      </c>
      <c r="F143" s="925" t="str">
        <f>IF($A143&lt;DATE(2018,7,1),"-",INDEX('I1 - Universal Data'!$E$16:$V$16, MATCH(YEAR(EOMONTH($A143,6)), 'I1 - Universal Data'!$E$14:$V$14, 0)))</f>
        <v>-</v>
      </c>
      <c r="G143" s="925" t="str">
        <f>IF($A143&lt;DATE(2018,7,1),"-",INDEX('I1 - Universal Data'!$E$15:$V$15, MATCH(YEAR(EOMONTH($A143,6)), 'I1 - Universal Data'!$E$14:$V$14, 0)))</f>
        <v>-</v>
      </c>
      <c r="H143" s="925" t="str">
        <f>IF($A143&lt;DATE(2018,7,1),"-",INDEX('I1 - Universal Data'!$E$17:$V$17, MATCH(YEAR(EOMONTH($A143,6)), 'I1 - Universal Data'!$E$14:$V$14, 0)))</f>
        <v>-</v>
      </c>
      <c r="I143" s="926">
        <f t="shared" si="14"/>
        <v>90.4</v>
      </c>
      <c r="J143" s="926">
        <f t="shared" si="14"/>
        <v>225.3</v>
      </c>
      <c r="K143" s="926">
        <f t="shared" si="14"/>
        <v>89.8</v>
      </c>
      <c r="X143" s="927"/>
    </row>
    <row r="144" spans="1:24">
      <c r="A144" s="922">
        <f t="shared" si="13"/>
        <v>40482</v>
      </c>
      <c r="B144" s="923">
        <f t="shared" si="12"/>
        <v>2011</v>
      </c>
      <c r="C144" s="924">
        <v>90.6</v>
      </c>
      <c r="D144" s="924">
        <v>225.8</v>
      </c>
      <c r="E144" s="924">
        <v>90</v>
      </c>
      <c r="F144" s="925" t="str">
        <f>IF($A144&lt;DATE(2018,7,1),"-",INDEX('I1 - Universal Data'!$E$16:$V$16, MATCH(YEAR(EOMONTH($A144,6)), 'I1 - Universal Data'!$E$14:$V$14, 0)))</f>
        <v>-</v>
      </c>
      <c r="G144" s="925" t="str">
        <f>IF($A144&lt;DATE(2018,7,1),"-",INDEX('I1 - Universal Data'!$E$15:$V$15, MATCH(YEAR(EOMONTH($A144,6)), 'I1 - Universal Data'!$E$14:$V$14, 0)))</f>
        <v>-</v>
      </c>
      <c r="H144" s="925" t="str">
        <f>IF($A144&lt;DATE(2018,7,1),"-",INDEX('I1 - Universal Data'!$E$17:$V$17, MATCH(YEAR(EOMONTH($A144,6)), 'I1 - Universal Data'!$E$14:$V$14, 0)))</f>
        <v>-</v>
      </c>
      <c r="I144" s="926">
        <f t="shared" si="14"/>
        <v>90.6</v>
      </c>
      <c r="J144" s="926">
        <f t="shared" si="14"/>
        <v>225.8</v>
      </c>
      <c r="K144" s="926">
        <f t="shared" si="14"/>
        <v>90</v>
      </c>
      <c r="X144" s="927"/>
    </row>
    <row r="145" spans="1:24">
      <c r="A145" s="922">
        <f t="shared" si="13"/>
        <v>40512</v>
      </c>
      <c r="B145" s="923">
        <f t="shared" si="12"/>
        <v>2011</v>
      </c>
      <c r="C145" s="924">
        <v>90.9</v>
      </c>
      <c r="D145" s="924">
        <v>226.8</v>
      </c>
      <c r="E145" s="924">
        <v>90.3</v>
      </c>
      <c r="F145" s="925" t="str">
        <f>IF($A145&lt;DATE(2018,7,1),"-",INDEX('I1 - Universal Data'!$E$16:$V$16, MATCH(YEAR(EOMONTH($A145,6)), 'I1 - Universal Data'!$E$14:$V$14, 0)))</f>
        <v>-</v>
      </c>
      <c r="G145" s="925" t="str">
        <f>IF($A145&lt;DATE(2018,7,1),"-",INDEX('I1 - Universal Data'!$E$15:$V$15, MATCH(YEAR(EOMONTH($A145,6)), 'I1 - Universal Data'!$E$14:$V$14, 0)))</f>
        <v>-</v>
      </c>
      <c r="H145" s="925" t="str">
        <f>IF($A145&lt;DATE(2018,7,1),"-",INDEX('I1 - Universal Data'!$E$17:$V$17, MATCH(YEAR(EOMONTH($A145,6)), 'I1 - Universal Data'!$E$14:$V$14, 0)))</f>
        <v>-</v>
      </c>
      <c r="I145" s="926">
        <f t="shared" si="14"/>
        <v>90.9</v>
      </c>
      <c r="J145" s="926">
        <f t="shared" si="14"/>
        <v>226.8</v>
      </c>
      <c r="K145" s="926">
        <f t="shared" si="14"/>
        <v>90.3</v>
      </c>
      <c r="X145" s="927"/>
    </row>
    <row r="146" spans="1:24">
      <c r="A146" s="922">
        <f t="shared" si="13"/>
        <v>40543</v>
      </c>
      <c r="B146" s="923">
        <f t="shared" si="12"/>
        <v>2011</v>
      </c>
      <c r="C146" s="924">
        <v>91.7</v>
      </c>
      <c r="D146" s="924">
        <v>228.4</v>
      </c>
      <c r="E146" s="924">
        <v>91.2</v>
      </c>
      <c r="F146" s="925" t="str">
        <f>IF($A146&lt;DATE(2018,7,1),"-",INDEX('I1 - Universal Data'!$E$16:$V$16, MATCH(YEAR(EOMONTH($A146,6)), 'I1 - Universal Data'!$E$14:$V$14, 0)))</f>
        <v>-</v>
      </c>
      <c r="G146" s="925" t="str">
        <f>IF($A146&lt;DATE(2018,7,1),"-",INDEX('I1 - Universal Data'!$E$15:$V$15, MATCH(YEAR(EOMONTH($A146,6)), 'I1 - Universal Data'!$E$14:$V$14, 0)))</f>
        <v>-</v>
      </c>
      <c r="H146" s="925" t="str">
        <f>IF($A146&lt;DATE(2018,7,1),"-",INDEX('I1 - Universal Data'!$E$17:$V$17, MATCH(YEAR(EOMONTH($A146,6)), 'I1 - Universal Data'!$E$14:$V$14, 0)))</f>
        <v>-</v>
      </c>
      <c r="I146" s="926">
        <f t="shared" si="14"/>
        <v>91.7</v>
      </c>
      <c r="J146" s="926">
        <f t="shared" si="14"/>
        <v>228.4</v>
      </c>
      <c r="K146" s="926">
        <f t="shared" si="14"/>
        <v>91.2</v>
      </c>
      <c r="X146" s="927"/>
    </row>
    <row r="147" spans="1:24">
      <c r="A147" s="922">
        <f t="shared" si="13"/>
        <v>40574</v>
      </c>
      <c r="B147" s="923">
        <f t="shared" si="12"/>
        <v>2011</v>
      </c>
      <c r="C147" s="924">
        <v>91.8</v>
      </c>
      <c r="D147" s="924">
        <v>229</v>
      </c>
      <c r="E147" s="924">
        <v>91.3</v>
      </c>
      <c r="F147" s="925" t="str">
        <f>IF($A147&lt;DATE(2018,7,1),"-",INDEX('I1 - Universal Data'!$E$16:$V$16, MATCH(YEAR(EOMONTH($A147,6)), 'I1 - Universal Data'!$E$14:$V$14, 0)))</f>
        <v>-</v>
      </c>
      <c r="G147" s="925" t="str">
        <f>IF($A147&lt;DATE(2018,7,1),"-",INDEX('I1 - Universal Data'!$E$15:$V$15, MATCH(YEAR(EOMONTH($A147,6)), 'I1 - Universal Data'!$E$14:$V$14, 0)))</f>
        <v>-</v>
      </c>
      <c r="H147" s="925" t="str">
        <f>IF($A147&lt;DATE(2018,7,1),"-",INDEX('I1 - Universal Data'!$E$17:$V$17, MATCH(YEAR(EOMONTH($A147,6)), 'I1 - Universal Data'!$E$14:$V$14, 0)))</f>
        <v>-</v>
      </c>
      <c r="I147" s="926">
        <f t="shared" si="14"/>
        <v>91.8</v>
      </c>
      <c r="J147" s="926">
        <f t="shared" si="14"/>
        <v>229</v>
      </c>
      <c r="K147" s="926">
        <f t="shared" si="14"/>
        <v>91.3</v>
      </c>
      <c r="X147" s="927"/>
    </row>
    <row r="148" spans="1:24">
      <c r="A148" s="922">
        <f t="shared" si="13"/>
        <v>40602</v>
      </c>
      <c r="B148" s="923">
        <f t="shared" si="12"/>
        <v>2011</v>
      </c>
      <c r="C148" s="924">
        <v>92.3</v>
      </c>
      <c r="D148" s="924">
        <v>231.3</v>
      </c>
      <c r="E148" s="924">
        <v>92</v>
      </c>
      <c r="F148" s="925" t="str">
        <f>IF($A148&lt;DATE(2018,7,1),"-",INDEX('I1 - Universal Data'!$E$16:$V$16, MATCH(YEAR(EOMONTH($A148,6)), 'I1 - Universal Data'!$E$14:$V$14, 0)))</f>
        <v>-</v>
      </c>
      <c r="G148" s="925" t="str">
        <f>IF($A148&lt;DATE(2018,7,1),"-",INDEX('I1 - Universal Data'!$E$15:$V$15, MATCH(YEAR(EOMONTH($A148,6)), 'I1 - Universal Data'!$E$14:$V$14, 0)))</f>
        <v>-</v>
      </c>
      <c r="H148" s="925" t="str">
        <f>IF($A148&lt;DATE(2018,7,1),"-",INDEX('I1 - Universal Data'!$E$17:$V$17, MATCH(YEAR(EOMONTH($A148,6)), 'I1 - Universal Data'!$E$14:$V$14, 0)))</f>
        <v>-</v>
      </c>
      <c r="I148" s="926">
        <f t="shared" si="14"/>
        <v>92.3</v>
      </c>
      <c r="J148" s="926">
        <f t="shared" si="14"/>
        <v>231.3</v>
      </c>
      <c r="K148" s="926">
        <f t="shared" si="14"/>
        <v>92</v>
      </c>
      <c r="X148" s="927"/>
    </row>
    <row r="149" spans="1:24">
      <c r="A149" s="922">
        <f t="shared" si="13"/>
        <v>40633</v>
      </c>
      <c r="B149" s="923">
        <f t="shared" si="12"/>
        <v>2011</v>
      </c>
      <c r="C149" s="924">
        <v>92.6</v>
      </c>
      <c r="D149" s="924">
        <v>232.5</v>
      </c>
      <c r="E149" s="924">
        <v>92.2</v>
      </c>
      <c r="F149" s="925" t="str">
        <f>IF($A149&lt;DATE(2018,7,1),"-",INDEX('I1 - Universal Data'!$E$16:$V$16, MATCH(YEAR(EOMONTH($A149,6)), 'I1 - Universal Data'!$E$14:$V$14, 0)))</f>
        <v>-</v>
      </c>
      <c r="G149" s="925" t="str">
        <f>IF($A149&lt;DATE(2018,7,1),"-",INDEX('I1 - Universal Data'!$E$15:$V$15, MATCH(YEAR(EOMONTH($A149,6)), 'I1 - Universal Data'!$E$14:$V$14, 0)))</f>
        <v>-</v>
      </c>
      <c r="H149" s="925" t="str">
        <f>IF($A149&lt;DATE(2018,7,1),"-",INDEX('I1 - Universal Data'!$E$17:$V$17, MATCH(YEAR(EOMONTH($A149,6)), 'I1 - Universal Data'!$E$14:$V$14, 0)))</f>
        <v>-</v>
      </c>
      <c r="I149" s="926">
        <f t="shared" si="14"/>
        <v>92.6</v>
      </c>
      <c r="J149" s="926">
        <f t="shared" si="14"/>
        <v>232.5</v>
      </c>
      <c r="K149" s="926">
        <f t="shared" si="14"/>
        <v>92.2</v>
      </c>
      <c r="X149" s="927"/>
    </row>
    <row r="150" spans="1:24">
      <c r="A150" s="922">
        <f t="shared" si="13"/>
        <v>40663</v>
      </c>
      <c r="B150" s="923">
        <f t="shared" si="12"/>
        <v>2012</v>
      </c>
      <c r="C150" s="924">
        <v>93.3</v>
      </c>
      <c r="D150" s="924">
        <v>234.4</v>
      </c>
      <c r="E150" s="924">
        <v>93.2</v>
      </c>
      <c r="F150" s="925" t="str">
        <f>IF($A150&lt;DATE(2018,7,1),"-",INDEX('I1 - Universal Data'!$E$16:$V$16, MATCH(YEAR(EOMONTH($A150,6)), 'I1 - Universal Data'!$E$14:$V$14, 0)))</f>
        <v>-</v>
      </c>
      <c r="G150" s="925" t="str">
        <f>IF($A150&lt;DATE(2018,7,1),"-",INDEX('I1 - Universal Data'!$E$15:$V$15, MATCH(YEAR(EOMONTH($A150,6)), 'I1 - Universal Data'!$E$14:$V$14, 0)))</f>
        <v>-</v>
      </c>
      <c r="H150" s="925" t="str">
        <f>IF($A150&lt;DATE(2018,7,1),"-",INDEX('I1 - Universal Data'!$E$17:$V$17, MATCH(YEAR(EOMONTH($A150,6)), 'I1 - Universal Data'!$E$14:$V$14, 0)))</f>
        <v>-</v>
      </c>
      <c r="I150" s="926">
        <f t="shared" si="14"/>
        <v>93.3</v>
      </c>
      <c r="J150" s="926">
        <f t="shared" si="14"/>
        <v>234.4</v>
      </c>
      <c r="K150" s="926">
        <f t="shared" si="14"/>
        <v>93.2</v>
      </c>
      <c r="X150" s="927"/>
    </row>
    <row r="151" spans="1:24">
      <c r="A151" s="922">
        <f t="shared" si="13"/>
        <v>40694</v>
      </c>
      <c r="B151" s="923">
        <f t="shared" si="12"/>
        <v>2012</v>
      </c>
      <c r="C151" s="924">
        <v>93.5</v>
      </c>
      <c r="D151" s="924">
        <v>235.2</v>
      </c>
      <c r="E151" s="924">
        <v>93.4</v>
      </c>
      <c r="F151" s="925" t="str">
        <f>IF($A151&lt;DATE(2018,7,1),"-",INDEX('I1 - Universal Data'!$E$16:$V$16, MATCH(YEAR(EOMONTH($A151,6)), 'I1 - Universal Data'!$E$14:$V$14, 0)))</f>
        <v>-</v>
      </c>
      <c r="G151" s="925" t="str">
        <f>IF($A151&lt;DATE(2018,7,1),"-",INDEX('I1 - Universal Data'!$E$15:$V$15, MATCH(YEAR(EOMONTH($A151,6)), 'I1 - Universal Data'!$E$14:$V$14, 0)))</f>
        <v>-</v>
      </c>
      <c r="H151" s="925" t="str">
        <f>IF($A151&lt;DATE(2018,7,1),"-",INDEX('I1 - Universal Data'!$E$17:$V$17, MATCH(YEAR(EOMONTH($A151,6)), 'I1 - Universal Data'!$E$14:$V$14, 0)))</f>
        <v>-</v>
      </c>
      <c r="I151" s="926">
        <f t="shared" ref="I151:K166" si="15">IF(ISBLANK(C151),I150*((1+F151)^(1/12)),C151)</f>
        <v>93.5</v>
      </c>
      <c r="J151" s="926">
        <f t="shared" si="15"/>
        <v>235.2</v>
      </c>
      <c r="K151" s="926">
        <f t="shared" si="15"/>
        <v>93.4</v>
      </c>
      <c r="X151" s="927"/>
    </row>
    <row r="152" spans="1:24">
      <c r="A152" s="922">
        <f t="shared" si="13"/>
        <v>40724</v>
      </c>
      <c r="B152" s="923">
        <f t="shared" si="12"/>
        <v>2012</v>
      </c>
      <c r="C152" s="924">
        <v>93.5</v>
      </c>
      <c r="D152" s="924">
        <v>235.2</v>
      </c>
      <c r="E152" s="924">
        <v>93.3</v>
      </c>
      <c r="F152" s="925" t="str">
        <f>IF($A152&lt;DATE(2018,7,1),"-",INDEX('I1 - Universal Data'!$E$16:$V$16, MATCH(YEAR(EOMONTH($A152,6)), 'I1 - Universal Data'!$E$14:$V$14, 0)))</f>
        <v>-</v>
      </c>
      <c r="G152" s="925" t="str">
        <f>IF($A152&lt;DATE(2018,7,1),"-",INDEX('I1 - Universal Data'!$E$15:$V$15, MATCH(YEAR(EOMONTH($A152,6)), 'I1 - Universal Data'!$E$14:$V$14, 0)))</f>
        <v>-</v>
      </c>
      <c r="H152" s="925" t="str">
        <f>IF($A152&lt;DATE(2018,7,1),"-",INDEX('I1 - Universal Data'!$E$17:$V$17, MATCH(YEAR(EOMONTH($A152,6)), 'I1 - Universal Data'!$E$14:$V$14, 0)))</f>
        <v>-</v>
      </c>
      <c r="I152" s="926">
        <f t="shared" si="15"/>
        <v>93.5</v>
      </c>
      <c r="J152" s="926">
        <f t="shared" si="15"/>
        <v>235.2</v>
      </c>
      <c r="K152" s="926">
        <f t="shared" si="15"/>
        <v>93.3</v>
      </c>
      <c r="X152" s="927"/>
    </row>
    <row r="153" spans="1:24">
      <c r="A153" s="922">
        <f t="shared" si="13"/>
        <v>40755</v>
      </c>
      <c r="B153" s="923">
        <f t="shared" si="12"/>
        <v>2012</v>
      </c>
      <c r="C153" s="924">
        <v>93.5</v>
      </c>
      <c r="D153" s="924">
        <v>234.7</v>
      </c>
      <c r="E153" s="924">
        <v>93.3</v>
      </c>
      <c r="F153" s="925" t="str">
        <f>IF($A153&lt;DATE(2018,7,1),"-",INDEX('I1 - Universal Data'!$E$16:$V$16, MATCH(YEAR(EOMONTH($A153,6)), 'I1 - Universal Data'!$E$14:$V$14, 0)))</f>
        <v>-</v>
      </c>
      <c r="G153" s="925" t="str">
        <f>IF($A153&lt;DATE(2018,7,1),"-",INDEX('I1 - Universal Data'!$E$15:$V$15, MATCH(YEAR(EOMONTH($A153,6)), 'I1 - Universal Data'!$E$14:$V$14, 0)))</f>
        <v>-</v>
      </c>
      <c r="H153" s="925" t="str">
        <f>IF($A153&lt;DATE(2018,7,1),"-",INDEX('I1 - Universal Data'!$E$17:$V$17, MATCH(YEAR(EOMONTH($A153,6)), 'I1 - Universal Data'!$E$14:$V$14, 0)))</f>
        <v>-</v>
      </c>
      <c r="I153" s="926">
        <f t="shared" si="15"/>
        <v>93.5</v>
      </c>
      <c r="J153" s="926">
        <f t="shared" si="15"/>
        <v>234.7</v>
      </c>
      <c r="K153" s="926">
        <f t="shared" si="15"/>
        <v>93.3</v>
      </c>
      <c r="X153" s="927"/>
    </row>
    <row r="154" spans="1:24">
      <c r="A154" s="922">
        <f t="shared" si="13"/>
        <v>40786</v>
      </c>
      <c r="B154" s="923">
        <f t="shared" si="12"/>
        <v>2012</v>
      </c>
      <c r="C154" s="924">
        <v>93.9</v>
      </c>
      <c r="D154" s="924">
        <v>236.1</v>
      </c>
      <c r="E154" s="924">
        <v>93.8</v>
      </c>
      <c r="F154" s="925" t="str">
        <f>IF($A154&lt;DATE(2018,7,1),"-",INDEX('I1 - Universal Data'!$E$16:$V$16, MATCH(YEAR(EOMONTH($A154,6)), 'I1 - Universal Data'!$E$14:$V$14, 0)))</f>
        <v>-</v>
      </c>
      <c r="G154" s="925" t="str">
        <f>IF($A154&lt;DATE(2018,7,1),"-",INDEX('I1 - Universal Data'!$E$15:$V$15, MATCH(YEAR(EOMONTH($A154,6)), 'I1 - Universal Data'!$E$14:$V$14, 0)))</f>
        <v>-</v>
      </c>
      <c r="H154" s="925" t="str">
        <f>IF($A154&lt;DATE(2018,7,1),"-",INDEX('I1 - Universal Data'!$E$17:$V$17, MATCH(YEAR(EOMONTH($A154,6)), 'I1 - Universal Data'!$E$14:$V$14, 0)))</f>
        <v>-</v>
      </c>
      <c r="I154" s="926">
        <f t="shared" si="15"/>
        <v>93.9</v>
      </c>
      <c r="J154" s="926">
        <f t="shared" si="15"/>
        <v>236.1</v>
      </c>
      <c r="K154" s="926">
        <f t="shared" si="15"/>
        <v>93.8</v>
      </c>
      <c r="X154" s="927"/>
    </row>
    <row r="155" spans="1:24">
      <c r="A155" s="922">
        <f t="shared" si="13"/>
        <v>40816</v>
      </c>
      <c r="B155" s="923">
        <f t="shared" si="12"/>
        <v>2012</v>
      </c>
      <c r="C155" s="924">
        <v>94.5</v>
      </c>
      <c r="D155" s="924">
        <v>237.9</v>
      </c>
      <c r="E155" s="924">
        <v>94.4</v>
      </c>
      <c r="F155" s="925" t="str">
        <f>IF($A155&lt;DATE(2018,7,1),"-",INDEX('I1 - Universal Data'!$E$16:$V$16, MATCH(YEAR(EOMONTH($A155,6)), 'I1 - Universal Data'!$E$14:$V$14, 0)))</f>
        <v>-</v>
      </c>
      <c r="G155" s="925" t="str">
        <f>IF($A155&lt;DATE(2018,7,1),"-",INDEX('I1 - Universal Data'!$E$15:$V$15, MATCH(YEAR(EOMONTH($A155,6)), 'I1 - Universal Data'!$E$14:$V$14, 0)))</f>
        <v>-</v>
      </c>
      <c r="H155" s="925" t="str">
        <f>IF($A155&lt;DATE(2018,7,1),"-",INDEX('I1 - Universal Data'!$E$17:$V$17, MATCH(YEAR(EOMONTH($A155,6)), 'I1 - Universal Data'!$E$14:$V$14, 0)))</f>
        <v>-</v>
      </c>
      <c r="I155" s="926">
        <f t="shared" si="15"/>
        <v>94.5</v>
      </c>
      <c r="J155" s="926">
        <f t="shared" si="15"/>
        <v>237.9</v>
      </c>
      <c r="K155" s="926">
        <f t="shared" si="15"/>
        <v>94.4</v>
      </c>
      <c r="X155" s="927"/>
    </row>
    <row r="156" spans="1:24">
      <c r="A156" s="922">
        <f t="shared" si="13"/>
        <v>40847</v>
      </c>
      <c r="B156" s="923">
        <f t="shared" si="12"/>
        <v>2012</v>
      </c>
      <c r="C156" s="924">
        <v>94.5</v>
      </c>
      <c r="D156" s="924">
        <v>238</v>
      </c>
      <c r="E156" s="924">
        <v>94.5</v>
      </c>
      <c r="F156" s="925" t="str">
        <f>IF($A156&lt;DATE(2018,7,1),"-",INDEX('I1 - Universal Data'!$E$16:$V$16, MATCH(YEAR(EOMONTH($A156,6)), 'I1 - Universal Data'!$E$14:$V$14, 0)))</f>
        <v>-</v>
      </c>
      <c r="G156" s="925" t="str">
        <f>IF($A156&lt;DATE(2018,7,1),"-",INDEX('I1 - Universal Data'!$E$15:$V$15, MATCH(YEAR(EOMONTH($A156,6)), 'I1 - Universal Data'!$E$14:$V$14, 0)))</f>
        <v>-</v>
      </c>
      <c r="H156" s="925" t="str">
        <f>IF($A156&lt;DATE(2018,7,1),"-",INDEX('I1 - Universal Data'!$E$17:$V$17, MATCH(YEAR(EOMONTH($A156,6)), 'I1 - Universal Data'!$E$14:$V$14, 0)))</f>
        <v>-</v>
      </c>
      <c r="I156" s="926">
        <f t="shared" si="15"/>
        <v>94.5</v>
      </c>
      <c r="J156" s="926">
        <f t="shared" si="15"/>
        <v>238</v>
      </c>
      <c r="K156" s="926">
        <f t="shared" si="15"/>
        <v>94.5</v>
      </c>
      <c r="X156" s="927"/>
    </row>
    <row r="157" spans="1:24">
      <c r="A157" s="922">
        <f t="shared" si="13"/>
        <v>40877</v>
      </c>
      <c r="B157" s="923">
        <f t="shared" si="12"/>
        <v>2012</v>
      </c>
      <c r="C157" s="924">
        <v>94.7</v>
      </c>
      <c r="D157" s="924">
        <v>238.5</v>
      </c>
      <c r="E157" s="924">
        <v>94.6</v>
      </c>
      <c r="F157" s="925" t="str">
        <f>IF($A157&lt;DATE(2018,7,1),"-",INDEX('I1 - Universal Data'!$E$16:$V$16, MATCH(YEAR(EOMONTH($A157,6)), 'I1 - Universal Data'!$E$14:$V$14, 0)))</f>
        <v>-</v>
      </c>
      <c r="G157" s="925" t="str">
        <f>IF($A157&lt;DATE(2018,7,1),"-",INDEX('I1 - Universal Data'!$E$15:$V$15, MATCH(YEAR(EOMONTH($A157,6)), 'I1 - Universal Data'!$E$14:$V$14, 0)))</f>
        <v>-</v>
      </c>
      <c r="H157" s="925" t="str">
        <f>IF($A157&lt;DATE(2018,7,1),"-",INDEX('I1 - Universal Data'!$E$17:$V$17, MATCH(YEAR(EOMONTH($A157,6)), 'I1 - Universal Data'!$E$14:$V$14, 0)))</f>
        <v>-</v>
      </c>
      <c r="I157" s="926">
        <f t="shared" si="15"/>
        <v>94.7</v>
      </c>
      <c r="J157" s="926">
        <f t="shared" si="15"/>
        <v>238.5</v>
      </c>
      <c r="K157" s="926">
        <f t="shared" si="15"/>
        <v>94.6</v>
      </c>
      <c r="X157" s="927"/>
    </row>
    <row r="158" spans="1:24">
      <c r="A158" s="922">
        <f t="shared" si="13"/>
        <v>40908</v>
      </c>
      <c r="B158" s="923">
        <f t="shared" si="12"/>
        <v>2012</v>
      </c>
      <c r="C158" s="924">
        <v>95</v>
      </c>
      <c r="D158" s="924">
        <v>239.4</v>
      </c>
      <c r="E158" s="924">
        <v>95.1</v>
      </c>
      <c r="F158" s="925" t="str">
        <f>IF($A158&lt;DATE(2018,7,1),"-",INDEX('I1 - Universal Data'!$E$16:$V$16, MATCH(YEAR(EOMONTH($A158,6)), 'I1 - Universal Data'!$E$14:$V$14, 0)))</f>
        <v>-</v>
      </c>
      <c r="G158" s="925" t="str">
        <f>IF($A158&lt;DATE(2018,7,1),"-",INDEX('I1 - Universal Data'!$E$15:$V$15, MATCH(YEAR(EOMONTH($A158,6)), 'I1 - Universal Data'!$E$14:$V$14, 0)))</f>
        <v>-</v>
      </c>
      <c r="H158" s="925" t="str">
        <f>IF($A158&lt;DATE(2018,7,1),"-",INDEX('I1 - Universal Data'!$E$17:$V$17, MATCH(YEAR(EOMONTH($A158,6)), 'I1 - Universal Data'!$E$14:$V$14, 0)))</f>
        <v>-</v>
      </c>
      <c r="I158" s="926">
        <f t="shared" si="15"/>
        <v>95</v>
      </c>
      <c r="J158" s="926">
        <f t="shared" si="15"/>
        <v>239.4</v>
      </c>
      <c r="K158" s="926">
        <f t="shared" si="15"/>
        <v>95.1</v>
      </c>
      <c r="X158" s="927"/>
    </row>
    <row r="159" spans="1:24">
      <c r="A159" s="922">
        <f t="shared" si="13"/>
        <v>40939</v>
      </c>
      <c r="B159" s="923">
        <f t="shared" si="12"/>
        <v>2012</v>
      </c>
      <c r="C159" s="924">
        <v>94.7</v>
      </c>
      <c r="D159" s="924">
        <v>238</v>
      </c>
      <c r="E159" s="924">
        <v>94.6</v>
      </c>
      <c r="F159" s="925" t="str">
        <f>IF($A159&lt;DATE(2018,7,1),"-",INDEX('I1 - Universal Data'!$E$16:$V$16, MATCH(YEAR(EOMONTH($A159,6)), 'I1 - Universal Data'!$E$14:$V$14, 0)))</f>
        <v>-</v>
      </c>
      <c r="G159" s="925" t="str">
        <f>IF($A159&lt;DATE(2018,7,1),"-",INDEX('I1 - Universal Data'!$E$15:$V$15, MATCH(YEAR(EOMONTH($A159,6)), 'I1 - Universal Data'!$E$14:$V$14, 0)))</f>
        <v>-</v>
      </c>
      <c r="H159" s="925" t="str">
        <f>IF($A159&lt;DATE(2018,7,1),"-",INDEX('I1 - Universal Data'!$E$17:$V$17, MATCH(YEAR(EOMONTH($A159,6)), 'I1 - Universal Data'!$E$14:$V$14, 0)))</f>
        <v>-</v>
      </c>
      <c r="I159" s="926">
        <f t="shared" si="15"/>
        <v>94.7</v>
      </c>
      <c r="J159" s="926">
        <f t="shared" si="15"/>
        <v>238</v>
      </c>
      <c r="K159" s="926">
        <f t="shared" si="15"/>
        <v>94.6</v>
      </c>
      <c r="X159" s="927"/>
    </row>
    <row r="160" spans="1:24">
      <c r="A160" s="922">
        <f t="shared" si="13"/>
        <v>40968</v>
      </c>
      <c r="B160" s="923">
        <f t="shared" si="12"/>
        <v>2012</v>
      </c>
      <c r="C160" s="924">
        <v>95.2</v>
      </c>
      <c r="D160" s="924">
        <v>239.9</v>
      </c>
      <c r="E160" s="924">
        <v>95.1</v>
      </c>
      <c r="F160" s="925" t="str">
        <f>IF($A160&lt;DATE(2018,7,1),"-",INDEX('I1 - Universal Data'!$E$16:$V$16, MATCH(YEAR(EOMONTH($A160,6)), 'I1 - Universal Data'!$E$14:$V$14, 0)))</f>
        <v>-</v>
      </c>
      <c r="G160" s="925" t="str">
        <f>IF($A160&lt;DATE(2018,7,1),"-",INDEX('I1 - Universal Data'!$E$15:$V$15, MATCH(YEAR(EOMONTH($A160,6)), 'I1 - Universal Data'!$E$14:$V$14, 0)))</f>
        <v>-</v>
      </c>
      <c r="H160" s="925" t="str">
        <f>IF($A160&lt;DATE(2018,7,1),"-",INDEX('I1 - Universal Data'!$E$17:$V$17, MATCH(YEAR(EOMONTH($A160,6)), 'I1 - Universal Data'!$E$14:$V$14, 0)))</f>
        <v>-</v>
      </c>
      <c r="I160" s="926">
        <f t="shared" si="15"/>
        <v>95.2</v>
      </c>
      <c r="J160" s="926">
        <f t="shared" si="15"/>
        <v>239.9</v>
      </c>
      <c r="K160" s="926">
        <f t="shared" si="15"/>
        <v>95.1</v>
      </c>
      <c r="X160" s="927"/>
    </row>
    <row r="161" spans="1:24">
      <c r="A161" s="922">
        <f t="shared" si="13"/>
        <v>40999</v>
      </c>
      <c r="B161" s="923">
        <f t="shared" si="12"/>
        <v>2012</v>
      </c>
      <c r="C161" s="924">
        <v>95.4</v>
      </c>
      <c r="D161" s="924">
        <v>240.8</v>
      </c>
      <c r="E161" s="924">
        <v>95.4</v>
      </c>
      <c r="F161" s="925" t="str">
        <f>IF($A161&lt;DATE(2018,7,1),"-",INDEX('I1 - Universal Data'!$E$16:$V$16, MATCH(YEAR(EOMONTH($A161,6)), 'I1 - Universal Data'!$E$14:$V$14, 0)))</f>
        <v>-</v>
      </c>
      <c r="G161" s="925" t="str">
        <f>IF($A161&lt;DATE(2018,7,1),"-",INDEX('I1 - Universal Data'!$E$15:$V$15, MATCH(YEAR(EOMONTH($A161,6)), 'I1 - Universal Data'!$E$14:$V$14, 0)))</f>
        <v>-</v>
      </c>
      <c r="H161" s="925" t="str">
        <f>IF($A161&lt;DATE(2018,7,1),"-",INDEX('I1 - Universal Data'!$E$17:$V$17, MATCH(YEAR(EOMONTH($A161,6)), 'I1 - Universal Data'!$E$14:$V$14, 0)))</f>
        <v>-</v>
      </c>
      <c r="I161" s="926">
        <f t="shared" si="15"/>
        <v>95.4</v>
      </c>
      <c r="J161" s="926">
        <f t="shared" si="15"/>
        <v>240.8</v>
      </c>
      <c r="K161" s="926">
        <f t="shared" si="15"/>
        <v>95.4</v>
      </c>
      <c r="X161" s="927"/>
    </row>
    <row r="162" spans="1:24">
      <c r="A162" s="922">
        <f t="shared" si="13"/>
        <v>41029</v>
      </c>
      <c r="B162" s="923">
        <f t="shared" si="12"/>
        <v>2013</v>
      </c>
      <c r="C162" s="924">
        <v>95.9</v>
      </c>
      <c r="D162" s="924">
        <v>242.5</v>
      </c>
      <c r="E162" s="924">
        <v>96</v>
      </c>
      <c r="F162" s="925" t="str">
        <f>IF($A162&lt;DATE(2018,7,1),"-",INDEX('I1 - Universal Data'!$E$16:$V$16, MATCH(YEAR(EOMONTH($A162,6)), 'I1 - Universal Data'!$E$14:$V$14, 0)))</f>
        <v>-</v>
      </c>
      <c r="G162" s="925" t="str">
        <f>IF($A162&lt;DATE(2018,7,1),"-",INDEX('I1 - Universal Data'!$E$15:$V$15, MATCH(YEAR(EOMONTH($A162,6)), 'I1 - Universal Data'!$E$14:$V$14, 0)))</f>
        <v>-</v>
      </c>
      <c r="H162" s="925" t="str">
        <f>IF($A162&lt;DATE(2018,7,1),"-",INDEX('I1 - Universal Data'!$E$17:$V$17, MATCH(YEAR(EOMONTH($A162,6)), 'I1 - Universal Data'!$E$14:$V$14, 0)))</f>
        <v>-</v>
      </c>
      <c r="I162" s="926">
        <f t="shared" si="15"/>
        <v>95.9</v>
      </c>
      <c r="J162" s="926">
        <f t="shared" si="15"/>
        <v>242.5</v>
      </c>
      <c r="K162" s="926">
        <f t="shared" si="15"/>
        <v>96</v>
      </c>
      <c r="X162" s="927"/>
    </row>
    <row r="163" spans="1:24">
      <c r="A163" s="922">
        <f t="shared" si="13"/>
        <v>41060</v>
      </c>
      <c r="B163" s="923">
        <f t="shared" si="12"/>
        <v>2013</v>
      </c>
      <c r="C163" s="924">
        <v>95.9</v>
      </c>
      <c r="D163" s="924">
        <v>242.4</v>
      </c>
      <c r="E163" s="924">
        <v>95.9</v>
      </c>
      <c r="F163" s="925" t="str">
        <f>IF($A163&lt;DATE(2018,7,1),"-",INDEX('I1 - Universal Data'!$E$16:$V$16, MATCH(YEAR(EOMONTH($A163,6)), 'I1 - Universal Data'!$E$14:$V$14, 0)))</f>
        <v>-</v>
      </c>
      <c r="G163" s="925" t="str">
        <f>IF($A163&lt;DATE(2018,7,1),"-",INDEX('I1 - Universal Data'!$E$15:$V$15, MATCH(YEAR(EOMONTH($A163,6)), 'I1 - Universal Data'!$E$14:$V$14, 0)))</f>
        <v>-</v>
      </c>
      <c r="H163" s="925" t="str">
        <f>IF($A163&lt;DATE(2018,7,1),"-",INDEX('I1 - Universal Data'!$E$17:$V$17, MATCH(YEAR(EOMONTH($A163,6)), 'I1 - Universal Data'!$E$14:$V$14, 0)))</f>
        <v>-</v>
      </c>
      <c r="I163" s="926">
        <f t="shared" si="15"/>
        <v>95.9</v>
      </c>
      <c r="J163" s="926">
        <f t="shared" si="15"/>
        <v>242.4</v>
      </c>
      <c r="K163" s="926">
        <f t="shared" si="15"/>
        <v>95.9</v>
      </c>
      <c r="X163" s="927"/>
    </row>
    <row r="164" spans="1:24">
      <c r="A164" s="922">
        <f t="shared" si="13"/>
        <v>41090</v>
      </c>
      <c r="B164" s="923">
        <f t="shared" si="12"/>
        <v>2013</v>
      </c>
      <c r="C164" s="924">
        <v>95.6</v>
      </c>
      <c r="D164" s="924">
        <v>241.8</v>
      </c>
      <c r="E164" s="924">
        <v>95.5</v>
      </c>
      <c r="F164" s="925" t="str">
        <f>IF($A164&lt;DATE(2018,7,1),"-",INDEX('I1 - Universal Data'!$E$16:$V$16, MATCH(YEAR(EOMONTH($A164,6)), 'I1 - Universal Data'!$E$14:$V$14, 0)))</f>
        <v>-</v>
      </c>
      <c r="G164" s="925" t="str">
        <f>IF($A164&lt;DATE(2018,7,1),"-",INDEX('I1 - Universal Data'!$E$15:$V$15, MATCH(YEAR(EOMONTH($A164,6)), 'I1 - Universal Data'!$E$14:$V$14, 0)))</f>
        <v>-</v>
      </c>
      <c r="H164" s="925" t="str">
        <f>IF($A164&lt;DATE(2018,7,1),"-",INDEX('I1 - Universal Data'!$E$17:$V$17, MATCH(YEAR(EOMONTH($A164,6)), 'I1 - Universal Data'!$E$14:$V$14, 0)))</f>
        <v>-</v>
      </c>
      <c r="I164" s="926">
        <f t="shared" si="15"/>
        <v>95.6</v>
      </c>
      <c r="J164" s="926">
        <f t="shared" si="15"/>
        <v>241.8</v>
      </c>
      <c r="K164" s="926">
        <f t="shared" si="15"/>
        <v>95.5</v>
      </c>
      <c r="X164" s="927"/>
    </row>
    <row r="165" spans="1:24">
      <c r="A165" s="922">
        <f t="shared" si="13"/>
        <v>41121</v>
      </c>
      <c r="B165" s="923">
        <f t="shared" si="12"/>
        <v>2013</v>
      </c>
      <c r="C165" s="924">
        <v>95.7</v>
      </c>
      <c r="D165" s="924">
        <v>242.1</v>
      </c>
      <c r="E165" s="924">
        <v>95.6</v>
      </c>
      <c r="F165" s="925" t="str">
        <f>IF($A165&lt;DATE(2018,7,1),"-",INDEX('I1 - Universal Data'!$E$16:$V$16, MATCH(YEAR(EOMONTH($A165,6)), 'I1 - Universal Data'!$E$14:$V$14, 0)))</f>
        <v>-</v>
      </c>
      <c r="G165" s="925" t="str">
        <f>IF($A165&lt;DATE(2018,7,1),"-",INDEX('I1 - Universal Data'!$E$15:$V$15, MATCH(YEAR(EOMONTH($A165,6)), 'I1 - Universal Data'!$E$14:$V$14, 0)))</f>
        <v>-</v>
      </c>
      <c r="H165" s="925" t="str">
        <f>IF($A165&lt;DATE(2018,7,1),"-",INDEX('I1 - Universal Data'!$E$17:$V$17, MATCH(YEAR(EOMONTH($A165,6)), 'I1 - Universal Data'!$E$14:$V$14, 0)))</f>
        <v>-</v>
      </c>
      <c r="I165" s="926">
        <f t="shared" si="15"/>
        <v>95.7</v>
      </c>
      <c r="J165" s="926">
        <f t="shared" si="15"/>
        <v>242.1</v>
      </c>
      <c r="K165" s="926">
        <f t="shared" si="15"/>
        <v>95.6</v>
      </c>
      <c r="X165" s="927"/>
    </row>
    <row r="166" spans="1:24">
      <c r="A166" s="922">
        <f t="shared" si="13"/>
        <v>41152</v>
      </c>
      <c r="B166" s="923">
        <f t="shared" si="12"/>
        <v>2013</v>
      </c>
      <c r="C166" s="924">
        <v>96.1</v>
      </c>
      <c r="D166" s="924">
        <v>243</v>
      </c>
      <c r="E166" s="924">
        <v>96.1</v>
      </c>
      <c r="F166" s="925" t="str">
        <f>IF($A166&lt;DATE(2018,7,1),"-",INDEX('I1 - Universal Data'!$E$16:$V$16, MATCH(YEAR(EOMONTH($A166,6)), 'I1 - Universal Data'!$E$14:$V$14, 0)))</f>
        <v>-</v>
      </c>
      <c r="G166" s="925" t="str">
        <f>IF($A166&lt;DATE(2018,7,1),"-",INDEX('I1 - Universal Data'!$E$15:$V$15, MATCH(YEAR(EOMONTH($A166,6)), 'I1 - Universal Data'!$E$14:$V$14, 0)))</f>
        <v>-</v>
      </c>
      <c r="H166" s="925" t="str">
        <f>IF($A166&lt;DATE(2018,7,1),"-",INDEX('I1 - Universal Data'!$E$17:$V$17, MATCH(YEAR(EOMONTH($A166,6)), 'I1 - Universal Data'!$E$14:$V$14, 0)))</f>
        <v>-</v>
      </c>
      <c r="I166" s="926">
        <f t="shared" si="15"/>
        <v>96.1</v>
      </c>
      <c r="J166" s="926">
        <f t="shared" si="15"/>
        <v>243</v>
      </c>
      <c r="K166" s="926">
        <f t="shared" si="15"/>
        <v>96.1</v>
      </c>
      <c r="X166" s="927"/>
    </row>
    <row r="167" spans="1:24">
      <c r="A167" s="922">
        <f t="shared" si="13"/>
        <v>41182</v>
      </c>
      <c r="B167" s="923">
        <f t="shared" si="12"/>
        <v>2013</v>
      </c>
      <c r="C167" s="924">
        <v>96.4</v>
      </c>
      <c r="D167" s="924">
        <v>244.2</v>
      </c>
      <c r="E167" s="924">
        <v>96.5</v>
      </c>
      <c r="F167" s="925" t="str">
        <f>IF($A167&lt;DATE(2018,7,1),"-",INDEX('I1 - Universal Data'!$E$16:$V$16, MATCH(YEAR(EOMONTH($A167,6)), 'I1 - Universal Data'!$E$14:$V$14, 0)))</f>
        <v>-</v>
      </c>
      <c r="G167" s="925" t="str">
        <f>IF($A167&lt;DATE(2018,7,1),"-",INDEX('I1 - Universal Data'!$E$15:$V$15, MATCH(YEAR(EOMONTH($A167,6)), 'I1 - Universal Data'!$E$14:$V$14, 0)))</f>
        <v>-</v>
      </c>
      <c r="H167" s="925" t="str">
        <f>IF($A167&lt;DATE(2018,7,1),"-",INDEX('I1 - Universal Data'!$E$17:$V$17, MATCH(YEAR(EOMONTH($A167,6)), 'I1 - Universal Data'!$E$14:$V$14, 0)))</f>
        <v>-</v>
      </c>
      <c r="I167" s="926">
        <f t="shared" ref="I167:K182" si="16">IF(ISBLANK(C167),I166*((1+F167)^(1/12)),C167)</f>
        <v>96.4</v>
      </c>
      <c r="J167" s="926">
        <f t="shared" si="16"/>
        <v>244.2</v>
      </c>
      <c r="K167" s="926">
        <f t="shared" si="16"/>
        <v>96.5</v>
      </c>
      <c r="X167" s="927"/>
    </row>
    <row r="168" spans="1:24">
      <c r="A168" s="922">
        <f t="shared" si="13"/>
        <v>41213</v>
      </c>
      <c r="B168" s="923">
        <f t="shared" si="12"/>
        <v>2013</v>
      </c>
      <c r="C168" s="924">
        <v>96.8</v>
      </c>
      <c r="D168" s="924">
        <v>245.6</v>
      </c>
      <c r="E168" s="924">
        <v>97</v>
      </c>
      <c r="F168" s="925" t="str">
        <f>IF($A168&lt;DATE(2018,7,1),"-",INDEX('I1 - Universal Data'!$E$16:$V$16, MATCH(YEAR(EOMONTH($A168,6)), 'I1 - Universal Data'!$E$14:$V$14, 0)))</f>
        <v>-</v>
      </c>
      <c r="G168" s="925" t="str">
        <f>IF($A168&lt;DATE(2018,7,1),"-",INDEX('I1 - Universal Data'!$E$15:$V$15, MATCH(YEAR(EOMONTH($A168,6)), 'I1 - Universal Data'!$E$14:$V$14, 0)))</f>
        <v>-</v>
      </c>
      <c r="H168" s="925" t="str">
        <f>IF($A168&lt;DATE(2018,7,1),"-",INDEX('I1 - Universal Data'!$E$17:$V$17, MATCH(YEAR(EOMONTH($A168,6)), 'I1 - Universal Data'!$E$14:$V$14, 0)))</f>
        <v>-</v>
      </c>
      <c r="I168" s="926">
        <f t="shared" si="16"/>
        <v>96.8</v>
      </c>
      <c r="J168" s="926">
        <f t="shared" si="16"/>
        <v>245.6</v>
      </c>
      <c r="K168" s="926">
        <f t="shared" si="16"/>
        <v>97</v>
      </c>
      <c r="X168" s="927"/>
    </row>
    <row r="169" spans="1:24">
      <c r="A169" s="922">
        <f t="shared" si="13"/>
        <v>41243</v>
      </c>
      <c r="B169" s="923">
        <f t="shared" si="12"/>
        <v>2013</v>
      </c>
      <c r="C169" s="924">
        <v>97</v>
      </c>
      <c r="D169" s="924">
        <v>245.6</v>
      </c>
      <c r="E169" s="924">
        <v>97.2</v>
      </c>
      <c r="F169" s="925" t="str">
        <f>IF($A169&lt;DATE(2018,7,1),"-",INDEX('I1 - Universal Data'!$E$16:$V$16, MATCH(YEAR(EOMONTH($A169,6)), 'I1 - Universal Data'!$E$14:$V$14, 0)))</f>
        <v>-</v>
      </c>
      <c r="G169" s="925" t="str">
        <f>IF($A169&lt;DATE(2018,7,1),"-",INDEX('I1 - Universal Data'!$E$15:$V$15, MATCH(YEAR(EOMONTH($A169,6)), 'I1 - Universal Data'!$E$14:$V$14, 0)))</f>
        <v>-</v>
      </c>
      <c r="H169" s="925" t="str">
        <f>IF($A169&lt;DATE(2018,7,1),"-",INDEX('I1 - Universal Data'!$E$17:$V$17, MATCH(YEAR(EOMONTH($A169,6)), 'I1 - Universal Data'!$E$14:$V$14, 0)))</f>
        <v>-</v>
      </c>
      <c r="I169" s="926">
        <f t="shared" si="16"/>
        <v>97</v>
      </c>
      <c r="J169" s="926">
        <f t="shared" si="16"/>
        <v>245.6</v>
      </c>
      <c r="K169" s="926">
        <f t="shared" si="16"/>
        <v>97.2</v>
      </c>
      <c r="X169" s="927"/>
    </row>
    <row r="170" spans="1:24">
      <c r="A170" s="922">
        <f t="shared" si="13"/>
        <v>41274</v>
      </c>
      <c r="B170" s="923">
        <f t="shared" si="12"/>
        <v>2013</v>
      </c>
      <c r="C170" s="924">
        <v>97.3</v>
      </c>
      <c r="D170" s="924">
        <v>246.8</v>
      </c>
      <c r="E170" s="924">
        <v>97.6</v>
      </c>
      <c r="F170" s="925" t="str">
        <f>IF($A170&lt;DATE(2018,7,1),"-",INDEX('I1 - Universal Data'!$E$16:$V$16, MATCH(YEAR(EOMONTH($A170,6)), 'I1 - Universal Data'!$E$14:$V$14, 0)))</f>
        <v>-</v>
      </c>
      <c r="G170" s="925" t="str">
        <f>IF($A170&lt;DATE(2018,7,1),"-",INDEX('I1 - Universal Data'!$E$15:$V$15, MATCH(YEAR(EOMONTH($A170,6)), 'I1 - Universal Data'!$E$14:$V$14, 0)))</f>
        <v>-</v>
      </c>
      <c r="H170" s="925" t="str">
        <f>IF($A170&lt;DATE(2018,7,1),"-",INDEX('I1 - Universal Data'!$E$17:$V$17, MATCH(YEAR(EOMONTH($A170,6)), 'I1 - Universal Data'!$E$14:$V$14, 0)))</f>
        <v>-</v>
      </c>
      <c r="I170" s="926">
        <f t="shared" si="16"/>
        <v>97.3</v>
      </c>
      <c r="J170" s="926">
        <f t="shared" si="16"/>
        <v>246.8</v>
      </c>
      <c r="K170" s="926">
        <f t="shared" si="16"/>
        <v>97.6</v>
      </c>
      <c r="X170" s="927"/>
    </row>
    <row r="171" spans="1:24">
      <c r="A171" s="922">
        <f t="shared" si="13"/>
        <v>41305</v>
      </c>
      <c r="B171" s="923">
        <f t="shared" si="12"/>
        <v>2013</v>
      </c>
      <c r="C171" s="924">
        <v>97</v>
      </c>
      <c r="D171" s="924">
        <v>245.8</v>
      </c>
      <c r="E171" s="924">
        <v>97.1</v>
      </c>
      <c r="F171" s="925" t="str">
        <f>IF($A171&lt;DATE(2018,7,1),"-",INDEX('I1 - Universal Data'!$E$16:$V$16, MATCH(YEAR(EOMONTH($A171,6)), 'I1 - Universal Data'!$E$14:$V$14, 0)))</f>
        <v>-</v>
      </c>
      <c r="G171" s="925" t="str">
        <f>IF($A171&lt;DATE(2018,7,1),"-",INDEX('I1 - Universal Data'!$E$15:$V$15, MATCH(YEAR(EOMONTH($A171,6)), 'I1 - Universal Data'!$E$14:$V$14, 0)))</f>
        <v>-</v>
      </c>
      <c r="H171" s="925" t="str">
        <f>IF($A171&lt;DATE(2018,7,1),"-",INDEX('I1 - Universal Data'!$E$17:$V$17, MATCH(YEAR(EOMONTH($A171,6)), 'I1 - Universal Data'!$E$14:$V$14, 0)))</f>
        <v>-</v>
      </c>
      <c r="I171" s="926">
        <f t="shared" si="16"/>
        <v>97</v>
      </c>
      <c r="J171" s="926">
        <f t="shared" si="16"/>
        <v>245.8</v>
      </c>
      <c r="K171" s="926">
        <f t="shared" si="16"/>
        <v>97.1</v>
      </c>
      <c r="X171" s="927"/>
    </row>
    <row r="172" spans="1:24">
      <c r="A172" s="922">
        <f t="shared" si="13"/>
        <v>41333</v>
      </c>
      <c r="B172" s="923">
        <f t="shared" si="12"/>
        <v>2013</v>
      </c>
      <c r="C172" s="924">
        <v>97.5</v>
      </c>
      <c r="D172" s="924">
        <v>247.6</v>
      </c>
      <c r="E172" s="924">
        <v>97.8</v>
      </c>
      <c r="F172" s="925" t="str">
        <f>IF($A172&lt;DATE(2018,7,1),"-",INDEX('I1 - Universal Data'!$E$16:$V$16, MATCH(YEAR(EOMONTH($A172,6)), 'I1 - Universal Data'!$E$14:$V$14, 0)))</f>
        <v>-</v>
      </c>
      <c r="G172" s="925" t="str">
        <f>IF($A172&lt;DATE(2018,7,1),"-",INDEX('I1 - Universal Data'!$E$15:$V$15, MATCH(YEAR(EOMONTH($A172,6)), 'I1 - Universal Data'!$E$14:$V$14, 0)))</f>
        <v>-</v>
      </c>
      <c r="H172" s="925" t="str">
        <f>IF($A172&lt;DATE(2018,7,1),"-",INDEX('I1 - Universal Data'!$E$17:$V$17, MATCH(YEAR(EOMONTH($A172,6)), 'I1 - Universal Data'!$E$14:$V$14, 0)))</f>
        <v>-</v>
      </c>
      <c r="I172" s="926">
        <f t="shared" si="16"/>
        <v>97.5</v>
      </c>
      <c r="J172" s="926">
        <f t="shared" si="16"/>
        <v>247.6</v>
      </c>
      <c r="K172" s="926">
        <f t="shared" si="16"/>
        <v>97.8</v>
      </c>
      <c r="X172" s="927"/>
    </row>
    <row r="173" spans="1:24">
      <c r="A173" s="922">
        <f t="shared" si="13"/>
        <v>41364</v>
      </c>
      <c r="B173" s="923">
        <f t="shared" si="12"/>
        <v>2013</v>
      </c>
      <c r="C173" s="924">
        <v>97.8</v>
      </c>
      <c r="D173" s="924">
        <v>248.7</v>
      </c>
      <c r="E173" s="924">
        <v>98.1</v>
      </c>
      <c r="F173" s="925" t="str">
        <f>IF($A173&lt;DATE(2018,7,1),"-",INDEX('I1 - Universal Data'!$E$16:$V$16, MATCH(YEAR(EOMONTH($A173,6)), 'I1 - Universal Data'!$E$14:$V$14, 0)))</f>
        <v>-</v>
      </c>
      <c r="G173" s="925" t="str">
        <f>IF($A173&lt;DATE(2018,7,1),"-",INDEX('I1 - Universal Data'!$E$15:$V$15, MATCH(YEAR(EOMONTH($A173,6)), 'I1 - Universal Data'!$E$14:$V$14, 0)))</f>
        <v>-</v>
      </c>
      <c r="H173" s="925" t="str">
        <f>IF($A173&lt;DATE(2018,7,1),"-",INDEX('I1 - Universal Data'!$E$17:$V$17, MATCH(YEAR(EOMONTH($A173,6)), 'I1 - Universal Data'!$E$14:$V$14, 0)))</f>
        <v>-</v>
      </c>
      <c r="I173" s="926">
        <f t="shared" si="16"/>
        <v>97.8</v>
      </c>
      <c r="J173" s="926">
        <f t="shared" si="16"/>
        <v>248.7</v>
      </c>
      <c r="K173" s="926">
        <f t="shared" si="16"/>
        <v>98.1</v>
      </c>
      <c r="X173" s="927"/>
    </row>
    <row r="174" spans="1:24">
      <c r="A174" s="922">
        <f t="shared" si="13"/>
        <v>41394</v>
      </c>
      <c r="B174" s="923">
        <f t="shared" si="12"/>
        <v>2014</v>
      </c>
      <c r="C174" s="924">
        <v>98</v>
      </c>
      <c r="D174" s="924">
        <v>249.5</v>
      </c>
      <c r="E174" s="924">
        <v>98.3</v>
      </c>
      <c r="F174" s="925" t="str">
        <f>IF($A174&lt;DATE(2018,7,1),"-",INDEX('I1 - Universal Data'!$E$16:$V$16, MATCH(YEAR(EOMONTH($A174,6)), 'I1 - Universal Data'!$E$14:$V$14, 0)))</f>
        <v>-</v>
      </c>
      <c r="G174" s="925" t="str">
        <f>IF($A174&lt;DATE(2018,7,1),"-",INDEX('I1 - Universal Data'!$E$15:$V$15, MATCH(YEAR(EOMONTH($A174,6)), 'I1 - Universal Data'!$E$14:$V$14, 0)))</f>
        <v>-</v>
      </c>
      <c r="H174" s="925" t="str">
        <f>IF($A174&lt;DATE(2018,7,1),"-",INDEX('I1 - Universal Data'!$E$17:$V$17, MATCH(YEAR(EOMONTH($A174,6)), 'I1 - Universal Data'!$E$14:$V$14, 0)))</f>
        <v>-</v>
      </c>
      <c r="I174" s="926">
        <f t="shared" si="16"/>
        <v>98</v>
      </c>
      <c r="J174" s="926">
        <f t="shared" si="16"/>
        <v>249.5</v>
      </c>
      <c r="K174" s="926">
        <f t="shared" si="16"/>
        <v>98.3</v>
      </c>
      <c r="X174" s="927"/>
    </row>
    <row r="175" spans="1:24">
      <c r="A175" s="922">
        <f t="shared" si="13"/>
        <v>41425</v>
      </c>
      <c r="B175" s="923">
        <f t="shared" si="12"/>
        <v>2014</v>
      </c>
      <c r="C175" s="924">
        <v>98.2</v>
      </c>
      <c r="D175" s="924">
        <v>250</v>
      </c>
      <c r="E175" s="924">
        <v>98.5</v>
      </c>
      <c r="F175" s="925" t="str">
        <f>IF($A175&lt;DATE(2018,7,1),"-",INDEX('I1 - Universal Data'!$E$16:$V$16, MATCH(YEAR(EOMONTH($A175,6)), 'I1 - Universal Data'!$E$14:$V$14, 0)))</f>
        <v>-</v>
      </c>
      <c r="G175" s="925" t="str">
        <f>IF($A175&lt;DATE(2018,7,1),"-",INDEX('I1 - Universal Data'!$E$15:$V$15, MATCH(YEAR(EOMONTH($A175,6)), 'I1 - Universal Data'!$E$14:$V$14, 0)))</f>
        <v>-</v>
      </c>
      <c r="H175" s="925" t="str">
        <f>IF($A175&lt;DATE(2018,7,1),"-",INDEX('I1 - Universal Data'!$E$17:$V$17, MATCH(YEAR(EOMONTH($A175,6)), 'I1 - Universal Data'!$E$14:$V$14, 0)))</f>
        <v>-</v>
      </c>
      <c r="I175" s="926">
        <f t="shared" si="16"/>
        <v>98.2</v>
      </c>
      <c r="J175" s="926">
        <f t="shared" si="16"/>
        <v>250</v>
      </c>
      <c r="K175" s="926">
        <f t="shared" si="16"/>
        <v>98.5</v>
      </c>
      <c r="X175" s="927"/>
    </row>
    <row r="176" spans="1:24">
      <c r="A176" s="922">
        <f t="shared" si="13"/>
        <v>41455</v>
      </c>
      <c r="B176" s="923">
        <f t="shared" si="12"/>
        <v>2014</v>
      </c>
      <c r="C176" s="924">
        <v>98</v>
      </c>
      <c r="D176" s="924">
        <v>249.7</v>
      </c>
      <c r="E176" s="924">
        <v>98.3</v>
      </c>
      <c r="F176" s="925" t="str">
        <f>IF($A176&lt;DATE(2018,7,1),"-",INDEX('I1 - Universal Data'!$E$16:$V$16, MATCH(YEAR(EOMONTH($A176,6)), 'I1 - Universal Data'!$E$14:$V$14, 0)))</f>
        <v>-</v>
      </c>
      <c r="G176" s="925" t="str">
        <f>IF($A176&lt;DATE(2018,7,1),"-",INDEX('I1 - Universal Data'!$E$15:$V$15, MATCH(YEAR(EOMONTH($A176,6)), 'I1 - Universal Data'!$E$14:$V$14, 0)))</f>
        <v>-</v>
      </c>
      <c r="H176" s="925" t="str">
        <f>IF($A176&lt;DATE(2018,7,1),"-",INDEX('I1 - Universal Data'!$E$17:$V$17, MATCH(YEAR(EOMONTH($A176,6)), 'I1 - Universal Data'!$E$14:$V$14, 0)))</f>
        <v>-</v>
      </c>
      <c r="I176" s="926">
        <f t="shared" si="16"/>
        <v>98</v>
      </c>
      <c r="J176" s="926">
        <f t="shared" si="16"/>
        <v>249.7</v>
      </c>
      <c r="K176" s="926">
        <f t="shared" si="16"/>
        <v>98.3</v>
      </c>
      <c r="X176" s="927"/>
    </row>
    <row r="177" spans="1:24">
      <c r="A177" s="922">
        <f t="shared" si="13"/>
        <v>41486</v>
      </c>
      <c r="B177" s="923">
        <f t="shared" si="12"/>
        <v>2014</v>
      </c>
      <c r="C177" s="924">
        <v>98</v>
      </c>
      <c r="D177" s="924">
        <v>249.7</v>
      </c>
      <c r="E177" s="924">
        <v>98.3</v>
      </c>
      <c r="F177" s="925" t="str">
        <f>IF($A177&lt;DATE(2018,7,1),"-",INDEX('I1 - Universal Data'!$E$16:$V$16, MATCH(YEAR(EOMONTH($A177,6)), 'I1 - Universal Data'!$E$14:$V$14, 0)))</f>
        <v>-</v>
      </c>
      <c r="G177" s="925" t="str">
        <f>IF($A177&lt;DATE(2018,7,1),"-",INDEX('I1 - Universal Data'!$E$15:$V$15, MATCH(YEAR(EOMONTH($A177,6)), 'I1 - Universal Data'!$E$14:$V$14, 0)))</f>
        <v>-</v>
      </c>
      <c r="H177" s="925" t="str">
        <f>IF($A177&lt;DATE(2018,7,1),"-",INDEX('I1 - Universal Data'!$E$17:$V$17, MATCH(YEAR(EOMONTH($A177,6)), 'I1 - Universal Data'!$E$14:$V$14, 0)))</f>
        <v>-</v>
      </c>
      <c r="I177" s="926">
        <f t="shared" si="16"/>
        <v>98</v>
      </c>
      <c r="J177" s="926">
        <f t="shared" si="16"/>
        <v>249.7</v>
      </c>
      <c r="K177" s="926">
        <f t="shared" si="16"/>
        <v>98.3</v>
      </c>
      <c r="X177" s="927"/>
    </row>
    <row r="178" spans="1:24">
      <c r="A178" s="922">
        <f t="shared" si="13"/>
        <v>41517</v>
      </c>
      <c r="B178" s="923">
        <f t="shared" si="12"/>
        <v>2014</v>
      </c>
      <c r="C178" s="924">
        <v>98.4</v>
      </c>
      <c r="D178" s="924">
        <v>251</v>
      </c>
      <c r="E178" s="924">
        <v>98.7</v>
      </c>
      <c r="F178" s="925" t="str">
        <f>IF($A178&lt;DATE(2018,7,1),"-",INDEX('I1 - Universal Data'!$E$16:$V$16, MATCH(YEAR(EOMONTH($A178,6)), 'I1 - Universal Data'!$E$14:$V$14, 0)))</f>
        <v>-</v>
      </c>
      <c r="G178" s="925" t="str">
        <f>IF($A178&lt;DATE(2018,7,1),"-",INDEX('I1 - Universal Data'!$E$15:$V$15, MATCH(YEAR(EOMONTH($A178,6)), 'I1 - Universal Data'!$E$14:$V$14, 0)))</f>
        <v>-</v>
      </c>
      <c r="H178" s="925" t="str">
        <f>IF($A178&lt;DATE(2018,7,1),"-",INDEX('I1 - Universal Data'!$E$17:$V$17, MATCH(YEAR(EOMONTH($A178,6)), 'I1 - Universal Data'!$E$14:$V$14, 0)))</f>
        <v>-</v>
      </c>
      <c r="I178" s="926">
        <f t="shared" si="16"/>
        <v>98.4</v>
      </c>
      <c r="J178" s="926">
        <f t="shared" si="16"/>
        <v>251</v>
      </c>
      <c r="K178" s="926">
        <f t="shared" si="16"/>
        <v>98.7</v>
      </c>
      <c r="X178" s="927"/>
    </row>
    <row r="179" spans="1:24">
      <c r="A179" s="922">
        <f t="shared" si="13"/>
        <v>41547</v>
      </c>
      <c r="B179" s="923">
        <f t="shared" si="12"/>
        <v>2014</v>
      </c>
      <c r="C179" s="924">
        <v>98.7</v>
      </c>
      <c r="D179" s="924">
        <v>251.9</v>
      </c>
      <c r="E179" s="924">
        <v>99.1</v>
      </c>
      <c r="F179" s="925" t="str">
        <f>IF($A179&lt;DATE(2018,7,1),"-",INDEX('I1 - Universal Data'!$E$16:$V$16, MATCH(YEAR(EOMONTH($A179,6)), 'I1 - Universal Data'!$E$14:$V$14, 0)))</f>
        <v>-</v>
      </c>
      <c r="G179" s="925" t="str">
        <f>IF($A179&lt;DATE(2018,7,1),"-",INDEX('I1 - Universal Data'!$E$15:$V$15, MATCH(YEAR(EOMONTH($A179,6)), 'I1 - Universal Data'!$E$14:$V$14, 0)))</f>
        <v>-</v>
      </c>
      <c r="H179" s="925" t="str">
        <f>IF($A179&lt;DATE(2018,7,1),"-",INDEX('I1 - Universal Data'!$E$17:$V$17, MATCH(YEAR(EOMONTH($A179,6)), 'I1 - Universal Data'!$E$14:$V$14, 0)))</f>
        <v>-</v>
      </c>
      <c r="I179" s="926">
        <f t="shared" si="16"/>
        <v>98.7</v>
      </c>
      <c r="J179" s="926">
        <f t="shared" si="16"/>
        <v>251.9</v>
      </c>
      <c r="K179" s="926">
        <f t="shared" si="16"/>
        <v>99.1</v>
      </c>
      <c r="X179" s="927"/>
    </row>
    <row r="180" spans="1:24">
      <c r="A180" s="922">
        <f t="shared" si="13"/>
        <v>41578</v>
      </c>
      <c r="B180" s="923">
        <f t="shared" si="12"/>
        <v>2014</v>
      </c>
      <c r="C180" s="924">
        <v>98.8</v>
      </c>
      <c r="D180" s="924">
        <v>251.9</v>
      </c>
      <c r="E180" s="924">
        <v>99.1</v>
      </c>
      <c r="F180" s="925" t="str">
        <f>IF($A180&lt;DATE(2018,7,1),"-",INDEX('I1 - Universal Data'!$E$16:$V$16, MATCH(YEAR(EOMONTH($A180,6)), 'I1 - Universal Data'!$E$14:$V$14, 0)))</f>
        <v>-</v>
      </c>
      <c r="G180" s="925" t="str">
        <f>IF($A180&lt;DATE(2018,7,1),"-",INDEX('I1 - Universal Data'!$E$15:$V$15, MATCH(YEAR(EOMONTH($A180,6)), 'I1 - Universal Data'!$E$14:$V$14, 0)))</f>
        <v>-</v>
      </c>
      <c r="H180" s="925" t="str">
        <f>IF($A180&lt;DATE(2018,7,1),"-",INDEX('I1 - Universal Data'!$E$17:$V$17, MATCH(YEAR(EOMONTH($A180,6)), 'I1 - Universal Data'!$E$14:$V$14, 0)))</f>
        <v>-</v>
      </c>
      <c r="I180" s="926">
        <f t="shared" si="16"/>
        <v>98.8</v>
      </c>
      <c r="J180" s="926">
        <f t="shared" si="16"/>
        <v>251.9</v>
      </c>
      <c r="K180" s="926">
        <f t="shared" si="16"/>
        <v>99.1</v>
      </c>
      <c r="X180" s="927"/>
    </row>
    <row r="181" spans="1:24">
      <c r="A181" s="922">
        <f t="shared" si="13"/>
        <v>41608</v>
      </c>
      <c r="B181" s="923">
        <f t="shared" si="12"/>
        <v>2014</v>
      </c>
      <c r="C181" s="924">
        <v>98.8</v>
      </c>
      <c r="D181" s="924">
        <v>252.1</v>
      </c>
      <c r="E181" s="924">
        <v>99.2</v>
      </c>
      <c r="F181" s="925" t="str">
        <f>IF($A181&lt;DATE(2018,7,1),"-",INDEX('I1 - Universal Data'!$E$16:$V$16, MATCH(YEAR(EOMONTH($A181,6)), 'I1 - Universal Data'!$E$14:$V$14, 0)))</f>
        <v>-</v>
      </c>
      <c r="G181" s="925" t="str">
        <f>IF($A181&lt;DATE(2018,7,1),"-",INDEX('I1 - Universal Data'!$E$15:$V$15, MATCH(YEAR(EOMONTH($A181,6)), 'I1 - Universal Data'!$E$14:$V$14, 0)))</f>
        <v>-</v>
      </c>
      <c r="H181" s="925" t="str">
        <f>IF($A181&lt;DATE(2018,7,1),"-",INDEX('I1 - Universal Data'!$E$17:$V$17, MATCH(YEAR(EOMONTH($A181,6)), 'I1 - Universal Data'!$E$14:$V$14, 0)))</f>
        <v>-</v>
      </c>
      <c r="I181" s="926">
        <f t="shared" si="16"/>
        <v>98.8</v>
      </c>
      <c r="J181" s="926">
        <f t="shared" si="16"/>
        <v>252.1</v>
      </c>
      <c r="K181" s="926">
        <f t="shared" si="16"/>
        <v>99.2</v>
      </c>
      <c r="X181" s="927"/>
    </row>
    <row r="182" spans="1:24">
      <c r="A182" s="922">
        <f t="shared" si="13"/>
        <v>41639</v>
      </c>
      <c r="B182" s="923">
        <f t="shared" si="12"/>
        <v>2014</v>
      </c>
      <c r="C182" s="924">
        <v>99.2</v>
      </c>
      <c r="D182" s="924">
        <v>253.4</v>
      </c>
      <c r="E182" s="924">
        <v>99.6</v>
      </c>
      <c r="F182" s="925" t="str">
        <f>IF($A182&lt;DATE(2018,7,1),"-",INDEX('I1 - Universal Data'!$E$16:$V$16, MATCH(YEAR(EOMONTH($A182,6)), 'I1 - Universal Data'!$E$14:$V$14, 0)))</f>
        <v>-</v>
      </c>
      <c r="G182" s="925" t="str">
        <f>IF($A182&lt;DATE(2018,7,1),"-",INDEX('I1 - Universal Data'!$E$15:$V$15, MATCH(YEAR(EOMONTH($A182,6)), 'I1 - Universal Data'!$E$14:$V$14, 0)))</f>
        <v>-</v>
      </c>
      <c r="H182" s="925" t="str">
        <f>IF($A182&lt;DATE(2018,7,1),"-",INDEX('I1 - Universal Data'!$E$17:$V$17, MATCH(YEAR(EOMONTH($A182,6)), 'I1 - Universal Data'!$E$14:$V$14, 0)))</f>
        <v>-</v>
      </c>
      <c r="I182" s="926">
        <f t="shared" si="16"/>
        <v>99.2</v>
      </c>
      <c r="J182" s="926">
        <f t="shared" si="16"/>
        <v>253.4</v>
      </c>
      <c r="K182" s="926">
        <f t="shared" si="16"/>
        <v>99.6</v>
      </c>
      <c r="X182" s="927"/>
    </row>
    <row r="183" spans="1:24">
      <c r="A183" s="922">
        <f t="shared" si="13"/>
        <v>41670</v>
      </c>
      <c r="B183" s="923">
        <f t="shared" si="12"/>
        <v>2014</v>
      </c>
      <c r="C183" s="924">
        <v>98.7</v>
      </c>
      <c r="D183" s="924">
        <v>252.6</v>
      </c>
      <c r="E183" s="924">
        <v>99</v>
      </c>
      <c r="F183" s="925" t="str">
        <f>IF($A183&lt;DATE(2018,7,1),"-",INDEX('I1 - Universal Data'!$E$16:$V$16, MATCH(YEAR(EOMONTH($A183,6)), 'I1 - Universal Data'!$E$14:$V$14, 0)))</f>
        <v>-</v>
      </c>
      <c r="G183" s="925" t="str">
        <f>IF($A183&lt;DATE(2018,7,1),"-",INDEX('I1 - Universal Data'!$E$15:$V$15, MATCH(YEAR(EOMONTH($A183,6)), 'I1 - Universal Data'!$E$14:$V$14, 0)))</f>
        <v>-</v>
      </c>
      <c r="H183" s="925" t="str">
        <f>IF($A183&lt;DATE(2018,7,1),"-",INDEX('I1 - Universal Data'!$E$17:$V$17, MATCH(YEAR(EOMONTH($A183,6)), 'I1 - Universal Data'!$E$14:$V$14, 0)))</f>
        <v>-</v>
      </c>
      <c r="I183" s="926">
        <f t="shared" ref="I183:K198" si="17">IF(ISBLANK(C183),I182*((1+F183)^(1/12)),C183)</f>
        <v>98.7</v>
      </c>
      <c r="J183" s="926">
        <f t="shared" si="17"/>
        <v>252.6</v>
      </c>
      <c r="K183" s="926">
        <f t="shared" si="17"/>
        <v>99</v>
      </c>
      <c r="X183" s="927"/>
    </row>
    <row r="184" spans="1:24">
      <c r="A184" s="922">
        <f t="shared" si="13"/>
        <v>41698</v>
      </c>
      <c r="B184" s="923">
        <f t="shared" si="12"/>
        <v>2014</v>
      </c>
      <c r="C184" s="924">
        <v>99.1</v>
      </c>
      <c r="D184" s="924">
        <v>254.2</v>
      </c>
      <c r="E184" s="924">
        <v>99.5</v>
      </c>
      <c r="F184" s="925" t="str">
        <f>IF($A184&lt;DATE(2018,7,1),"-",INDEX('I1 - Universal Data'!$E$16:$V$16, MATCH(YEAR(EOMONTH($A184,6)), 'I1 - Universal Data'!$E$14:$V$14, 0)))</f>
        <v>-</v>
      </c>
      <c r="G184" s="925" t="str">
        <f>IF($A184&lt;DATE(2018,7,1),"-",INDEX('I1 - Universal Data'!$E$15:$V$15, MATCH(YEAR(EOMONTH($A184,6)), 'I1 - Universal Data'!$E$14:$V$14, 0)))</f>
        <v>-</v>
      </c>
      <c r="H184" s="925" t="str">
        <f>IF($A184&lt;DATE(2018,7,1),"-",INDEX('I1 - Universal Data'!$E$17:$V$17, MATCH(YEAR(EOMONTH($A184,6)), 'I1 - Universal Data'!$E$14:$V$14, 0)))</f>
        <v>-</v>
      </c>
      <c r="I184" s="926">
        <f t="shared" si="17"/>
        <v>99.1</v>
      </c>
      <c r="J184" s="926">
        <f t="shared" si="17"/>
        <v>254.2</v>
      </c>
      <c r="K184" s="926">
        <f t="shared" si="17"/>
        <v>99.5</v>
      </c>
      <c r="X184" s="927"/>
    </row>
    <row r="185" spans="1:24">
      <c r="A185" s="922">
        <f t="shared" si="13"/>
        <v>41729</v>
      </c>
      <c r="B185" s="923">
        <f t="shared" si="12"/>
        <v>2014</v>
      </c>
      <c r="C185" s="924">
        <v>99.3</v>
      </c>
      <c r="D185" s="924">
        <v>254.8</v>
      </c>
      <c r="E185" s="924">
        <v>99.7</v>
      </c>
      <c r="F185" s="925" t="str">
        <f>IF($A185&lt;DATE(2018,7,1),"-",INDEX('I1 - Universal Data'!$E$16:$V$16, MATCH(YEAR(EOMONTH($A185,6)), 'I1 - Universal Data'!$E$14:$V$14, 0)))</f>
        <v>-</v>
      </c>
      <c r="G185" s="925" t="str">
        <f>IF($A185&lt;DATE(2018,7,1),"-",INDEX('I1 - Universal Data'!$E$15:$V$15, MATCH(YEAR(EOMONTH($A185,6)), 'I1 - Universal Data'!$E$14:$V$14, 0)))</f>
        <v>-</v>
      </c>
      <c r="H185" s="925" t="str">
        <f>IF($A185&lt;DATE(2018,7,1),"-",INDEX('I1 - Universal Data'!$E$17:$V$17, MATCH(YEAR(EOMONTH($A185,6)), 'I1 - Universal Data'!$E$14:$V$14, 0)))</f>
        <v>-</v>
      </c>
      <c r="I185" s="926">
        <f t="shared" si="17"/>
        <v>99.3</v>
      </c>
      <c r="J185" s="926">
        <f t="shared" si="17"/>
        <v>254.8</v>
      </c>
      <c r="K185" s="926">
        <f t="shared" si="17"/>
        <v>99.7</v>
      </c>
      <c r="X185" s="927"/>
    </row>
    <row r="186" spans="1:24">
      <c r="A186" s="922">
        <f t="shared" si="13"/>
        <v>41759</v>
      </c>
      <c r="B186" s="923">
        <f t="shared" si="12"/>
        <v>2015</v>
      </c>
      <c r="C186" s="924">
        <v>99.6</v>
      </c>
      <c r="D186" s="924">
        <v>255.7</v>
      </c>
      <c r="E186" s="924">
        <v>100.1</v>
      </c>
      <c r="F186" s="925" t="str">
        <f>IF($A186&lt;DATE(2018,7,1),"-",INDEX('I1 - Universal Data'!$E$16:$V$16, MATCH(YEAR(EOMONTH($A186,6)), 'I1 - Universal Data'!$E$14:$V$14, 0)))</f>
        <v>-</v>
      </c>
      <c r="G186" s="925" t="str">
        <f>IF($A186&lt;DATE(2018,7,1),"-",INDEX('I1 - Universal Data'!$E$15:$V$15, MATCH(YEAR(EOMONTH($A186,6)), 'I1 - Universal Data'!$E$14:$V$14, 0)))</f>
        <v>-</v>
      </c>
      <c r="H186" s="925" t="str">
        <f>IF($A186&lt;DATE(2018,7,1),"-",INDEX('I1 - Universal Data'!$E$17:$V$17, MATCH(YEAR(EOMONTH($A186,6)), 'I1 - Universal Data'!$E$14:$V$14, 0)))</f>
        <v>-</v>
      </c>
      <c r="I186" s="926">
        <f t="shared" si="17"/>
        <v>99.6</v>
      </c>
      <c r="J186" s="926">
        <f t="shared" si="17"/>
        <v>255.7</v>
      </c>
      <c r="K186" s="926">
        <f t="shared" si="17"/>
        <v>100.1</v>
      </c>
      <c r="X186" s="927"/>
    </row>
    <row r="187" spans="1:24">
      <c r="A187" s="922">
        <f t="shared" si="13"/>
        <v>41790</v>
      </c>
      <c r="B187" s="923">
        <f t="shared" si="12"/>
        <v>2015</v>
      </c>
      <c r="C187" s="924">
        <v>99.6</v>
      </c>
      <c r="D187" s="924">
        <v>255.9</v>
      </c>
      <c r="E187" s="924">
        <v>100</v>
      </c>
      <c r="F187" s="925" t="str">
        <f>IF($A187&lt;DATE(2018,7,1),"-",INDEX('I1 - Universal Data'!$E$16:$V$16, MATCH(YEAR(EOMONTH($A187,6)), 'I1 - Universal Data'!$E$14:$V$14, 0)))</f>
        <v>-</v>
      </c>
      <c r="G187" s="925" t="str">
        <f>IF($A187&lt;DATE(2018,7,1),"-",INDEX('I1 - Universal Data'!$E$15:$V$15, MATCH(YEAR(EOMONTH($A187,6)), 'I1 - Universal Data'!$E$14:$V$14, 0)))</f>
        <v>-</v>
      </c>
      <c r="H187" s="925" t="str">
        <f>IF($A187&lt;DATE(2018,7,1),"-",INDEX('I1 - Universal Data'!$E$17:$V$17, MATCH(YEAR(EOMONTH($A187,6)), 'I1 - Universal Data'!$E$14:$V$14, 0)))</f>
        <v>-</v>
      </c>
      <c r="I187" s="926">
        <f t="shared" si="17"/>
        <v>99.6</v>
      </c>
      <c r="J187" s="926">
        <f t="shared" si="17"/>
        <v>255.9</v>
      </c>
      <c r="K187" s="926">
        <f t="shared" si="17"/>
        <v>100</v>
      </c>
      <c r="X187" s="927"/>
    </row>
    <row r="188" spans="1:24">
      <c r="A188" s="922">
        <f t="shared" si="13"/>
        <v>41820</v>
      </c>
      <c r="B188" s="923">
        <f t="shared" si="12"/>
        <v>2015</v>
      </c>
      <c r="C188" s="924">
        <v>99.8</v>
      </c>
      <c r="D188" s="924">
        <v>256.3</v>
      </c>
      <c r="E188" s="924">
        <v>100.2</v>
      </c>
      <c r="F188" s="925" t="str">
        <f>IF($A188&lt;DATE(2018,7,1),"-",INDEX('I1 - Universal Data'!$E$16:$V$16, MATCH(YEAR(EOMONTH($A188,6)), 'I1 - Universal Data'!$E$14:$V$14, 0)))</f>
        <v>-</v>
      </c>
      <c r="G188" s="925" t="str">
        <f>IF($A188&lt;DATE(2018,7,1),"-",INDEX('I1 - Universal Data'!$E$15:$V$15, MATCH(YEAR(EOMONTH($A188,6)), 'I1 - Universal Data'!$E$14:$V$14, 0)))</f>
        <v>-</v>
      </c>
      <c r="H188" s="925" t="str">
        <f>IF($A188&lt;DATE(2018,7,1),"-",INDEX('I1 - Universal Data'!$E$17:$V$17, MATCH(YEAR(EOMONTH($A188,6)), 'I1 - Universal Data'!$E$14:$V$14, 0)))</f>
        <v>-</v>
      </c>
      <c r="I188" s="926">
        <f t="shared" si="17"/>
        <v>99.8</v>
      </c>
      <c r="J188" s="926">
        <f t="shared" si="17"/>
        <v>256.3</v>
      </c>
      <c r="K188" s="926">
        <f t="shared" si="17"/>
        <v>100.2</v>
      </c>
      <c r="X188" s="927"/>
    </row>
    <row r="189" spans="1:24">
      <c r="A189" s="922">
        <f t="shared" si="13"/>
        <v>41851</v>
      </c>
      <c r="B189" s="923">
        <f t="shared" si="12"/>
        <v>2015</v>
      </c>
      <c r="C189" s="924">
        <v>99.6</v>
      </c>
      <c r="D189" s="924">
        <v>256</v>
      </c>
      <c r="E189" s="924">
        <v>99.9</v>
      </c>
      <c r="F189" s="925" t="str">
        <f>IF($A189&lt;DATE(2018,7,1),"-",INDEX('I1 - Universal Data'!$E$16:$V$16, MATCH(YEAR(EOMONTH($A189,6)), 'I1 - Universal Data'!$E$14:$V$14, 0)))</f>
        <v>-</v>
      </c>
      <c r="G189" s="925" t="str">
        <f>IF($A189&lt;DATE(2018,7,1),"-",INDEX('I1 - Universal Data'!$E$15:$V$15, MATCH(YEAR(EOMONTH($A189,6)), 'I1 - Universal Data'!$E$14:$V$14, 0)))</f>
        <v>-</v>
      </c>
      <c r="H189" s="925" t="str">
        <f>IF($A189&lt;DATE(2018,7,1),"-",INDEX('I1 - Universal Data'!$E$17:$V$17, MATCH(YEAR(EOMONTH($A189,6)), 'I1 - Universal Data'!$E$14:$V$14, 0)))</f>
        <v>-</v>
      </c>
      <c r="I189" s="926">
        <f t="shared" si="17"/>
        <v>99.6</v>
      </c>
      <c r="J189" s="926">
        <f t="shared" si="17"/>
        <v>256</v>
      </c>
      <c r="K189" s="926">
        <f t="shared" si="17"/>
        <v>99.9</v>
      </c>
      <c r="X189" s="927"/>
    </row>
    <row r="190" spans="1:24">
      <c r="A190" s="922">
        <f t="shared" si="13"/>
        <v>41882</v>
      </c>
      <c r="B190" s="923">
        <f t="shared" si="12"/>
        <v>2015</v>
      </c>
      <c r="C190" s="924">
        <v>99.9</v>
      </c>
      <c r="D190" s="924">
        <v>257</v>
      </c>
      <c r="E190" s="924">
        <v>100.2</v>
      </c>
      <c r="F190" s="925" t="str">
        <f>IF($A190&lt;DATE(2018,7,1),"-",INDEX('I1 - Universal Data'!$E$16:$V$16, MATCH(YEAR(EOMONTH($A190,6)), 'I1 - Universal Data'!$E$14:$V$14, 0)))</f>
        <v>-</v>
      </c>
      <c r="G190" s="925" t="str">
        <f>IF($A190&lt;DATE(2018,7,1),"-",INDEX('I1 - Universal Data'!$E$15:$V$15, MATCH(YEAR(EOMONTH($A190,6)), 'I1 - Universal Data'!$E$14:$V$14, 0)))</f>
        <v>-</v>
      </c>
      <c r="H190" s="925" t="str">
        <f>IF($A190&lt;DATE(2018,7,1),"-",INDEX('I1 - Universal Data'!$E$17:$V$17, MATCH(YEAR(EOMONTH($A190,6)), 'I1 - Universal Data'!$E$14:$V$14, 0)))</f>
        <v>-</v>
      </c>
      <c r="I190" s="926">
        <f t="shared" si="17"/>
        <v>99.9</v>
      </c>
      <c r="J190" s="926">
        <f t="shared" si="17"/>
        <v>257</v>
      </c>
      <c r="K190" s="926">
        <f t="shared" si="17"/>
        <v>100.2</v>
      </c>
      <c r="X190" s="927"/>
    </row>
    <row r="191" spans="1:24">
      <c r="A191" s="922">
        <f t="shared" si="13"/>
        <v>41912</v>
      </c>
      <c r="B191" s="923">
        <f t="shared" si="12"/>
        <v>2015</v>
      </c>
      <c r="C191" s="924">
        <v>100</v>
      </c>
      <c r="D191" s="924">
        <v>257.60000000000002</v>
      </c>
      <c r="E191" s="924">
        <v>100.3</v>
      </c>
      <c r="F191" s="925" t="str">
        <f>IF($A191&lt;DATE(2018,7,1),"-",INDEX('I1 - Universal Data'!$E$16:$V$16, MATCH(YEAR(EOMONTH($A191,6)), 'I1 - Universal Data'!$E$14:$V$14, 0)))</f>
        <v>-</v>
      </c>
      <c r="G191" s="925" t="str">
        <f>IF($A191&lt;DATE(2018,7,1),"-",INDEX('I1 - Universal Data'!$E$15:$V$15, MATCH(YEAR(EOMONTH($A191,6)), 'I1 - Universal Data'!$E$14:$V$14, 0)))</f>
        <v>-</v>
      </c>
      <c r="H191" s="925" t="str">
        <f>IF($A191&lt;DATE(2018,7,1),"-",INDEX('I1 - Universal Data'!$E$17:$V$17, MATCH(YEAR(EOMONTH($A191,6)), 'I1 - Universal Data'!$E$14:$V$14, 0)))</f>
        <v>-</v>
      </c>
      <c r="I191" s="926">
        <f t="shared" si="17"/>
        <v>100</v>
      </c>
      <c r="J191" s="926">
        <f t="shared" si="17"/>
        <v>257.60000000000002</v>
      </c>
      <c r="K191" s="926">
        <f t="shared" si="17"/>
        <v>100.3</v>
      </c>
      <c r="X191" s="927"/>
    </row>
    <row r="192" spans="1:24">
      <c r="A192" s="922">
        <f t="shared" si="13"/>
        <v>41943</v>
      </c>
      <c r="B192" s="923">
        <f t="shared" si="12"/>
        <v>2015</v>
      </c>
      <c r="C192" s="924">
        <v>100.1</v>
      </c>
      <c r="D192" s="924">
        <v>257.7</v>
      </c>
      <c r="E192" s="924">
        <v>100.4</v>
      </c>
      <c r="F192" s="925" t="str">
        <f>IF($A192&lt;DATE(2018,7,1),"-",INDEX('I1 - Universal Data'!$E$16:$V$16, MATCH(YEAR(EOMONTH($A192,6)), 'I1 - Universal Data'!$E$14:$V$14, 0)))</f>
        <v>-</v>
      </c>
      <c r="G192" s="925" t="str">
        <f>IF($A192&lt;DATE(2018,7,1),"-",INDEX('I1 - Universal Data'!$E$15:$V$15, MATCH(YEAR(EOMONTH($A192,6)), 'I1 - Universal Data'!$E$14:$V$14, 0)))</f>
        <v>-</v>
      </c>
      <c r="H192" s="925" t="str">
        <f>IF($A192&lt;DATE(2018,7,1),"-",INDEX('I1 - Universal Data'!$E$17:$V$17, MATCH(YEAR(EOMONTH($A192,6)), 'I1 - Universal Data'!$E$14:$V$14, 0)))</f>
        <v>-</v>
      </c>
      <c r="I192" s="926">
        <f t="shared" si="17"/>
        <v>100.1</v>
      </c>
      <c r="J192" s="926">
        <f t="shared" si="17"/>
        <v>257.7</v>
      </c>
      <c r="K192" s="926">
        <f t="shared" si="17"/>
        <v>100.4</v>
      </c>
      <c r="X192" s="927"/>
    </row>
    <row r="193" spans="1:24">
      <c r="A193" s="922">
        <f t="shared" si="13"/>
        <v>41973</v>
      </c>
      <c r="B193" s="923">
        <f t="shared" si="12"/>
        <v>2015</v>
      </c>
      <c r="C193" s="924">
        <v>99.9</v>
      </c>
      <c r="D193" s="924">
        <v>257.10000000000002</v>
      </c>
      <c r="E193" s="924">
        <v>100.1</v>
      </c>
      <c r="F193" s="925" t="str">
        <f>IF($A193&lt;DATE(2018,7,1),"-",INDEX('I1 - Universal Data'!$E$16:$V$16, MATCH(YEAR(EOMONTH($A193,6)), 'I1 - Universal Data'!$E$14:$V$14, 0)))</f>
        <v>-</v>
      </c>
      <c r="G193" s="925" t="str">
        <f>IF($A193&lt;DATE(2018,7,1),"-",INDEX('I1 - Universal Data'!$E$15:$V$15, MATCH(YEAR(EOMONTH($A193,6)), 'I1 - Universal Data'!$E$14:$V$14, 0)))</f>
        <v>-</v>
      </c>
      <c r="H193" s="925" t="str">
        <f>IF($A193&lt;DATE(2018,7,1),"-",INDEX('I1 - Universal Data'!$E$17:$V$17, MATCH(YEAR(EOMONTH($A193,6)), 'I1 - Universal Data'!$E$14:$V$14, 0)))</f>
        <v>-</v>
      </c>
      <c r="I193" s="926">
        <f t="shared" si="17"/>
        <v>99.9</v>
      </c>
      <c r="J193" s="926">
        <f t="shared" si="17"/>
        <v>257.10000000000002</v>
      </c>
      <c r="K193" s="926">
        <f t="shared" si="17"/>
        <v>100.1</v>
      </c>
      <c r="X193" s="927"/>
    </row>
    <row r="194" spans="1:24">
      <c r="A194" s="922">
        <f t="shared" si="13"/>
        <v>42004</v>
      </c>
      <c r="B194" s="923">
        <f t="shared" si="12"/>
        <v>2015</v>
      </c>
      <c r="C194" s="924">
        <v>99.9</v>
      </c>
      <c r="D194" s="924">
        <v>257.5</v>
      </c>
      <c r="E194" s="924">
        <v>100.1</v>
      </c>
      <c r="F194" s="925" t="str">
        <f>IF($A194&lt;DATE(2018,7,1),"-",INDEX('I1 - Universal Data'!$E$16:$V$16, MATCH(YEAR(EOMONTH($A194,6)), 'I1 - Universal Data'!$E$14:$V$14, 0)))</f>
        <v>-</v>
      </c>
      <c r="G194" s="925" t="str">
        <f>IF($A194&lt;DATE(2018,7,1),"-",INDEX('I1 - Universal Data'!$E$15:$V$15, MATCH(YEAR(EOMONTH($A194,6)), 'I1 - Universal Data'!$E$14:$V$14, 0)))</f>
        <v>-</v>
      </c>
      <c r="H194" s="925" t="str">
        <f>IF($A194&lt;DATE(2018,7,1),"-",INDEX('I1 - Universal Data'!$E$17:$V$17, MATCH(YEAR(EOMONTH($A194,6)), 'I1 - Universal Data'!$E$14:$V$14, 0)))</f>
        <v>-</v>
      </c>
      <c r="I194" s="926">
        <f t="shared" si="17"/>
        <v>99.9</v>
      </c>
      <c r="J194" s="926">
        <f t="shared" si="17"/>
        <v>257.5</v>
      </c>
      <c r="K194" s="926">
        <f t="shared" si="17"/>
        <v>100.1</v>
      </c>
      <c r="X194" s="927"/>
    </row>
    <row r="195" spans="1:24">
      <c r="A195" s="922">
        <f t="shared" si="13"/>
        <v>42035</v>
      </c>
      <c r="B195" s="923">
        <f t="shared" si="12"/>
        <v>2015</v>
      </c>
      <c r="C195" s="924">
        <v>99.2</v>
      </c>
      <c r="D195" s="924">
        <v>255.4</v>
      </c>
      <c r="E195" s="924">
        <v>99.3</v>
      </c>
      <c r="F195" s="925" t="str">
        <f>IF($A195&lt;DATE(2018,7,1),"-",INDEX('I1 - Universal Data'!$E$16:$V$16, MATCH(YEAR(EOMONTH($A195,6)), 'I1 - Universal Data'!$E$14:$V$14, 0)))</f>
        <v>-</v>
      </c>
      <c r="G195" s="925" t="str">
        <f>IF($A195&lt;DATE(2018,7,1),"-",INDEX('I1 - Universal Data'!$E$15:$V$15, MATCH(YEAR(EOMONTH($A195,6)), 'I1 - Universal Data'!$E$14:$V$14, 0)))</f>
        <v>-</v>
      </c>
      <c r="H195" s="925" t="str">
        <f>IF($A195&lt;DATE(2018,7,1),"-",INDEX('I1 - Universal Data'!$E$17:$V$17, MATCH(YEAR(EOMONTH($A195,6)), 'I1 - Universal Data'!$E$14:$V$14, 0)))</f>
        <v>-</v>
      </c>
      <c r="I195" s="926">
        <f t="shared" si="17"/>
        <v>99.2</v>
      </c>
      <c r="J195" s="926">
        <f t="shared" si="17"/>
        <v>255.4</v>
      </c>
      <c r="K195" s="926">
        <f t="shared" si="17"/>
        <v>99.3</v>
      </c>
      <c r="X195" s="927"/>
    </row>
    <row r="196" spans="1:24">
      <c r="A196" s="922">
        <f t="shared" si="13"/>
        <v>42063</v>
      </c>
      <c r="B196" s="923">
        <f t="shared" si="12"/>
        <v>2015</v>
      </c>
      <c r="C196" s="924">
        <v>99.5</v>
      </c>
      <c r="D196" s="924">
        <v>256.7</v>
      </c>
      <c r="E196" s="924">
        <v>99.5</v>
      </c>
      <c r="F196" s="925" t="str">
        <f>IF($A196&lt;DATE(2018,7,1),"-",INDEX('I1 - Universal Data'!$E$16:$V$16, MATCH(YEAR(EOMONTH($A196,6)), 'I1 - Universal Data'!$E$14:$V$14, 0)))</f>
        <v>-</v>
      </c>
      <c r="G196" s="925" t="str">
        <f>IF($A196&lt;DATE(2018,7,1),"-",INDEX('I1 - Universal Data'!$E$15:$V$15, MATCH(YEAR(EOMONTH($A196,6)), 'I1 - Universal Data'!$E$14:$V$14, 0)))</f>
        <v>-</v>
      </c>
      <c r="H196" s="925" t="str">
        <f>IF($A196&lt;DATE(2018,7,1),"-",INDEX('I1 - Universal Data'!$E$17:$V$17, MATCH(YEAR(EOMONTH($A196,6)), 'I1 - Universal Data'!$E$14:$V$14, 0)))</f>
        <v>-</v>
      </c>
      <c r="I196" s="926">
        <f t="shared" si="17"/>
        <v>99.5</v>
      </c>
      <c r="J196" s="926">
        <f t="shared" si="17"/>
        <v>256.7</v>
      </c>
      <c r="K196" s="926">
        <f t="shared" si="17"/>
        <v>99.5</v>
      </c>
      <c r="X196" s="927"/>
    </row>
    <row r="197" spans="1:24">
      <c r="A197" s="922">
        <f t="shared" si="13"/>
        <v>42094</v>
      </c>
      <c r="B197" s="923">
        <f t="shared" si="12"/>
        <v>2015</v>
      </c>
      <c r="C197" s="924">
        <v>99.6</v>
      </c>
      <c r="D197" s="924">
        <v>257.10000000000002</v>
      </c>
      <c r="E197" s="924">
        <v>99.7</v>
      </c>
      <c r="F197" s="925" t="str">
        <f>IF($A197&lt;DATE(2018,7,1),"-",INDEX('I1 - Universal Data'!$E$16:$V$16, MATCH(YEAR(EOMONTH($A197,6)), 'I1 - Universal Data'!$E$14:$V$14, 0)))</f>
        <v>-</v>
      </c>
      <c r="G197" s="925" t="str">
        <f>IF($A197&lt;DATE(2018,7,1),"-",INDEX('I1 - Universal Data'!$E$15:$V$15, MATCH(YEAR(EOMONTH($A197,6)), 'I1 - Universal Data'!$E$14:$V$14, 0)))</f>
        <v>-</v>
      </c>
      <c r="H197" s="925" t="str">
        <f>IF($A197&lt;DATE(2018,7,1),"-",INDEX('I1 - Universal Data'!$E$17:$V$17, MATCH(YEAR(EOMONTH($A197,6)), 'I1 - Universal Data'!$E$14:$V$14, 0)))</f>
        <v>-</v>
      </c>
      <c r="I197" s="926">
        <f t="shared" si="17"/>
        <v>99.6</v>
      </c>
      <c r="J197" s="926">
        <f t="shared" si="17"/>
        <v>257.10000000000002</v>
      </c>
      <c r="K197" s="926">
        <f t="shared" si="17"/>
        <v>99.7</v>
      </c>
      <c r="X197" s="927"/>
    </row>
    <row r="198" spans="1:24">
      <c r="A198" s="922">
        <f t="shared" si="13"/>
        <v>42124</v>
      </c>
      <c r="B198" s="923">
        <f t="shared" ref="B198:B261" si="18">IF(MONTH(A198)&gt;=4,YEAR(A198)+1,YEAR(A198))</f>
        <v>2016</v>
      </c>
      <c r="C198" s="924">
        <v>99.9</v>
      </c>
      <c r="D198" s="924">
        <v>258</v>
      </c>
      <c r="E198" s="924">
        <v>99.9</v>
      </c>
      <c r="F198" s="925" t="str">
        <f>IF($A198&lt;DATE(2018,7,1),"-",INDEX('I1 - Universal Data'!$E$16:$V$16, MATCH(YEAR(EOMONTH($A198,6)), 'I1 - Universal Data'!$E$14:$V$14, 0)))</f>
        <v>-</v>
      </c>
      <c r="G198" s="925" t="str">
        <f>IF($A198&lt;DATE(2018,7,1),"-",INDEX('I1 - Universal Data'!$E$15:$V$15, MATCH(YEAR(EOMONTH($A198,6)), 'I1 - Universal Data'!$E$14:$V$14, 0)))</f>
        <v>-</v>
      </c>
      <c r="H198" s="925" t="str">
        <f>IF($A198&lt;DATE(2018,7,1),"-",INDEX('I1 - Universal Data'!$E$17:$V$17, MATCH(YEAR(EOMONTH($A198,6)), 'I1 - Universal Data'!$E$14:$V$14, 0)))</f>
        <v>-</v>
      </c>
      <c r="I198" s="926">
        <f t="shared" si="17"/>
        <v>99.9</v>
      </c>
      <c r="J198" s="926">
        <f t="shared" si="17"/>
        <v>258</v>
      </c>
      <c r="K198" s="926">
        <f t="shared" si="17"/>
        <v>99.9</v>
      </c>
      <c r="X198" s="927"/>
    </row>
    <row r="199" spans="1:24">
      <c r="A199" s="922">
        <f t="shared" ref="A199:A262" si="19">IF(MONTH(A198) = 12, EOMONTH(DATE(YEAR(A198) + 1, 1, 1), 0), EOMONTH(DATE(YEAR(A198), MONTH(A198) + 1, 1), 0))</f>
        <v>42155</v>
      </c>
      <c r="B199" s="923">
        <f t="shared" si="18"/>
        <v>2016</v>
      </c>
      <c r="C199" s="924">
        <v>100.1</v>
      </c>
      <c r="D199" s="924">
        <v>258.5</v>
      </c>
      <c r="E199" s="924">
        <v>100.1</v>
      </c>
      <c r="F199" s="925" t="str">
        <f>IF($A199&lt;DATE(2018,7,1),"-",INDEX('I1 - Universal Data'!$E$16:$V$16, MATCH(YEAR(EOMONTH($A199,6)), 'I1 - Universal Data'!$E$14:$V$14, 0)))</f>
        <v>-</v>
      </c>
      <c r="G199" s="925" t="str">
        <f>IF($A199&lt;DATE(2018,7,1),"-",INDEX('I1 - Universal Data'!$E$15:$V$15, MATCH(YEAR(EOMONTH($A199,6)), 'I1 - Universal Data'!$E$14:$V$14, 0)))</f>
        <v>-</v>
      </c>
      <c r="H199" s="925" t="str">
        <f>IF($A199&lt;DATE(2018,7,1),"-",INDEX('I1 - Universal Data'!$E$17:$V$17, MATCH(YEAR(EOMONTH($A199,6)), 'I1 - Universal Data'!$E$14:$V$14, 0)))</f>
        <v>-</v>
      </c>
      <c r="I199" s="926">
        <f t="shared" ref="I199:K214" si="20">IF(ISBLANK(C199),I198*((1+F199)^(1/12)),C199)</f>
        <v>100.1</v>
      </c>
      <c r="J199" s="926">
        <f t="shared" si="20"/>
        <v>258.5</v>
      </c>
      <c r="K199" s="926">
        <f t="shared" si="20"/>
        <v>100.1</v>
      </c>
      <c r="X199" s="927"/>
    </row>
    <row r="200" spans="1:24">
      <c r="A200" s="922">
        <f t="shared" si="19"/>
        <v>42185</v>
      </c>
      <c r="B200" s="923">
        <f t="shared" si="18"/>
        <v>2016</v>
      </c>
      <c r="C200" s="924">
        <v>100.1</v>
      </c>
      <c r="D200" s="924">
        <v>258.89999999999998</v>
      </c>
      <c r="E200" s="924">
        <v>100.2</v>
      </c>
      <c r="F200" s="925" t="str">
        <f>IF($A200&lt;DATE(2018,7,1),"-",INDEX('I1 - Universal Data'!$E$16:$V$16, MATCH(YEAR(EOMONTH($A200,6)), 'I1 - Universal Data'!$E$14:$V$14, 0)))</f>
        <v>-</v>
      </c>
      <c r="G200" s="925" t="str">
        <f>IF($A200&lt;DATE(2018,7,1),"-",INDEX('I1 - Universal Data'!$E$15:$V$15, MATCH(YEAR(EOMONTH($A200,6)), 'I1 - Universal Data'!$E$14:$V$14, 0)))</f>
        <v>-</v>
      </c>
      <c r="H200" s="925" t="str">
        <f>IF($A200&lt;DATE(2018,7,1),"-",INDEX('I1 - Universal Data'!$E$17:$V$17, MATCH(YEAR(EOMONTH($A200,6)), 'I1 - Universal Data'!$E$14:$V$14, 0)))</f>
        <v>-</v>
      </c>
      <c r="I200" s="926">
        <f t="shared" si="20"/>
        <v>100.1</v>
      </c>
      <c r="J200" s="926">
        <f t="shared" si="20"/>
        <v>258.89999999999998</v>
      </c>
      <c r="K200" s="926">
        <f t="shared" si="20"/>
        <v>100.2</v>
      </c>
      <c r="X200" s="927"/>
    </row>
    <row r="201" spans="1:24">
      <c r="A201" s="922">
        <f t="shared" si="19"/>
        <v>42216</v>
      </c>
      <c r="B201" s="923">
        <f t="shared" si="18"/>
        <v>2016</v>
      </c>
      <c r="C201" s="924">
        <v>100</v>
      </c>
      <c r="D201" s="924">
        <v>258.60000000000002</v>
      </c>
      <c r="E201" s="924">
        <v>100</v>
      </c>
      <c r="F201" s="925" t="str">
        <f>IF($A201&lt;DATE(2018,7,1),"-",INDEX('I1 - Universal Data'!$E$16:$V$16, MATCH(YEAR(EOMONTH($A201,6)), 'I1 - Universal Data'!$E$14:$V$14, 0)))</f>
        <v>-</v>
      </c>
      <c r="G201" s="925" t="str">
        <f>IF($A201&lt;DATE(2018,7,1),"-",INDEX('I1 - Universal Data'!$E$15:$V$15, MATCH(YEAR(EOMONTH($A201,6)), 'I1 - Universal Data'!$E$14:$V$14, 0)))</f>
        <v>-</v>
      </c>
      <c r="H201" s="925" t="str">
        <f>IF($A201&lt;DATE(2018,7,1),"-",INDEX('I1 - Universal Data'!$E$17:$V$17, MATCH(YEAR(EOMONTH($A201,6)), 'I1 - Universal Data'!$E$14:$V$14, 0)))</f>
        <v>-</v>
      </c>
      <c r="I201" s="926">
        <f t="shared" si="20"/>
        <v>100</v>
      </c>
      <c r="J201" s="926">
        <f t="shared" si="20"/>
        <v>258.60000000000002</v>
      </c>
      <c r="K201" s="926">
        <f t="shared" si="20"/>
        <v>100</v>
      </c>
      <c r="X201" s="927"/>
    </row>
    <row r="202" spans="1:24">
      <c r="A202" s="922">
        <f t="shared" si="19"/>
        <v>42247</v>
      </c>
      <c r="B202" s="923">
        <f t="shared" si="18"/>
        <v>2016</v>
      </c>
      <c r="C202" s="924">
        <v>100.3</v>
      </c>
      <c r="D202" s="924">
        <v>259.8</v>
      </c>
      <c r="E202" s="924">
        <v>100.3</v>
      </c>
      <c r="F202" s="925" t="str">
        <f>IF($A202&lt;DATE(2018,7,1),"-",INDEX('I1 - Universal Data'!$E$16:$V$16, MATCH(YEAR(EOMONTH($A202,6)), 'I1 - Universal Data'!$E$14:$V$14, 0)))</f>
        <v>-</v>
      </c>
      <c r="G202" s="925" t="str">
        <f>IF($A202&lt;DATE(2018,7,1),"-",INDEX('I1 - Universal Data'!$E$15:$V$15, MATCH(YEAR(EOMONTH($A202,6)), 'I1 - Universal Data'!$E$14:$V$14, 0)))</f>
        <v>-</v>
      </c>
      <c r="H202" s="925" t="str">
        <f>IF($A202&lt;DATE(2018,7,1),"-",INDEX('I1 - Universal Data'!$E$17:$V$17, MATCH(YEAR(EOMONTH($A202,6)), 'I1 - Universal Data'!$E$14:$V$14, 0)))</f>
        <v>-</v>
      </c>
      <c r="I202" s="926">
        <f t="shared" si="20"/>
        <v>100.3</v>
      </c>
      <c r="J202" s="926">
        <f t="shared" si="20"/>
        <v>259.8</v>
      </c>
      <c r="K202" s="926">
        <f t="shared" si="20"/>
        <v>100.3</v>
      </c>
      <c r="X202" s="927"/>
    </row>
    <row r="203" spans="1:24">
      <c r="A203" s="922">
        <f t="shared" si="19"/>
        <v>42277</v>
      </c>
      <c r="B203" s="923">
        <f t="shared" si="18"/>
        <v>2016</v>
      </c>
      <c r="C203" s="924">
        <v>100.2</v>
      </c>
      <c r="D203" s="924">
        <v>259.60000000000002</v>
      </c>
      <c r="E203" s="924">
        <v>100.2</v>
      </c>
      <c r="F203" s="925" t="str">
        <f>IF($A203&lt;DATE(2018,7,1),"-",INDEX('I1 - Universal Data'!$E$16:$V$16, MATCH(YEAR(EOMONTH($A203,6)), 'I1 - Universal Data'!$E$14:$V$14, 0)))</f>
        <v>-</v>
      </c>
      <c r="G203" s="925" t="str">
        <f>IF($A203&lt;DATE(2018,7,1),"-",INDEX('I1 - Universal Data'!$E$15:$V$15, MATCH(YEAR(EOMONTH($A203,6)), 'I1 - Universal Data'!$E$14:$V$14, 0)))</f>
        <v>-</v>
      </c>
      <c r="H203" s="925" t="str">
        <f>IF($A203&lt;DATE(2018,7,1),"-",INDEX('I1 - Universal Data'!$E$17:$V$17, MATCH(YEAR(EOMONTH($A203,6)), 'I1 - Universal Data'!$E$14:$V$14, 0)))</f>
        <v>-</v>
      </c>
      <c r="I203" s="926">
        <f t="shared" si="20"/>
        <v>100.2</v>
      </c>
      <c r="J203" s="926">
        <f t="shared" si="20"/>
        <v>259.60000000000002</v>
      </c>
      <c r="K203" s="926">
        <f t="shared" si="20"/>
        <v>100.2</v>
      </c>
      <c r="X203" s="927"/>
    </row>
    <row r="204" spans="1:24">
      <c r="A204" s="922">
        <f t="shared" si="19"/>
        <v>42308</v>
      </c>
      <c r="B204" s="923">
        <f t="shared" si="18"/>
        <v>2016</v>
      </c>
      <c r="C204" s="924">
        <v>100.3</v>
      </c>
      <c r="D204" s="924">
        <v>259.5</v>
      </c>
      <c r="E204" s="924">
        <v>100.3</v>
      </c>
      <c r="F204" s="925" t="str">
        <f>IF($A204&lt;DATE(2018,7,1),"-",INDEX('I1 - Universal Data'!$E$16:$V$16, MATCH(YEAR(EOMONTH($A204,6)), 'I1 - Universal Data'!$E$14:$V$14, 0)))</f>
        <v>-</v>
      </c>
      <c r="G204" s="925" t="str">
        <f>IF($A204&lt;DATE(2018,7,1),"-",INDEX('I1 - Universal Data'!$E$15:$V$15, MATCH(YEAR(EOMONTH($A204,6)), 'I1 - Universal Data'!$E$14:$V$14, 0)))</f>
        <v>-</v>
      </c>
      <c r="H204" s="925" t="str">
        <f>IF($A204&lt;DATE(2018,7,1),"-",INDEX('I1 - Universal Data'!$E$17:$V$17, MATCH(YEAR(EOMONTH($A204,6)), 'I1 - Universal Data'!$E$14:$V$14, 0)))</f>
        <v>-</v>
      </c>
      <c r="I204" s="926">
        <f t="shared" si="20"/>
        <v>100.3</v>
      </c>
      <c r="J204" s="926">
        <f t="shared" si="20"/>
        <v>259.5</v>
      </c>
      <c r="K204" s="926">
        <f t="shared" si="20"/>
        <v>100.3</v>
      </c>
      <c r="X204" s="927"/>
    </row>
    <row r="205" spans="1:24">
      <c r="A205" s="922">
        <f t="shared" si="19"/>
        <v>42338</v>
      </c>
      <c r="B205" s="923">
        <f t="shared" si="18"/>
        <v>2016</v>
      </c>
      <c r="C205" s="924">
        <v>100.3</v>
      </c>
      <c r="D205" s="924">
        <v>259.8</v>
      </c>
      <c r="E205" s="924">
        <v>100.3</v>
      </c>
      <c r="F205" s="925" t="str">
        <f>IF($A205&lt;DATE(2018,7,1),"-",INDEX('I1 - Universal Data'!$E$16:$V$16, MATCH(YEAR(EOMONTH($A205,6)), 'I1 - Universal Data'!$E$14:$V$14, 0)))</f>
        <v>-</v>
      </c>
      <c r="G205" s="925" t="str">
        <f>IF($A205&lt;DATE(2018,7,1),"-",INDEX('I1 - Universal Data'!$E$15:$V$15, MATCH(YEAR(EOMONTH($A205,6)), 'I1 - Universal Data'!$E$14:$V$14, 0)))</f>
        <v>-</v>
      </c>
      <c r="H205" s="925" t="str">
        <f>IF($A205&lt;DATE(2018,7,1),"-",INDEX('I1 - Universal Data'!$E$17:$V$17, MATCH(YEAR(EOMONTH($A205,6)), 'I1 - Universal Data'!$E$14:$V$14, 0)))</f>
        <v>-</v>
      </c>
      <c r="I205" s="926">
        <f t="shared" si="20"/>
        <v>100.3</v>
      </c>
      <c r="J205" s="926">
        <f t="shared" si="20"/>
        <v>259.8</v>
      </c>
      <c r="K205" s="926">
        <f t="shared" si="20"/>
        <v>100.3</v>
      </c>
      <c r="X205" s="927"/>
    </row>
    <row r="206" spans="1:24">
      <c r="A206" s="922">
        <f t="shared" si="19"/>
        <v>42369</v>
      </c>
      <c r="B206" s="923">
        <f t="shared" si="18"/>
        <v>2016</v>
      </c>
      <c r="C206" s="924">
        <v>100.4</v>
      </c>
      <c r="D206" s="924">
        <v>260.60000000000002</v>
      </c>
      <c r="E206" s="924">
        <v>100.3</v>
      </c>
      <c r="F206" s="925" t="str">
        <f>IF($A206&lt;DATE(2018,7,1),"-",INDEX('I1 - Universal Data'!$E$16:$V$16, MATCH(YEAR(EOMONTH($A206,6)), 'I1 - Universal Data'!$E$14:$V$14, 0)))</f>
        <v>-</v>
      </c>
      <c r="G206" s="925" t="str">
        <f>IF($A206&lt;DATE(2018,7,1),"-",INDEX('I1 - Universal Data'!$E$15:$V$15, MATCH(YEAR(EOMONTH($A206,6)), 'I1 - Universal Data'!$E$14:$V$14, 0)))</f>
        <v>-</v>
      </c>
      <c r="H206" s="925" t="str">
        <f>IF($A206&lt;DATE(2018,7,1),"-",INDEX('I1 - Universal Data'!$E$17:$V$17, MATCH(YEAR(EOMONTH($A206,6)), 'I1 - Universal Data'!$E$14:$V$14, 0)))</f>
        <v>-</v>
      </c>
      <c r="I206" s="926">
        <f t="shared" si="20"/>
        <v>100.4</v>
      </c>
      <c r="J206" s="926">
        <f t="shared" si="20"/>
        <v>260.60000000000002</v>
      </c>
      <c r="K206" s="926">
        <f t="shared" si="20"/>
        <v>100.3</v>
      </c>
      <c r="X206" s="927"/>
    </row>
    <row r="207" spans="1:24">
      <c r="A207" s="922">
        <f t="shared" si="19"/>
        <v>42400</v>
      </c>
      <c r="B207" s="923">
        <f t="shared" si="18"/>
        <v>2016</v>
      </c>
      <c r="C207" s="924">
        <v>99.9</v>
      </c>
      <c r="D207" s="924">
        <v>258.8</v>
      </c>
      <c r="E207" s="924">
        <v>99.5</v>
      </c>
      <c r="F207" s="925" t="str">
        <f>IF($A207&lt;DATE(2018,7,1),"-",INDEX('I1 - Universal Data'!$E$16:$V$16, MATCH(YEAR(EOMONTH($A207,6)), 'I1 - Universal Data'!$E$14:$V$14, 0)))</f>
        <v>-</v>
      </c>
      <c r="G207" s="925" t="str">
        <f>IF($A207&lt;DATE(2018,7,1),"-",INDEX('I1 - Universal Data'!$E$15:$V$15, MATCH(YEAR(EOMONTH($A207,6)), 'I1 - Universal Data'!$E$14:$V$14, 0)))</f>
        <v>-</v>
      </c>
      <c r="H207" s="925" t="str">
        <f>IF($A207&lt;DATE(2018,7,1),"-",INDEX('I1 - Universal Data'!$E$17:$V$17, MATCH(YEAR(EOMONTH($A207,6)), 'I1 - Universal Data'!$E$14:$V$14, 0)))</f>
        <v>-</v>
      </c>
      <c r="I207" s="926">
        <f t="shared" si="20"/>
        <v>99.9</v>
      </c>
      <c r="J207" s="926">
        <f t="shared" si="20"/>
        <v>258.8</v>
      </c>
      <c r="K207" s="926">
        <f t="shared" si="20"/>
        <v>99.5</v>
      </c>
      <c r="X207" s="927"/>
    </row>
    <row r="208" spans="1:24">
      <c r="A208" s="922">
        <f t="shared" si="19"/>
        <v>42429</v>
      </c>
      <c r="B208" s="923">
        <f t="shared" si="18"/>
        <v>2016</v>
      </c>
      <c r="C208" s="924">
        <v>100.1</v>
      </c>
      <c r="D208" s="924">
        <v>260</v>
      </c>
      <c r="E208" s="924">
        <v>99.8</v>
      </c>
      <c r="F208" s="925" t="str">
        <f>IF($A208&lt;DATE(2018,7,1),"-",INDEX('I1 - Universal Data'!$E$16:$V$16, MATCH(YEAR(EOMONTH($A208,6)), 'I1 - Universal Data'!$E$14:$V$14, 0)))</f>
        <v>-</v>
      </c>
      <c r="G208" s="925" t="str">
        <f>IF($A208&lt;DATE(2018,7,1),"-",INDEX('I1 - Universal Data'!$E$15:$V$15, MATCH(YEAR(EOMONTH($A208,6)), 'I1 - Universal Data'!$E$14:$V$14, 0)))</f>
        <v>-</v>
      </c>
      <c r="H208" s="925" t="str">
        <f>IF($A208&lt;DATE(2018,7,1),"-",INDEX('I1 - Universal Data'!$E$17:$V$17, MATCH(YEAR(EOMONTH($A208,6)), 'I1 - Universal Data'!$E$14:$V$14, 0)))</f>
        <v>-</v>
      </c>
      <c r="I208" s="926">
        <f t="shared" si="20"/>
        <v>100.1</v>
      </c>
      <c r="J208" s="926">
        <f t="shared" si="20"/>
        <v>260</v>
      </c>
      <c r="K208" s="926">
        <f t="shared" si="20"/>
        <v>99.8</v>
      </c>
      <c r="X208" s="927"/>
    </row>
    <row r="209" spans="1:24">
      <c r="A209" s="922">
        <f t="shared" si="19"/>
        <v>42460</v>
      </c>
      <c r="B209" s="923">
        <f t="shared" si="18"/>
        <v>2016</v>
      </c>
      <c r="C209" s="924">
        <v>100.4</v>
      </c>
      <c r="D209" s="924">
        <v>261.10000000000002</v>
      </c>
      <c r="E209" s="924">
        <v>100.2</v>
      </c>
      <c r="F209" s="925" t="str">
        <f>IF($A209&lt;DATE(2018,7,1),"-",INDEX('I1 - Universal Data'!$E$16:$V$16, MATCH(YEAR(EOMONTH($A209,6)), 'I1 - Universal Data'!$E$14:$V$14, 0)))</f>
        <v>-</v>
      </c>
      <c r="G209" s="925" t="str">
        <f>IF($A209&lt;DATE(2018,7,1),"-",INDEX('I1 - Universal Data'!$E$15:$V$15, MATCH(YEAR(EOMONTH($A209,6)), 'I1 - Universal Data'!$E$14:$V$14, 0)))</f>
        <v>-</v>
      </c>
      <c r="H209" s="925" t="str">
        <f>IF($A209&lt;DATE(2018,7,1),"-",INDEX('I1 - Universal Data'!$E$17:$V$17, MATCH(YEAR(EOMONTH($A209,6)), 'I1 - Universal Data'!$E$14:$V$14, 0)))</f>
        <v>-</v>
      </c>
      <c r="I209" s="926">
        <f t="shared" si="20"/>
        <v>100.4</v>
      </c>
      <c r="J209" s="926">
        <f t="shared" si="20"/>
        <v>261.10000000000002</v>
      </c>
      <c r="K209" s="926">
        <f t="shared" si="20"/>
        <v>100.2</v>
      </c>
      <c r="X209" s="927"/>
    </row>
    <row r="210" spans="1:24">
      <c r="A210" s="922">
        <f t="shared" si="19"/>
        <v>42490</v>
      </c>
      <c r="B210" s="923">
        <f t="shared" si="18"/>
        <v>2017</v>
      </c>
      <c r="C210" s="924">
        <v>100.6</v>
      </c>
      <c r="D210" s="924">
        <v>261.39999999999998</v>
      </c>
      <c r="E210" s="924">
        <v>100.2</v>
      </c>
      <c r="F210" s="925" t="str">
        <f>IF($A210&lt;DATE(2018,7,1),"-",INDEX('I1 - Universal Data'!$E$16:$V$16, MATCH(YEAR(EOMONTH($A210,6)), 'I1 - Universal Data'!$E$14:$V$14, 0)))</f>
        <v>-</v>
      </c>
      <c r="G210" s="925" t="str">
        <f>IF($A210&lt;DATE(2018,7,1),"-",INDEX('I1 - Universal Data'!$E$15:$V$15, MATCH(YEAR(EOMONTH($A210,6)), 'I1 - Universal Data'!$E$14:$V$14, 0)))</f>
        <v>-</v>
      </c>
      <c r="H210" s="925" t="str">
        <f>IF($A210&lt;DATE(2018,7,1),"-",INDEX('I1 - Universal Data'!$E$17:$V$17, MATCH(YEAR(EOMONTH($A210,6)), 'I1 - Universal Data'!$E$14:$V$14, 0)))</f>
        <v>-</v>
      </c>
      <c r="I210" s="926">
        <f t="shared" si="20"/>
        <v>100.6</v>
      </c>
      <c r="J210" s="926">
        <f t="shared" si="20"/>
        <v>261.39999999999998</v>
      </c>
      <c r="K210" s="926">
        <f t="shared" si="20"/>
        <v>100.2</v>
      </c>
      <c r="X210" s="927"/>
    </row>
    <row r="211" spans="1:24">
      <c r="A211" s="922">
        <f t="shared" si="19"/>
        <v>42521</v>
      </c>
      <c r="B211" s="923">
        <f t="shared" si="18"/>
        <v>2017</v>
      </c>
      <c r="C211" s="924">
        <v>100.8</v>
      </c>
      <c r="D211" s="924">
        <v>262.10000000000002</v>
      </c>
      <c r="E211" s="924">
        <v>100.4</v>
      </c>
      <c r="F211" s="925" t="str">
        <f>IF($A211&lt;DATE(2018,7,1),"-",INDEX('I1 - Universal Data'!$E$16:$V$16, MATCH(YEAR(EOMONTH($A211,6)), 'I1 - Universal Data'!$E$14:$V$14, 0)))</f>
        <v>-</v>
      </c>
      <c r="G211" s="925" t="str">
        <f>IF($A211&lt;DATE(2018,7,1),"-",INDEX('I1 - Universal Data'!$E$15:$V$15, MATCH(YEAR(EOMONTH($A211,6)), 'I1 - Universal Data'!$E$14:$V$14, 0)))</f>
        <v>-</v>
      </c>
      <c r="H211" s="925" t="str">
        <f>IF($A211&lt;DATE(2018,7,1),"-",INDEX('I1 - Universal Data'!$E$17:$V$17, MATCH(YEAR(EOMONTH($A211,6)), 'I1 - Universal Data'!$E$14:$V$14, 0)))</f>
        <v>-</v>
      </c>
      <c r="I211" s="926">
        <f t="shared" si="20"/>
        <v>100.8</v>
      </c>
      <c r="J211" s="926">
        <f t="shared" si="20"/>
        <v>262.10000000000002</v>
      </c>
      <c r="K211" s="926">
        <f t="shared" si="20"/>
        <v>100.4</v>
      </c>
      <c r="X211" s="927"/>
    </row>
    <row r="212" spans="1:24">
      <c r="A212" s="922">
        <f t="shared" si="19"/>
        <v>42551</v>
      </c>
      <c r="B212" s="923">
        <f t="shared" si="18"/>
        <v>2017</v>
      </c>
      <c r="C212" s="924">
        <v>101</v>
      </c>
      <c r="D212" s="924">
        <v>263.10000000000002</v>
      </c>
      <c r="E212" s="924">
        <v>100.6</v>
      </c>
      <c r="F212" s="925" t="str">
        <f>IF($A212&lt;DATE(2018,7,1),"-",INDEX('I1 - Universal Data'!$E$16:$V$16, MATCH(YEAR(EOMONTH($A212,6)), 'I1 - Universal Data'!$E$14:$V$14, 0)))</f>
        <v>-</v>
      </c>
      <c r="G212" s="925" t="str">
        <f>IF($A212&lt;DATE(2018,7,1),"-",INDEX('I1 - Universal Data'!$E$15:$V$15, MATCH(YEAR(EOMONTH($A212,6)), 'I1 - Universal Data'!$E$14:$V$14, 0)))</f>
        <v>-</v>
      </c>
      <c r="H212" s="925" t="str">
        <f>IF($A212&lt;DATE(2018,7,1),"-",INDEX('I1 - Universal Data'!$E$17:$V$17, MATCH(YEAR(EOMONTH($A212,6)), 'I1 - Universal Data'!$E$14:$V$14, 0)))</f>
        <v>-</v>
      </c>
      <c r="I212" s="926">
        <f t="shared" si="20"/>
        <v>101</v>
      </c>
      <c r="J212" s="926">
        <f t="shared" si="20"/>
        <v>263.10000000000002</v>
      </c>
      <c r="K212" s="926">
        <f t="shared" si="20"/>
        <v>100.6</v>
      </c>
      <c r="X212" s="927"/>
    </row>
    <row r="213" spans="1:24">
      <c r="A213" s="922">
        <f t="shared" si="19"/>
        <v>42582</v>
      </c>
      <c r="B213" s="923">
        <f t="shared" si="18"/>
        <v>2017</v>
      </c>
      <c r="C213" s="924">
        <v>100.9</v>
      </c>
      <c r="D213" s="924">
        <v>263.39999999999998</v>
      </c>
      <c r="E213" s="924">
        <v>100.6</v>
      </c>
      <c r="F213" s="925" t="str">
        <f>IF($A213&lt;DATE(2018,7,1),"-",INDEX('I1 - Universal Data'!$E$16:$V$16, MATCH(YEAR(EOMONTH($A213,6)), 'I1 - Universal Data'!$E$14:$V$14, 0)))</f>
        <v>-</v>
      </c>
      <c r="G213" s="925" t="str">
        <f>IF($A213&lt;DATE(2018,7,1),"-",INDEX('I1 - Universal Data'!$E$15:$V$15, MATCH(YEAR(EOMONTH($A213,6)), 'I1 - Universal Data'!$E$14:$V$14, 0)))</f>
        <v>-</v>
      </c>
      <c r="H213" s="925" t="str">
        <f>IF($A213&lt;DATE(2018,7,1),"-",INDEX('I1 - Universal Data'!$E$17:$V$17, MATCH(YEAR(EOMONTH($A213,6)), 'I1 - Universal Data'!$E$14:$V$14, 0)))</f>
        <v>-</v>
      </c>
      <c r="I213" s="926">
        <f t="shared" si="20"/>
        <v>100.9</v>
      </c>
      <c r="J213" s="926">
        <f t="shared" si="20"/>
        <v>263.39999999999998</v>
      </c>
      <c r="K213" s="926">
        <f t="shared" si="20"/>
        <v>100.6</v>
      </c>
      <c r="X213" s="927"/>
    </row>
    <row r="214" spans="1:24">
      <c r="A214" s="922">
        <f t="shared" si="19"/>
        <v>42613</v>
      </c>
      <c r="B214" s="923">
        <f t="shared" si="18"/>
        <v>2017</v>
      </c>
      <c r="C214" s="924">
        <v>101.2</v>
      </c>
      <c r="D214" s="924">
        <v>264.39999999999998</v>
      </c>
      <c r="E214" s="924">
        <v>100.9</v>
      </c>
      <c r="F214" s="925" t="str">
        <f>IF($A214&lt;DATE(2018,7,1),"-",INDEX('I1 - Universal Data'!$E$16:$V$16, MATCH(YEAR(EOMONTH($A214,6)), 'I1 - Universal Data'!$E$14:$V$14, 0)))</f>
        <v>-</v>
      </c>
      <c r="G214" s="925" t="str">
        <f>IF($A214&lt;DATE(2018,7,1),"-",INDEX('I1 - Universal Data'!$E$15:$V$15, MATCH(YEAR(EOMONTH($A214,6)), 'I1 - Universal Data'!$E$14:$V$14, 0)))</f>
        <v>-</v>
      </c>
      <c r="H214" s="925" t="str">
        <f>IF($A214&lt;DATE(2018,7,1),"-",INDEX('I1 - Universal Data'!$E$17:$V$17, MATCH(YEAR(EOMONTH($A214,6)), 'I1 - Universal Data'!$E$14:$V$14, 0)))</f>
        <v>-</v>
      </c>
      <c r="I214" s="926">
        <f t="shared" si="20"/>
        <v>101.2</v>
      </c>
      <c r="J214" s="926">
        <f t="shared" si="20"/>
        <v>264.39999999999998</v>
      </c>
      <c r="K214" s="926">
        <f t="shared" si="20"/>
        <v>100.9</v>
      </c>
      <c r="X214" s="927"/>
    </row>
    <row r="215" spans="1:24">
      <c r="A215" s="922">
        <f t="shared" si="19"/>
        <v>42643</v>
      </c>
      <c r="B215" s="923">
        <f t="shared" si="18"/>
        <v>2017</v>
      </c>
      <c r="C215" s="924">
        <v>101.5</v>
      </c>
      <c r="D215" s="924">
        <v>264.89999999999998</v>
      </c>
      <c r="E215" s="924">
        <v>101.1</v>
      </c>
      <c r="F215" s="925" t="str">
        <f>IF($A215&lt;DATE(2018,7,1),"-",INDEX('I1 - Universal Data'!$E$16:$V$16, MATCH(YEAR(EOMONTH($A215,6)), 'I1 - Universal Data'!$E$14:$V$14, 0)))</f>
        <v>-</v>
      </c>
      <c r="G215" s="925" t="str">
        <f>IF($A215&lt;DATE(2018,7,1),"-",INDEX('I1 - Universal Data'!$E$15:$V$15, MATCH(YEAR(EOMONTH($A215,6)), 'I1 - Universal Data'!$E$14:$V$14, 0)))</f>
        <v>-</v>
      </c>
      <c r="H215" s="925" t="str">
        <f>IF($A215&lt;DATE(2018,7,1),"-",INDEX('I1 - Universal Data'!$E$17:$V$17, MATCH(YEAR(EOMONTH($A215,6)), 'I1 - Universal Data'!$E$14:$V$14, 0)))</f>
        <v>-</v>
      </c>
      <c r="I215" s="926">
        <f t="shared" ref="I215:K230" si="21">IF(ISBLANK(C215),I214*((1+F215)^(1/12)),C215)</f>
        <v>101.5</v>
      </c>
      <c r="J215" s="926">
        <f t="shared" si="21"/>
        <v>264.89999999999998</v>
      </c>
      <c r="K215" s="926">
        <f t="shared" si="21"/>
        <v>101.1</v>
      </c>
      <c r="X215" s="927"/>
    </row>
    <row r="216" spans="1:24">
      <c r="A216" s="922">
        <f t="shared" si="19"/>
        <v>42674</v>
      </c>
      <c r="B216" s="923">
        <f t="shared" si="18"/>
        <v>2017</v>
      </c>
      <c r="C216" s="924">
        <v>101.6</v>
      </c>
      <c r="D216" s="924">
        <v>264.8</v>
      </c>
      <c r="E216" s="924">
        <v>101.2</v>
      </c>
      <c r="F216" s="925" t="str">
        <f>IF($A216&lt;DATE(2018,7,1),"-",INDEX('I1 - Universal Data'!$E$16:$V$16, MATCH(YEAR(EOMONTH($A216,6)), 'I1 - Universal Data'!$E$14:$V$14, 0)))</f>
        <v>-</v>
      </c>
      <c r="G216" s="925" t="str">
        <f>IF($A216&lt;DATE(2018,7,1),"-",INDEX('I1 - Universal Data'!$E$15:$V$15, MATCH(YEAR(EOMONTH($A216,6)), 'I1 - Universal Data'!$E$14:$V$14, 0)))</f>
        <v>-</v>
      </c>
      <c r="H216" s="925" t="str">
        <f>IF($A216&lt;DATE(2018,7,1),"-",INDEX('I1 - Universal Data'!$E$17:$V$17, MATCH(YEAR(EOMONTH($A216,6)), 'I1 - Universal Data'!$E$14:$V$14, 0)))</f>
        <v>-</v>
      </c>
      <c r="I216" s="926">
        <f t="shared" si="21"/>
        <v>101.6</v>
      </c>
      <c r="J216" s="926">
        <f t="shared" si="21"/>
        <v>264.8</v>
      </c>
      <c r="K216" s="926">
        <f t="shared" si="21"/>
        <v>101.2</v>
      </c>
      <c r="X216" s="927"/>
    </row>
    <row r="217" spans="1:24">
      <c r="A217" s="922">
        <f t="shared" si="19"/>
        <v>42704</v>
      </c>
      <c r="B217" s="923">
        <f t="shared" si="18"/>
        <v>2017</v>
      </c>
      <c r="C217" s="924">
        <v>101.8</v>
      </c>
      <c r="D217" s="924">
        <v>265.5</v>
      </c>
      <c r="E217" s="924">
        <v>101.4</v>
      </c>
      <c r="F217" s="925" t="str">
        <f>IF($A217&lt;DATE(2018,7,1),"-",INDEX('I1 - Universal Data'!$E$16:$V$16, MATCH(YEAR(EOMONTH($A217,6)), 'I1 - Universal Data'!$E$14:$V$14, 0)))</f>
        <v>-</v>
      </c>
      <c r="G217" s="925" t="str">
        <f>IF($A217&lt;DATE(2018,7,1),"-",INDEX('I1 - Universal Data'!$E$15:$V$15, MATCH(YEAR(EOMONTH($A217,6)), 'I1 - Universal Data'!$E$14:$V$14, 0)))</f>
        <v>-</v>
      </c>
      <c r="H217" s="925" t="str">
        <f>IF($A217&lt;DATE(2018,7,1),"-",INDEX('I1 - Universal Data'!$E$17:$V$17, MATCH(YEAR(EOMONTH($A217,6)), 'I1 - Universal Data'!$E$14:$V$14, 0)))</f>
        <v>-</v>
      </c>
      <c r="I217" s="926">
        <f t="shared" si="21"/>
        <v>101.8</v>
      </c>
      <c r="J217" s="926">
        <f t="shared" si="21"/>
        <v>265.5</v>
      </c>
      <c r="K217" s="926">
        <f t="shared" si="21"/>
        <v>101.4</v>
      </c>
      <c r="X217" s="927"/>
    </row>
    <row r="218" spans="1:24">
      <c r="A218" s="922">
        <f t="shared" si="19"/>
        <v>42735</v>
      </c>
      <c r="B218" s="923">
        <f t="shared" si="18"/>
        <v>2017</v>
      </c>
      <c r="C218" s="924">
        <v>102.2</v>
      </c>
      <c r="D218" s="924">
        <v>267.10000000000002</v>
      </c>
      <c r="E218" s="924">
        <v>101.9</v>
      </c>
      <c r="F218" s="925" t="str">
        <f>IF($A218&lt;DATE(2018,7,1),"-",INDEX('I1 - Universal Data'!$E$16:$V$16, MATCH(YEAR(EOMONTH($A218,6)), 'I1 - Universal Data'!$E$14:$V$14, 0)))</f>
        <v>-</v>
      </c>
      <c r="G218" s="925" t="str">
        <f>IF($A218&lt;DATE(2018,7,1),"-",INDEX('I1 - Universal Data'!$E$15:$V$15, MATCH(YEAR(EOMONTH($A218,6)), 'I1 - Universal Data'!$E$14:$V$14, 0)))</f>
        <v>-</v>
      </c>
      <c r="H218" s="925" t="str">
        <f>IF($A218&lt;DATE(2018,7,1),"-",INDEX('I1 - Universal Data'!$E$17:$V$17, MATCH(YEAR(EOMONTH($A218,6)), 'I1 - Universal Data'!$E$14:$V$14, 0)))</f>
        <v>-</v>
      </c>
      <c r="I218" s="926">
        <f t="shared" si="21"/>
        <v>102.2</v>
      </c>
      <c r="J218" s="926">
        <f t="shared" si="21"/>
        <v>267.10000000000002</v>
      </c>
      <c r="K218" s="926">
        <f t="shared" si="21"/>
        <v>101.9</v>
      </c>
      <c r="X218" s="927"/>
    </row>
    <row r="219" spans="1:24">
      <c r="A219" s="922">
        <f t="shared" si="19"/>
        <v>42766</v>
      </c>
      <c r="B219" s="923">
        <f t="shared" si="18"/>
        <v>2017</v>
      </c>
      <c r="C219" s="924">
        <v>101.8</v>
      </c>
      <c r="D219" s="924">
        <v>265.5</v>
      </c>
      <c r="E219" s="924">
        <v>101.4</v>
      </c>
      <c r="F219" s="925" t="str">
        <f>IF($A219&lt;DATE(2018,7,1),"-",INDEX('I1 - Universal Data'!$E$16:$V$16, MATCH(YEAR(EOMONTH($A219,6)), 'I1 - Universal Data'!$E$14:$V$14, 0)))</f>
        <v>-</v>
      </c>
      <c r="G219" s="925" t="str">
        <f>IF($A219&lt;DATE(2018,7,1),"-",INDEX('I1 - Universal Data'!$E$15:$V$15, MATCH(YEAR(EOMONTH($A219,6)), 'I1 - Universal Data'!$E$14:$V$14, 0)))</f>
        <v>-</v>
      </c>
      <c r="H219" s="925" t="str">
        <f>IF($A219&lt;DATE(2018,7,1),"-",INDEX('I1 - Universal Data'!$E$17:$V$17, MATCH(YEAR(EOMONTH($A219,6)), 'I1 - Universal Data'!$E$14:$V$14, 0)))</f>
        <v>-</v>
      </c>
      <c r="I219" s="926">
        <f t="shared" si="21"/>
        <v>101.8</v>
      </c>
      <c r="J219" s="926">
        <f t="shared" si="21"/>
        <v>265.5</v>
      </c>
      <c r="K219" s="926">
        <f t="shared" si="21"/>
        <v>101.4</v>
      </c>
      <c r="X219" s="927"/>
    </row>
    <row r="220" spans="1:24">
      <c r="A220" s="922">
        <f t="shared" si="19"/>
        <v>42794</v>
      </c>
      <c r="B220" s="923">
        <f t="shared" si="18"/>
        <v>2017</v>
      </c>
      <c r="C220" s="924">
        <v>102.4</v>
      </c>
      <c r="D220" s="924">
        <v>268.39999999999998</v>
      </c>
      <c r="E220" s="924">
        <v>102.1</v>
      </c>
      <c r="F220" s="925" t="str">
        <f>IF($A220&lt;DATE(2018,7,1),"-",INDEX('I1 - Universal Data'!$E$16:$V$16, MATCH(YEAR(EOMONTH($A220,6)), 'I1 - Universal Data'!$E$14:$V$14, 0)))</f>
        <v>-</v>
      </c>
      <c r="G220" s="925" t="str">
        <f>IF($A220&lt;DATE(2018,7,1),"-",INDEX('I1 - Universal Data'!$E$15:$V$15, MATCH(YEAR(EOMONTH($A220,6)), 'I1 - Universal Data'!$E$14:$V$14, 0)))</f>
        <v>-</v>
      </c>
      <c r="H220" s="925" t="str">
        <f>IF($A220&lt;DATE(2018,7,1),"-",INDEX('I1 - Universal Data'!$E$17:$V$17, MATCH(YEAR(EOMONTH($A220,6)), 'I1 - Universal Data'!$E$14:$V$14, 0)))</f>
        <v>-</v>
      </c>
      <c r="I220" s="926">
        <f t="shared" si="21"/>
        <v>102.4</v>
      </c>
      <c r="J220" s="926">
        <f t="shared" si="21"/>
        <v>268.39999999999998</v>
      </c>
      <c r="K220" s="926">
        <f t="shared" si="21"/>
        <v>102.1</v>
      </c>
      <c r="X220" s="927"/>
    </row>
    <row r="221" spans="1:24">
      <c r="A221" s="922">
        <f t="shared" si="19"/>
        <v>42825</v>
      </c>
      <c r="B221" s="923">
        <f t="shared" si="18"/>
        <v>2017</v>
      </c>
      <c r="C221" s="924">
        <v>102.7</v>
      </c>
      <c r="D221" s="924">
        <v>269.3</v>
      </c>
      <c r="E221" s="924">
        <v>102.5</v>
      </c>
      <c r="F221" s="925" t="str">
        <f>IF($A221&lt;DATE(2018,7,1),"-",INDEX('I1 - Universal Data'!$E$16:$V$16, MATCH(YEAR(EOMONTH($A221,6)), 'I1 - Universal Data'!$E$14:$V$14, 0)))</f>
        <v>-</v>
      </c>
      <c r="G221" s="925" t="str">
        <f>IF($A221&lt;DATE(2018,7,1),"-",INDEX('I1 - Universal Data'!$E$15:$V$15, MATCH(YEAR(EOMONTH($A221,6)), 'I1 - Universal Data'!$E$14:$V$14, 0)))</f>
        <v>-</v>
      </c>
      <c r="H221" s="925" t="str">
        <f>IF($A221&lt;DATE(2018,7,1),"-",INDEX('I1 - Universal Data'!$E$17:$V$17, MATCH(YEAR(EOMONTH($A221,6)), 'I1 - Universal Data'!$E$14:$V$14, 0)))</f>
        <v>-</v>
      </c>
      <c r="I221" s="926">
        <f t="shared" si="21"/>
        <v>102.7</v>
      </c>
      <c r="J221" s="926">
        <f t="shared" si="21"/>
        <v>269.3</v>
      </c>
      <c r="K221" s="926">
        <f t="shared" si="21"/>
        <v>102.5</v>
      </c>
      <c r="X221" s="927"/>
    </row>
    <row r="222" spans="1:24">
      <c r="A222" s="922">
        <f t="shared" si="19"/>
        <v>42855</v>
      </c>
      <c r="B222" s="923">
        <f t="shared" si="18"/>
        <v>2018</v>
      </c>
      <c r="C222" s="924">
        <v>103.2</v>
      </c>
      <c r="D222" s="924">
        <v>270.60000000000002</v>
      </c>
      <c r="E222" s="924">
        <v>102.9</v>
      </c>
      <c r="F222" s="925" t="str">
        <f>IF($A222&lt;DATE(2018,7,1),"-",INDEX('I1 - Universal Data'!$E$16:$V$16, MATCH(YEAR(EOMONTH($A222,6)), 'I1 - Universal Data'!$E$14:$V$14, 0)))</f>
        <v>-</v>
      </c>
      <c r="G222" s="925" t="str">
        <f>IF($A222&lt;DATE(2018,7,1),"-",INDEX('I1 - Universal Data'!$E$15:$V$15, MATCH(YEAR(EOMONTH($A222,6)), 'I1 - Universal Data'!$E$14:$V$14, 0)))</f>
        <v>-</v>
      </c>
      <c r="H222" s="925" t="str">
        <f>IF($A222&lt;DATE(2018,7,1),"-",INDEX('I1 - Universal Data'!$E$17:$V$17, MATCH(YEAR(EOMONTH($A222,6)), 'I1 - Universal Data'!$E$14:$V$14, 0)))</f>
        <v>-</v>
      </c>
      <c r="I222" s="926">
        <f t="shared" si="21"/>
        <v>103.2</v>
      </c>
      <c r="J222" s="926">
        <f t="shared" si="21"/>
        <v>270.60000000000002</v>
      </c>
      <c r="K222" s="926">
        <f t="shared" si="21"/>
        <v>102.9</v>
      </c>
      <c r="X222" s="927"/>
    </row>
    <row r="223" spans="1:24">
      <c r="A223" s="922">
        <f t="shared" si="19"/>
        <v>42886</v>
      </c>
      <c r="B223" s="923">
        <f t="shared" si="18"/>
        <v>2018</v>
      </c>
      <c r="C223" s="924">
        <v>103.5</v>
      </c>
      <c r="D223" s="924">
        <v>271.7</v>
      </c>
      <c r="E223" s="924">
        <v>103.3</v>
      </c>
      <c r="F223" s="925" t="str">
        <f>IF($A223&lt;DATE(2018,7,1),"-",INDEX('I1 - Universal Data'!$E$16:$V$16, MATCH(YEAR(EOMONTH($A223,6)), 'I1 - Universal Data'!$E$14:$V$14, 0)))</f>
        <v>-</v>
      </c>
      <c r="G223" s="925" t="str">
        <f>IF($A223&lt;DATE(2018,7,1),"-",INDEX('I1 - Universal Data'!$E$15:$V$15, MATCH(YEAR(EOMONTH($A223,6)), 'I1 - Universal Data'!$E$14:$V$14, 0)))</f>
        <v>-</v>
      </c>
      <c r="H223" s="925" t="str">
        <f>IF($A223&lt;DATE(2018,7,1),"-",INDEX('I1 - Universal Data'!$E$17:$V$17, MATCH(YEAR(EOMONTH($A223,6)), 'I1 - Universal Data'!$E$14:$V$14, 0)))</f>
        <v>-</v>
      </c>
      <c r="I223" s="926">
        <f t="shared" si="21"/>
        <v>103.5</v>
      </c>
      <c r="J223" s="926">
        <f t="shared" si="21"/>
        <v>271.7</v>
      </c>
      <c r="K223" s="926">
        <f t="shared" si="21"/>
        <v>103.3</v>
      </c>
      <c r="X223" s="927"/>
    </row>
    <row r="224" spans="1:24">
      <c r="A224" s="922">
        <f t="shared" si="19"/>
        <v>42916</v>
      </c>
      <c r="B224" s="923">
        <f t="shared" si="18"/>
        <v>2018</v>
      </c>
      <c r="C224" s="924">
        <v>103.5</v>
      </c>
      <c r="D224" s="924">
        <v>272.3</v>
      </c>
      <c r="E224" s="924">
        <v>103.3</v>
      </c>
      <c r="F224" s="925" t="str">
        <f>IF($A224&lt;DATE(2018,7,1),"-",INDEX('I1 - Universal Data'!$E$16:$V$16, MATCH(YEAR(EOMONTH($A224,6)), 'I1 - Universal Data'!$E$14:$V$14, 0)))</f>
        <v>-</v>
      </c>
      <c r="G224" s="925" t="str">
        <f>IF($A224&lt;DATE(2018,7,1),"-",INDEX('I1 - Universal Data'!$E$15:$V$15, MATCH(YEAR(EOMONTH($A224,6)), 'I1 - Universal Data'!$E$14:$V$14, 0)))</f>
        <v>-</v>
      </c>
      <c r="H224" s="925" t="str">
        <f>IF($A224&lt;DATE(2018,7,1),"-",INDEX('I1 - Universal Data'!$E$17:$V$17, MATCH(YEAR(EOMONTH($A224,6)), 'I1 - Universal Data'!$E$14:$V$14, 0)))</f>
        <v>-</v>
      </c>
      <c r="I224" s="926">
        <f t="shared" si="21"/>
        <v>103.5</v>
      </c>
      <c r="J224" s="926">
        <f t="shared" si="21"/>
        <v>272.3</v>
      </c>
      <c r="K224" s="926">
        <f t="shared" si="21"/>
        <v>103.3</v>
      </c>
      <c r="X224" s="927"/>
    </row>
    <row r="225" spans="1:24">
      <c r="A225" s="922">
        <f t="shared" si="19"/>
        <v>42947</v>
      </c>
      <c r="B225" s="923">
        <f t="shared" si="18"/>
        <v>2018</v>
      </c>
      <c r="C225" s="924">
        <v>103.5</v>
      </c>
      <c r="D225" s="924">
        <v>272.89999999999998</v>
      </c>
      <c r="E225" s="924">
        <v>103.2</v>
      </c>
      <c r="F225" s="925" t="str">
        <f>IF($A225&lt;DATE(2018,7,1),"-",INDEX('I1 - Universal Data'!$E$16:$V$16, MATCH(YEAR(EOMONTH($A225,6)), 'I1 - Universal Data'!$E$14:$V$14, 0)))</f>
        <v>-</v>
      </c>
      <c r="G225" s="925" t="str">
        <f>IF($A225&lt;DATE(2018,7,1),"-",INDEX('I1 - Universal Data'!$E$15:$V$15, MATCH(YEAR(EOMONTH($A225,6)), 'I1 - Universal Data'!$E$14:$V$14, 0)))</f>
        <v>-</v>
      </c>
      <c r="H225" s="925" t="str">
        <f>IF($A225&lt;DATE(2018,7,1),"-",INDEX('I1 - Universal Data'!$E$17:$V$17, MATCH(YEAR(EOMONTH($A225,6)), 'I1 - Universal Data'!$E$14:$V$14, 0)))</f>
        <v>-</v>
      </c>
      <c r="I225" s="926">
        <f t="shared" si="21"/>
        <v>103.5</v>
      </c>
      <c r="J225" s="926">
        <f t="shared" si="21"/>
        <v>272.89999999999998</v>
      </c>
      <c r="K225" s="926">
        <f t="shared" si="21"/>
        <v>103.2</v>
      </c>
      <c r="X225" s="927"/>
    </row>
    <row r="226" spans="1:24">
      <c r="A226" s="922">
        <f t="shared" si="19"/>
        <v>42978</v>
      </c>
      <c r="B226" s="923">
        <f t="shared" si="18"/>
        <v>2018</v>
      </c>
      <c r="C226" s="924">
        <v>104</v>
      </c>
      <c r="D226" s="924">
        <v>274.7</v>
      </c>
      <c r="E226" s="924">
        <v>103.8</v>
      </c>
      <c r="F226" s="925" t="str">
        <f>IF($A226&lt;DATE(2018,7,1),"-",INDEX('I1 - Universal Data'!$E$16:$V$16, MATCH(YEAR(EOMONTH($A226,6)), 'I1 - Universal Data'!$E$14:$V$14, 0)))</f>
        <v>-</v>
      </c>
      <c r="G226" s="925" t="str">
        <f>IF($A226&lt;DATE(2018,7,1),"-",INDEX('I1 - Universal Data'!$E$15:$V$15, MATCH(YEAR(EOMONTH($A226,6)), 'I1 - Universal Data'!$E$14:$V$14, 0)))</f>
        <v>-</v>
      </c>
      <c r="H226" s="925" t="str">
        <f>IF($A226&lt;DATE(2018,7,1),"-",INDEX('I1 - Universal Data'!$E$17:$V$17, MATCH(YEAR(EOMONTH($A226,6)), 'I1 - Universal Data'!$E$14:$V$14, 0)))</f>
        <v>-</v>
      </c>
      <c r="I226" s="926">
        <f t="shared" si="21"/>
        <v>104</v>
      </c>
      <c r="J226" s="926">
        <f t="shared" si="21"/>
        <v>274.7</v>
      </c>
      <c r="K226" s="926">
        <f t="shared" si="21"/>
        <v>103.8</v>
      </c>
      <c r="X226" s="927"/>
    </row>
    <row r="227" spans="1:24">
      <c r="A227" s="922">
        <f t="shared" si="19"/>
        <v>43008</v>
      </c>
      <c r="B227" s="923">
        <f t="shared" si="18"/>
        <v>2018</v>
      </c>
      <c r="C227" s="924">
        <v>104.3</v>
      </c>
      <c r="D227" s="924">
        <v>275.10000000000002</v>
      </c>
      <c r="E227" s="924">
        <v>104.1</v>
      </c>
      <c r="F227" s="925" t="str">
        <f>IF($A227&lt;DATE(2018,7,1),"-",INDEX('I1 - Universal Data'!$E$16:$V$16, MATCH(YEAR(EOMONTH($A227,6)), 'I1 - Universal Data'!$E$14:$V$14, 0)))</f>
        <v>-</v>
      </c>
      <c r="G227" s="925" t="str">
        <f>IF($A227&lt;DATE(2018,7,1),"-",INDEX('I1 - Universal Data'!$E$15:$V$15, MATCH(YEAR(EOMONTH($A227,6)), 'I1 - Universal Data'!$E$14:$V$14, 0)))</f>
        <v>-</v>
      </c>
      <c r="H227" s="925" t="str">
        <f>IF($A227&lt;DATE(2018,7,1),"-",INDEX('I1 - Universal Data'!$E$17:$V$17, MATCH(YEAR(EOMONTH($A227,6)), 'I1 - Universal Data'!$E$14:$V$14, 0)))</f>
        <v>-</v>
      </c>
      <c r="I227" s="926">
        <f t="shared" si="21"/>
        <v>104.3</v>
      </c>
      <c r="J227" s="926">
        <f t="shared" si="21"/>
        <v>275.10000000000002</v>
      </c>
      <c r="K227" s="926">
        <f t="shared" si="21"/>
        <v>104.1</v>
      </c>
      <c r="X227" s="927"/>
    </row>
    <row r="228" spans="1:24">
      <c r="A228" s="922">
        <f t="shared" si="19"/>
        <v>43039</v>
      </c>
      <c r="B228" s="923">
        <f t="shared" si="18"/>
        <v>2018</v>
      </c>
      <c r="C228" s="924">
        <v>104.4</v>
      </c>
      <c r="D228" s="924">
        <v>275.3</v>
      </c>
      <c r="E228" s="924">
        <v>104.2</v>
      </c>
      <c r="F228" s="925" t="str">
        <f>IF($A228&lt;DATE(2018,7,1),"-",INDEX('I1 - Universal Data'!$E$16:$V$16, MATCH(YEAR(EOMONTH($A228,6)), 'I1 - Universal Data'!$E$14:$V$14, 0)))</f>
        <v>-</v>
      </c>
      <c r="G228" s="925" t="str">
        <f>IF($A228&lt;DATE(2018,7,1),"-",INDEX('I1 - Universal Data'!$E$15:$V$15, MATCH(YEAR(EOMONTH($A228,6)), 'I1 - Universal Data'!$E$14:$V$14, 0)))</f>
        <v>-</v>
      </c>
      <c r="H228" s="925" t="str">
        <f>IF($A228&lt;DATE(2018,7,1),"-",INDEX('I1 - Universal Data'!$E$17:$V$17, MATCH(YEAR(EOMONTH($A228,6)), 'I1 - Universal Data'!$E$14:$V$14, 0)))</f>
        <v>-</v>
      </c>
      <c r="I228" s="926">
        <f t="shared" si="21"/>
        <v>104.4</v>
      </c>
      <c r="J228" s="926">
        <f t="shared" si="21"/>
        <v>275.3</v>
      </c>
      <c r="K228" s="926">
        <f t="shared" si="21"/>
        <v>104.2</v>
      </c>
      <c r="X228" s="927"/>
    </row>
    <row r="229" spans="1:24">
      <c r="A229" s="922">
        <f t="shared" si="19"/>
        <v>43069</v>
      </c>
      <c r="B229" s="923">
        <f t="shared" si="18"/>
        <v>2018</v>
      </c>
      <c r="C229" s="924">
        <v>104.7</v>
      </c>
      <c r="D229" s="924">
        <v>275.8</v>
      </c>
      <c r="E229" s="924">
        <v>104.6</v>
      </c>
      <c r="F229" s="925" t="str">
        <f>IF($A229&lt;DATE(2018,7,1),"-",INDEX('I1 - Universal Data'!$E$16:$V$16, MATCH(YEAR(EOMONTH($A229,6)), 'I1 - Universal Data'!$E$14:$V$14, 0)))</f>
        <v>-</v>
      </c>
      <c r="G229" s="925" t="str">
        <f>IF($A229&lt;DATE(2018,7,1),"-",INDEX('I1 - Universal Data'!$E$15:$V$15, MATCH(YEAR(EOMONTH($A229,6)), 'I1 - Universal Data'!$E$14:$V$14, 0)))</f>
        <v>-</v>
      </c>
      <c r="H229" s="925" t="str">
        <f>IF($A229&lt;DATE(2018,7,1),"-",INDEX('I1 - Universal Data'!$E$17:$V$17, MATCH(YEAR(EOMONTH($A229,6)), 'I1 - Universal Data'!$E$14:$V$14, 0)))</f>
        <v>-</v>
      </c>
      <c r="I229" s="926">
        <f t="shared" si="21"/>
        <v>104.7</v>
      </c>
      <c r="J229" s="926">
        <f t="shared" si="21"/>
        <v>275.8</v>
      </c>
      <c r="K229" s="926">
        <f t="shared" si="21"/>
        <v>104.6</v>
      </c>
      <c r="X229" s="927"/>
    </row>
    <row r="230" spans="1:24">
      <c r="A230" s="922">
        <f t="shared" si="19"/>
        <v>43100</v>
      </c>
      <c r="B230" s="923">
        <f t="shared" si="18"/>
        <v>2018</v>
      </c>
      <c r="C230" s="924">
        <v>105</v>
      </c>
      <c r="D230" s="924">
        <v>278.10000000000002</v>
      </c>
      <c r="E230" s="924">
        <v>104.9</v>
      </c>
      <c r="F230" s="925" t="str">
        <f>IF($A230&lt;DATE(2018,7,1),"-",INDEX('I1 - Universal Data'!$E$16:$V$16, MATCH(YEAR(EOMONTH($A230,6)), 'I1 - Universal Data'!$E$14:$V$14, 0)))</f>
        <v>-</v>
      </c>
      <c r="G230" s="925" t="str">
        <f>IF($A230&lt;DATE(2018,7,1),"-",INDEX('I1 - Universal Data'!$E$15:$V$15, MATCH(YEAR(EOMONTH($A230,6)), 'I1 - Universal Data'!$E$14:$V$14, 0)))</f>
        <v>-</v>
      </c>
      <c r="H230" s="925" t="str">
        <f>IF($A230&lt;DATE(2018,7,1),"-",INDEX('I1 - Universal Data'!$E$17:$V$17, MATCH(YEAR(EOMONTH($A230,6)), 'I1 - Universal Data'!$E$14:$V$14, 0)))</f>
        <v>-</v>
      </c>
      <c r="I230" s="926">
        <f t="shared" si="21"/>
        <v>105</v>
      </c>
      <c r="J230" s="926">
        <f t="shared" si="21"/>
        <v>278.10000000000002</v>
      </c>
      <c r="K230" s="926">
        <f t="shared" si="21"/>
        <v>104.9</v>
      </c>
      <c r="X230" s="927"/>
    </row>
    <row r="231" spans="1:24">
      <c r="A231" s="922">
        <f t="shared" si="19"/>
        <v>43131</v>
      </c>
      <c r="B231" s="923">
        <f t="shared" si="18"/>
        <v>2018</v>
      </c>
      <c r="C231" s="924">
        <v>104.5</v>
      </c>
      <c r="D231" s="924">
        <v>276</v>
      </c>
      <c r="E231" s="924">
        <v>104.4</v>
      </c>
      <c r="F231" s="925" t="str">
        <f>IF($A231&lt;DATE(2018,7,1),"-",INDEX('I1 - Universal Data'!$E$16:$V$16, MATCH(YEAR(EOMONTH($A231,6)), 'I1 - Universal Data'!$E$14:$V$14, 0)))</f>
        <v>-</v>
      </c>
      <c r="G231" s="925" t="str">
        <f>IF($A231&lt;DATE(2018,7,1),"-",INDEX('I1 - Universal Data'!$E$15:$V$15, MATCH(YEAR(EOMONTH($A231,6)), 'I1 - Universal Data'!$E$14:$V$14, 0)))</f>
        <v>-</v>
      </c>
      <c r="H231" s="925" t="str">
        <f>IF($A231&lt;DATE(2018,7,1),"-",INDEX('I1 - Universal Data'!$E$17:$V$17, MATCH(YEAR(EOMONTH($A231,6)), 'I1 - Universal Data'!$E$14:$V$14, 0)))</f>
        <v>-</v>
      </c>
      <c r="I231" s="926">
        <f t="shared" ref="I231:K246" si="22">IF(ISBLANK(C231),I230*((1+F231)^(1/12)),C231)</f>
        <v>104.5</v>
      </c>
      <c r="J231" s="926">
        <f t="shared" si="22"/>
        <v>276</v>
      </c>
      <c r="K231" s="926">
        <f t="shared" si="22"/>
        <v>104.4</v>
      </c>
      <c r="X231" s="927"/>
    </row>
    <row r="232" spans="1:24">
      <c r="A232" s="922">
        <f t="shared" si="19"/>
        <v>43159</v>
      </c>
      <c r="B232" s="923">
        <f t="shared" si="18"/>
        <v>2018</v>
      </c>
      <c r="C232" s="924">
        <v>104.9</v>
      </c>
      <c r="D232" s="924">
        <v>278.10000000000002</v>
      </c>
      <c r="E232" s="924">
        <v>104.9</v>
      </c>
      <c r="F232" s="925" t="str">
        <f>IF($A232&lt;DATE(2018,7,1),"-",INDEX('I1 - Universal Data'!$E$16:$V$16, MATCH(YEAR(EOMONTH($A232,6)), 'I1 - Universal Data'!$E$14:$V$14, 0)))</f>
        <v>-</v>
      </c>
      <c r="G232" s="925" t="str">
        <f>IF($A232&lt;DATE(2018,7,1),"-",INDEX('I1 - Universal Data'!$E$15:$V$15, MATCH(YEAR(EOMONTH($A232,6)), 'I1 - Universal Data'!$E$14:$V$14, 0)))</f>
        <v>-</v>
      </c>
      <c r="H232" s="925" t="str">
        <f>IF($A232&lt;DATE(2018,7,1),"-",INDEX('I1 - Universal Data'!$E$17:$V$17, MATCH(YEAR(EOMONTH($A232,6)), 'I1 - Universal Data'!$E$14:$V$14, 0)))</f>
        <v>-</v>
      </c>
      <c r="I232" s="926">
        <f t="shared" si="22"/>
        <v>104.9</v>
      </c>
      <c r="J232" s="926">
        <f t="shared" si="22"/>
        <v>278.10000000000002</v>
      </c>
      <c r="K232" s="926">
        <f t="shared" si="22"/>
        <v>104.9</v>
      </c>
      <c r="X232" s="927"/>
    </row>
    <row r="233" spans="1:24">
      <c r="A233" s="922">
        <f t="shared" si="19"/>
        <v>43190</v>
      </c>
      <c r="B233" s="923">
        <f t="shared" si="18"/>
        <v>2018</v>
      </c>
      <c r="C233" s="924">
        <v>105.1</v>
      </c>
      <c r="D233" s="924">
        <v>278.3</v>
      </c>
      <c r="E233" s="924">
        <v>105</v>
      </c>
      <c r="F233" s="925" t="str">
        <f>IF($A233&lt;DATE(2018,7,1),"-",INDEX('I1 - Universal Data'!$E$16:$V$16, MATCH(YEAR(EOMONTH($A233,6)), 'I1 - Universal Data'!$E$14:$V$14, 0)))</f>
        <v>-</v>
      </c>
      <c r="G233" s="925" t="str">
        <f>IF($A233&lt;DATE(2018,7,1),"-",INDEX('I1 - Universal Data'!$E$15:$V$15, MATCH(YEAR(EOMONTH($A233,6)), 'I1 - Universal Data'!$E$14:$V$14, 0)))</f>
        <v>-</v>
      </c>
      <c r="H233" s="925" t="str">
        <f>IF($A233&lt;DATE(2018,7,1),"-",INDEX('I1 - Universal Data'!$E$17:$V$17, MATCH(YEAR(EOMONTH($A233,6)), 'I1 - Universal Data'!$E$14:$V$14, 0)))</f>
        <v>-</v>
      </c>
      <c r="I233" s="926">
        <f t="shared" si="22"/>
        <v>105.1</v>
      </c>
      <c r="J233" s="926">
        <f t="shared" si="22"/>
        <v>278.3</v>
      </c>
      <c r="K233" s="926">
        <f t="shared" si="22"/>
        <v>105</v>
      </c>
      <c r="X233" s="927"/>
    </row>
    <row r="234" spans="1:24">
      <c r="A234" s="922">
        <f t="shared" si="19"/>
        <v>43220</v>
      </c>
      <c r="B234" s="923">
        <f t="shared" si="18"/>
        <v>2019</v>
      </c>
      <c r="C234" s="924">
        <v>105.5</v>
      </c>
      <c r="D234" s="924">
        <v>279.7</v>
      </c>
      <c r="E234" s="924">
        <v>105.4</v>
      </c>
      <c r="F234" s="925" t="str">
        <f>IF($A234&lt;DATE(2018,7,1),"-",INDEX('I1 - Universal Data'!$E$16:$V$16, MATCH(YEAR(EOMONTH($A234,6)), 'I1 - Universal Data'!$E$14:$V$14, 0)))</f>
        <v>-</v>
      </c>
      <c r="G234" s="925" t="str">
        <f>IF($A234&lt;DATE(2018,7,1),"-",INDEX('I1 - Universal Data'!$E$15:$V$15, MATCH(YEAR(EOMONTH($A234,6)), 'I1 - Universal Data'!$E$14:$V$14, 0)))</f>
        <v>-</v>
      </c>
      <c r="H234" s="925" t="str">
        <f>IF($A234&lt;DATE(2018,7,1),"-",INDEX('I1 - Universal Data'!$E$17:$V$17, MATCH(YEAR(EOMONTH($A234,6)), 'I1 - Universal Data'!$E$14:$V$14, 0)))</f>
        <v>-</v>
      </c>
      <c r="I234" s="926">
        <f t="shared" si="22"/>
        <v>105.5</v>
      </c>
      <c r="J234" s="926">
        <f t="shared" si="22"/>
        <v>279.7</v>
      </c>
      <c r="K234" s="926">
        <f t="shared" si="22"/>
        <v>105.4</v>
      </c>
      <c r="X234" s="927"/>
    </row>
    <row r="235" spans="1:24">
      <c r="A235" s="922">
        <f t="shared" si="19"/>
        <v>43251</v>
      </c>
      <c r="B235" s="923">
        <f t="shared" si="18"/>
        <v>2019</v>
      </c>
      <c r="C235" s="924">
        <v>105.9</v>
      </c>
      <c r="D235" s="924">
        <v>280.7</v>
      </c>
      <c r="E235" s="924">
        <v>105.8</v>
      </c>
      <c r="F235" s="925" t="str">
        <f>IF($A235&lt;DATE(2018,7,1),"-",INDEX('I1 - Universal Data'!$E$16:$V$16, MATCH(YEAR(EOMONTH($A235,6)), 'I1 - Universal Data'!$E$14:$V$14, 0)))</f>
        <v>-</v>
      </c>
      <c r="G235" s="925" t="str">
        <f>IF($A235&lt;DATE(2018,7,1),"-",INDEX('I1 - Universal Data'!$E$15:$V$15, MATCH(YEAR(EOMONTH($A235,6)), 'I1 - Universal Data'!$E$14:$V$14, 0)))</f>
        <v>-</v>
      </c>
      <c r="H235" s="925" t="str">
        <f>IF($A235&lt;DATE(2018,7,1),"-",INDEX('I1 - Universal Data'!$E$17:$V$17, MATCH(YEAR(EOMONTH($A235,6)), 'I1 - Universal Data'!$E$14:$V$14, 0)))</f>
        <v>-</v>
      </c>
      <c r="I235" s="926">
        <f t="shared" si="22"/>
        <v>105.9</v>
      </c>
      <c r="J235" s="926">
        <f t="shared" si="22"/>
        <v>280.7</v>
      </c>
      <c r="K235" s="926">
        <f t="shared" si="22"/>
        <v>105.8</v>
      </c>
      <c r="X235" s="927"/>
    </row>
    <row r="236" spans="1:24">
      <c r="A236" s="922">
        <f t="shared" si="19"/>
        <v>43281</v>
      </c>
      <c r="B236" s="923">
        <f t="shared" si="18"/>
        <v>2019</v>
      </c>
      <c r="C236" s="924">
        <v>105.9</v>
      </c>
      <c r="D236" s="924">
        <v>281.5</v>
      </c>
      <c r="E236" s="924">
        <v>105.8</v>
      </c>
      <c r="F236" s="925" t="str">
        <f>IF($A236&lt;DATE(2018,7,1),"-",INDEX('I1 - Universal Data'!$E$16:$V$16, MATCH(YEAR(EOMONTH($A236,6)), 'I1 - Universal Data'!$E$14:$V$14, 0)))</f>
        <v>-</v>
      </c>
      <c r="G236" s="925" t="str">
        <f>IF($A236&lt;DATE(2018,7,1),"-",INDEX('I1 - Universal Data'!$E$15:$V$15, MATCH(YEAR(EOMONTH($A236,6)), 'I1 - Universal Data'!$E$14:$V$14, 0)))</f>
        <v>-</v>
      </c>
      <c r="H236" s="925" t="str">
        <f>IF($A236&lt;DATE(2018,7,1),"-",INDEX('I1 - Universal Data'!$E$17:$V$17, MATCH(YEAR(EOMONTH($A236,6)), 'I1 - Universal Data'!$E$14:$V$14, 0)))</f>
        <v>-</v>
      </c>
      <c r="I236" s="926">
        <f t="shared" si="22"/>
        <v>105.9</v>
      </c>
      <c r="J236" s="926">
        <f t="shared" si="22"/>
        <v>281.5</v>
      </c>
      <c r="K236" s="926">
        <f t="shared" si="22"/>
        <v>105.8</v>
      </c>
      <c r="X236" s="927"/>
    </row>
    <row r="237" spans="1:24">
      <c r="A237" s="922">
        <f t="shared" si="19"/>
        <v>43312</v>
      </c>
      <c r="B237" s="923">
        <f t="shared" si="18"/>
        <v>2019</v>
      </c>
      <c r="C237" s="924">
        <v>105.9</v>
      </c>
      <c r="D237" s="924">
        <v>281.7</v>
      </c>
      <c r="E237" s="924">
        <v>105.8</v>
      </c>
      <c r="F237" s="925">
        <f>IF($A237&lt;DATE(2018,7,1),"-",INDEX('I1 - Universal Data'!$E$16:$V$16, MATCH(YEAR(EOMONTH($A237,6)), 'I1 - Universal Data'!$E$14:$V$14, 0)))</f>
        <v>1.7381044449375382E-2</v>
      </c>
      <c r="G237" s="925">
        <f>IF($A237&lt;DATE(2018,7,1),"-",INDEX('I1 - Universal Data'!$E$15:$V$15, MATCH(YEAR(EOMONTH($A237,6)), 'I1 - Universal Data'!$E$14:$V$14, 0)))</f>
        <v>2.5628884588821732E-2</v>
      </c>
      <c r="H237" s="925">
        <f>IF($A237&lt;DATE(2018,7,1),"-",INDEX('I1 - Universal Data'!$E$17:$V$17, MATCH(YEAR(EOMONTH($A237,6)), 'I1 - Universal Data'!$E$14:$V$14, 0)))</f>
        <v>1.7910205867057716E-2</v>
      </c>
      <c r="I237" s="926">
        <f t="shared" si="22"/>
        <v>105.9</v>
      </c>
      <c r="J237" s="926">
        <f t="shared" si="22"/>
        <v>281.7</v>
      </c>
      <c r="K237" s="926">
        <f t="shared" si="22"/>
        <v>105.8</v>
      </c>
      <c r="X237" s="927"/>
    </row>
    <row r="238" spans="1:24">
      <c r="A238" s="922">
        <f t="shared" si="19"/>
        <v>43343</v>
      </c>
      <c r="B238" s="923">
        <f t="shared" si="18"/>
        <v>2019</v>
      </c>
      <c r="C238" s="924">
        <v>106.5</v>
      </c>
      <c r="D238" s="924">
        <v>284.2</v>
      </c>
      <c r="E238" s="924">
        <v>106.5</v>
      </c>
      <c r="F238" s="925">
        <f>IF($A238&lt;DATE(2018,7,1),"-",INDEX('I1 - Universal Data'!$E$16:$V$16, MATCH(YEAR(EOMONTH($A238,6)), 'I1 - Universal Data'!$E$14:$V$14, 0)))</f>
        <v>1.7381044449375382E-2</v>
      </c>
      <c r="G238" s="925">
        <f>IF($A238&lt;DATE(2018,7,1),"-",INDEX('I1 - Universal Data'!$E$15:$V$15, MATCH(YEAR(EOMONTH($A238,6)), 'I1 - Universal Data'!$E$14:$V$14, 0)))</f>
        <v>2.5628884588821732E-2</v>
      </c>
      <c r="H238" s="925">
        <f>IF($A238&lt;DATE(2018,7,1),"-",INDEX('I1 - Universal Data'!$E$17:$V$17, MATCH(YEAR(EOMONTH($A238,6)), 'I1 - Universal Data'!$E$14:$V$14, 0)))</f>
        <v>1.7910205867057716E-2</v>
      </c>
      <c r="I238" s="926">
        <f t="shared" si="22"/>
        <v>106.5</v>
      </c>
      <c r="J238" s="926">
        <f t="shared" si="22"/>
        <v>284.2</v>
      </c>
      <c r="K238" s="926">
        <f t="shared" si="22"/>
        <v>106.5</v>
      </c>
      <c r="X238" s="927"/>
    </row>
    <row r="239" spans="1:24">
      <c r="A239" s="922">
        <f t="shared" si="19"/>
        <v>43373</v>
      </c>
      <c r="B239" s="923">
        <f t="shared" si="18"/>
        <v>2019</v>
      </c>
      <c r="C239" s="924">
        <v>106.6</v>
      </c>
      <c r="D239" s="924">
        <v>284.10000000000002</v>
      </c>
      <c r="E239" s="924">
        <v>106.6</v>
      </c>
      <c r="F239" s="925">
        <f>IF($A239&lt;DATE(2018,7,1),"-",INDEX('I1 - Universal Data'!$E$16:$V$16, MATCH(YEAR(EOMONTH($A239,6)), 'I1 - Universal Data'!$E$14:$V$14, 0)))</f>
        <v>1.7381044449375382E-2</v>
      </c>
      <c r="G239" s="925">
        <f>IF($A239&lt;DATE(2018,7,1),"-",INDEX('I1 - Universal Data'!$E$15:$V$15, MATCH(YEAR(EOMONTH($A239,6)), 'I1 - Universal Data'!$E$14:$V$14, 0)))</f>
        <v>2.5628884588821732E-2</v>
      </c>
      <c r="H239" s="925">
        <f>IF($A239&lt;DATE(2018,7,1),"-",INDEX('I1 - Universal Data'!$E$17:$V$17, MATCH(YEAR(EOMONTH($A239,6)), 'I1 - Universal Data'!$E$14:$V$14, 0)))</f>
        <v>1.7910205867057716E-2</v>
      </c>
      <c r="I239" s="926">
        <f t="shared" si="22"/>
        <v>106.6</v>
      </c>
      <c r="J239" s="926">
        <f t="shared" si="22"/>
        <v>284.10000000000002</v>
      </c>
      <c r="K239" s="926">
        <f t="shared" si="22"/>
        <v>106.6</v>
      </c>
      <c r="X239" s="927"/>
    </row>
    <row r="240" spans="1:24">
      <c r="A240" s="922">
        <f t="shared" si="19"/>
        <v>43404</v>
      </c>
      <c r="B240" s="923">
        <f t="shared" si="18"/>
        <v>2019</v>
      </c>
      <c r="C240" s="924">
        <v>106.7</v>
      </c>
      <c r="D240" s="924">
        <v>284.5</v>
      </c>
      <c r="E240" s="924">
        <v>106.7</v>
      </c>
      <c r="F240" s="925">
        <f>IF($A240&lt;DATE(2018,7,1),"-",INDEX('I1 - Universal Data'!$E$16:$V$16, MATCH(YEAR(EOMONTH($A240,6)), 'I1 - Universal Data'!$E$14:$V$14, 0)))</f>
        <v>1.7381044449375382E-2</v>
      </c>
      <c r="G240" s="925">
        <f>IF($A240&lt;DATE(2018,7,1),"-",INDEX('I1 - Universal Data'!$E$15:$V$15, MATCH(YEAR(EOMONTH($A240,6)), 'I1 - Universal Data'!$E$14:$V$14, 0)))</f>
        <v>2.5628884588821732E-2</v>
      </c>
      <c r="H240" s="925">
        <f>IF($A240&lt;DATE(2018,7,1),"-",INDEX('I1 - Universal Data'!$E$17:$V$17, MATCH(YEAR(EOMONTH($A240,6)), 'I1 - Universal Data'!$E$14:$V$14, 0)))</f>
        <v>1.7910205867057716E-2</v>
      </c>
      <c r="I240" s="926">
        <f t="shared" si="22"/>
        <v>106.7</v>
      </c>
      <c r="J240" s="926">
        <f t="shared" si="22"/>
        <v>284.5</v>
      </c>
      <c r="K240" s="926">
        <f t="shared" si="22"/>
        <v>106.7</v>
      </c>
      <c r="X240" s="927"/>
    </row>
    <row r="241" spans="1:24">
      <c r="A241" s="922">
        <f t="shared" si="19"/>
        <v>43434</v>
      </c>
      <c r="B241" s="923">
        <f t="shared" si="18"/>
        <v>2019</v>
      </c>
      <c r="C241" s="924">
        <v>106.9</v>
      </c>
      <c r="D241" s="924">
        <v>284.60000000000002</v>
      </c>
      <c r="E241" s="924">
        <v>107</v>
      </c>
      <c r="F241" s="925">
        <f>IF($A241&lt;DATE(2018,7,1),"-",INDEX('I1 - Universal Data'!$E$16:$V$16, MATCH(YEAR(EOMONTH($A241,6)), 'I1 - Universal Data'!$E$14:$V$14, 0)))</f>
        <v>1.7381044449375382E-2</v>
      </c>
      <c r="G241" s="925">
        <f>IF($A241&lt;DATE(2018,7,1),"-",INDEX('I1 - Universal Data'!$E$15:$V$15, MATCH(YEAR(EOMONTH($A241,6)), 'I1 - Universal Data'!$E$14:$V$14, 0)))</f>
        <v>2.5628884588821732E-2</v>
      </c>
      <c r="H241" s="925">
        <f>IF($A241&lt;DATE(2018,7,1),"-",INDEX('I1 - Universal Data'!$E$17:$V$17, MATCH(YEAR(EOMONTH($A241,6)), 'I1 - Universal Data'!$E$14:$V$14, 0)))</f>
        <v>1.7910205867057716E-2</v>
      </c>
      <c r="I241" s="926">
        <f t="shared" si="22"/>
        <v>106.9</v>
      </c>
      <c r="J241" s="926">
        <f t="shared" si="22"/>
        <v>284.60000000000002</v>
      </c>
      <c r="K241" s="926">
        <f t="shared" si="22"/>
        <v>107</v>
      </c>
      <c r="X241" s="927"/>
    </row>
    <row r="242" spans="1:24">
      <c r="A242" s="922">
        <f t="shared" si="19"/>
        <v>43465</v>
      </c>
      <c r="B242" s="923">
        <f t="shared" si="18"/>
        <v>2019</v>
      </c>
      <c r="C242" s="924">
        <v>107.1</v>
      </c>
      <c r="D242" s="924">
        <v>285.60000000000002</v>
      </c>
      <c r="E242" s="924">
        <v>107.1</v>
      </c>
      <c r="F242" s="925">
        <f>IF($A242&lt;DATE(2018,7,1),"-",INDEX('I1 - Universal Data'!$E$16:$V$16, MATCH(YEAR(EOMONTH($A242,6)), 'I1 - Universal Data'!$E$14:$V$14, 0)))</f>
        <v>1.7381044449375382E-2</v>
      </c>
      <c r="G242" s="925">
        <f>IF($A242&lt;DATE(2018,7,1),"-",INDEX('I1 - Universal Data'!$E$15:$V$15, MATCH(YEAR(EOMONTH($A242,6)), 'I1 - Universal Data'!$E$14:$V$14, 0)))</f>
        <v>2.5628884588821732E-2</v>
      </c>
      <c r="H242" s="925">
        <f>IF($A242&lt;DATE(2018,7,1),"-",INDEX('I1 - Universal Data'!$E$17:$V$17, MATCH(YEAR(EOMONTH($A242,6)), 'I1 - Universal Data'!$E$14:$V$14, 0)))</f>
        <v>1.7910205867057716E-2</v>
      </c>
      <c r="I242" s="926">
        <f t="shared" si="22"/>
        <v>107.1</v>
      </c>
      <c r="J242" s="926">
        <f t="shared" si="22"/>
        <v>285.60000000000002</v>
      </c>
      <c r="K242" s="926">
        <f t="shared" si="22"/>
        <v>107.1</v>
      </c>
      <c r="X242" s="927"/>
    </row>
    <row r="243" spans="1:24">
      <c r="A243" s="922">
        <f t="shared" si="19"/>
        <v>43496</v>
      </c>
      <c r="B243" s="923">
        <f t="shared" si="18"/>
        <v>2019</v>
      </c>
      <c r="C243" s="924">
        <v>106.4</v>
      </c>
      <c r="D243" s="924">
        <v>283</v>
      </c>
      <c r="E243" s="924">
        <v>106.3</v>
      </c>
      <c r="F243" s="925">
        <f>IF($A243&lt;DATE(2018,7,1),"-",INDEX('I1 - Universal Data'!$E$16:$V$16, MATCH(YEAR(EOMONTH($A243,6)), 'I1 - Universal Data'!$E$14:$V$14, 0)))</f>
        <v>1.7381044449375382E-2</v>
      </c>
      <c r="G243" s="925">
        <f>IF($A243&lt;DATE(2018,7,1),"-",INDEX('I1 - Universal Data'!$E$15:$V$15, MATCH(YEAR(EOMONTH($A243,6)), 'I1 - Universal Data'!$E$14:$V$14, 0)))</f>
        <v>2.5628884588821732E-2</v>
      </c>
      <c r="H243" s="925">
        <f>IF($A243&lt;DATE(2018,7,1),"-",INDEX('I1 - Universal Data'!$E$17:$V$17, MATCH(YEAR(EOMONTH($A243,6)), 'I1 - Universal Data'!$E$14:$V$14, 0)))</f>
        <v>1.7910205867057716E-2</v>
      </c>
      <c r="I243" s="926">
        <f t="shared" si="22"/>
        <v>106.4</v>
      </c>
      <c r="J243" s="926">
        <f t="shared" si="22"/>
        <v>283</v>
      </c>
      <c r="K243" s="926">
        <f t="shared" si="22"/>
        <v>106.3</v>
      </c>
      <c r="X243" s="927"/>
    </row>
    <row r="244" spans="1:24">
      <c r="A244" s="922">
        <f t="shared" si="19"/>
        <v>43524</v>
      </c>
      <c r="B244" s="923">
        <f t="shared" si="18"/>
        <v>2019</v>
      </c>
      <c r="C244" s="924">
        <v>106.8</v>
      </c>
      <c r="D244" s="924">
        <v>285</v>
      </c>
      <c r="E244" s="924">
        <v>106.8</v>
      </c>
      <c r="F244" s="925">
        <f>IF($A244&lt;DATE(2018,7,1),"-",INDEX('I1 - Universal Data'!$E$16:$V$16, MATCH(YEAR(EOMONTH($A244,6)), 'I1 - Universal Data'!$E$14:$V$14, 0)))</f>
        <v>1.7381044449375382E-2</v>
      </c>
      <c r="G244" s="925">
        <f>IF($A244&lt;DATE(2018,7,1),"-",INDEX('I1 - Universal Data'!$E$15:$V$15, MATCH(YEAR(EOMONTH($A244,6)), 'I1 - Universal Data'!$E$14:$V$14, 0)))</f>
        <v>2.5628884588821732E-2</v>
      </c>
      <c r="H244" s="925">
        <f>IF($A244&lt;DATE(2018,7,1),"-",INDEX('I1 - Universal Data'!$E$17:$V$17, MATCH(YEAR(EOMONTH($A244,6)), 'I1 - Universal Data'!$E$14:$V$14, 0)))</f>
        <v>1.7910205867057716E-2</v>
      </c>
      <c r="I244" s="926">
        <f t="shared" si="22"/>
        <v>106.8</v>
      </c>
      <c r="J244" s="926">
        <f t="shared" si="22"/>
        <v>285</v>
      </c>
      <c r="K244" s="926">
        <f t="shared" si="22"/>
        <v>106.8</v>
      </c>
      <c r="X244" s="927"/>
    </row>
    <row r="245" spans="1:24">
      <c r="A245" s="922">
        <f t="shared" si="19"/>
        <v>43555</v>
      </c>
      <c r="B245" s="923">
        <f t="shared" si="18"/>
        <v>2019</v>
      </c>
      <c r="C245" s="924">
        <v>107</v>
      </c>
      <c r="D245" s="924">
        <v>285.10000000000002</v>
      </c>
      <c r="E245" s="924">
        <v>107</v>
      </c>
      <c r="F245" s="925">
        <f>IF($A245&lt;DATE(2018,7,1),"-",INDEX('I1 - Universal Data'!$E$16:$V$16, MATCH(YEAR(EOMONTH($A245,6)), 'I1 - Universal Data'!$E$14:$V$14, 0)))</f>
        <v>1.7381044449375382E-2</v>
      </c>
      <c r="G245" s="925">
        <f>IF($A245&lt;DATE(2018,7,1),"-",INDEX('I1 - Universal Data'!$E$15:$V$15, MATCH(YEAR(EOMONTH($A245,6)), 'I1 - Universal Data'!$E$14:$V$14, 0)))</f>
        <v>2.5628884588821732E-2</v>
      </c>
      <c r="H245" s="925">
        <f>IF($A245&lt;DATE(2018,7,1),"-",INDEX('I1 - Universal Data'!$E$17:$V$17, MATCH(YEAR(EOMONTH($A245,6)), 'I1 - Universal Data'!$E$14:$V$14, 0)))</f>
        <v>1.7910205867057716E-2</v>
      </c>
      <c r="I245" s="926">
        <f t="shared" si="22"/>
        <v>107</v>
      </c>
      <c r="J245" s="926">
        <f t="shared" si="22"/>
        <v>285.10000000000002</v>
      </c>
      <c r="K245" s="926">
        <f t="shared" si="22"/>
        <v>107</v>
      </c>
      <c r="X245" s="927"/>
    </row>
    <row r="246" spans="1:24">
      <c r="A246" s="922">
        <f t="shared" si="19"/>
        <v>43585</v>
      </c>
      <c r="B246" s="923">
        <f t="shared" si="18"/>
        <v>2020</v>
      </c>
      <c r="C246" s="924">
        <v>107.6</v>
      </c>
      <c r="D246" s="924">
        <v>288.2</v>
      </c>
      <c r="E246" s="924">
        <v>107.6</v>
      </c>
      <c r="F246" s="925">
        <f>IF($A246&lt;DATE(2018,7,1),"-",INDEX('I1 - Universal Data'!$E$16:$V$16, MATCH(YEAR(EOMONTH($A246,6)), 'I1 - Universal Data'!$E$14:$V$14, 0)))</f>
        <v>1.7381044449375382E-2</v>
      </c>
      <c r="G246" s="925">
        <f>IF($A246&lt;DATE(2018,7,1),"-",INDEX('I1 - Universal Data'!$E$15:$V$15, MATCH(YEAR(EOMONTH($A246,6)), 'I1 - Universal Data'!$E$14:$V$14, 0)))</f>
        <v>2.5628884588821732E-2</v>
      </c>
      <c r="H246" s="925">
        <f>IF($A246&lt;DATE(2018,7,1),"-",INDEX('I1 - Universal Data'!$E$17:$V$17, MATCH(YEAR(EOMONTH($A246,6)), 'I1 - Universal Data'!$E$14:$V$14, 0)))</f>
        <v>1.7910205867057716E-2</v>
      </c>
      <c r="I246" s="926">
        <f t="shared" si="22"/>
        <v>107.6</v>
      </c>
      <c r="J246" s="926">
        <f t="shared" si="22"/>
        <v>288.2</v>
      </c>
      <c r="K246" s="926">
        <f t="shared" si="22"/>
        <v>107.6</v>
      </c>
      <c r="W246" s="928"/>
      <c r="X246" s="927"/>
    </row>
    <row r="247" spans="1:24">
      <c r="A247" s="922">
        <f t="shared" si="19"/>
        <v>43616</v>
      </c>
      <c r="B247" s="923">
        <f t="shared" si="18"/>
        <v>2020</v>
      </c>
      <c r="C247" s="924">
        <v>107.9</v>
      </c>
      <c r="D247" s="924">
        <v>289.2</v>
      </c>
      <c r="E247" s="924">
        <v>107.9</v>
      </c>
      <c r="F247" s="925">
        <f>IF($A247&lt;DATE(2018,7,1),"-",INDEX('I1 - Universal Data'!$E$16:$V$16, MATCH(YEAR(EOMONTH($A247,6)), 'I1 - Universal Data'!$E$14:$V$14, 0)))</f>
        <v>1.7381044449375382E-2</v>
      </c>
      <c r="G247" s="925">
        <f>IF($A247&lt;DATE(2018,7,1),"-",INDEX('I1 - Universal Data'!$E$15:$V$15, MATCH(YEAR(EOMONTH($A247,6)), 'I1 - Universal Data'!$E$14:$V$14, 0)))</f>
        <v>2.5628884588821732E-2</v>
      </c>
      <c r="H247" s="925">
        <f>IF($A247&lt;DATE(2018,7,1),"-",INDEX('I1 - Universal Data'!$E$17:$V$17, MATCH(YEAR(EOMONTH($A247,6)), 'I1 - Universal Data'!$E$14:$V$14, 0)))</f>
        <v>1.7910205867057716E-2</v>
      </c>
      <c r="I247" s="926">
        <f t="shared" ref="I247:K262" si="23">IF(ISBLANK(C247),I246*((1+F247)^(1/12)),C247)</f>
        <v>107.9</v>
      </c>
      <c r="J247" s="926">
        <f t="shared" si="23"/>
        <v>289.2</v>
      </c>
      <c r="K247" s="926">
        <f t="shared" si="23"/>
        <v>107.9</v>
      </c>
      <c r="W247" s="928"/>
      <c r="X247" s="927"/>
    </row>
    <row r="248" spans="1:24">
      <c r="A248" s="922">
        <f t="shared" si="19"/>
        <v>43646</v>
      </c>
      <c r="B248" s="923">
        <f t="shared" si="18"/>
        <v>2020</v>
      </c>
      <c r="C248" s="924">
        <v>107.9</v>
      </c>
      <c r="D248" s="924">
        <v>289.60000000000002</v>
      </c>
      <c r="E248" s="924">
        <v>107.9</v>
      </c>
      <c r="F248" s="925">
        <f>IF($A248&lt;DATE(2018,7,1),"-",INDEX('I1 - Universal Data'!$E$16:$V$16, MATCH(YEAR(EOMONTH($A248,6)), 'I1 - Universal Data'!$E$14:$V$14, 0)))</f>
        <v>1.7381044449375382E-2</v>
      </c>
      <c r="G248" s="925">
        <f>IF($A248&lt;DATE(2018,7,1),"-",INDEX('I1 - Universal Data'!$E$15:$V$15, MATCH(YEAR(EOMONTH($A248,6)), 'I1 - Universal Data'!$E$14:$V$14, 0)))</f>
        <v>2.5628884588821732E-2</v>
      </c>
      <c r="H248" s="925">
        <f>IF($A248&lt;DATE(2018,7,1),"-",INDEX('I1 - Universal Data'!$E$17:$V$17, MATCH(YEAR(EOMONTH($A248,6)), 'I1 - Universal Data'!$E$14:$V$14, 0)))</f>
        <v>1.7910205867057716E-2</v>
      </c>
      <c r="I248" s="926">
        <f t="shared" si="23"/>
        <v>107.9</v>
      </c>
      <c r="J248" s="926">
        <f t="shared" si="23"/>
        <v>289.60000000000002</v>
      </c>
      <c r="K248" s="926">
        <f t="shared" si="23"/>
        <v>107.9</v>
      </c>
      <c r="W248" s="928"/>
      <c r="X248" s="927"/>
    </row>
    <row r="249" spans="1:24">
      <c r="A249" s="922">
        <f t="shared" si="19"/>
        <v>43677</v>
      </c>
      <c r="B249" s="923">
        <f t="shared" si="18"/>
        <v>2020</v>
      </c>
      <c r="C249" s="924">
        <v>108</v>
      </c>
      <c r="D249" s="924">
        <v>289.5</v>
      </c>
      <c r="E249" s="924">
        <v>107.9</v>
      </c>
      <c r="F249" s="925">
        <f>IF($A249&lt;DATE(2018,7,1),"-",INDEX('I1 - Universal Data'!$E$16:$V$16, MATCH(YEAR(EOMONTH($A249,6)), 'I1 - Universal Data'!$E$14:$V$14, 0)))</f>
        <v>9.8948701528174254E-3</v>
      </c>
      <c r="G249" s="925">
        <f>IF($A249&lt;DATE(2018,7,1),"-",INDEX('I1 - Universal Data'!$E$15:$V$15, MATCH(YEAR(EOMONTH($A249,6)), 'I1 - Universal Data'!$E$14:$V$14, 0)))</f>
        <v>1.5033471260387898E-2</v>
      </c>
      <c r="H249" s="925">
        <f>IF($A249&lt;DATE(2018,7,1),"-",INDEX('I1 - Universal Data'!$E$17:$V$17, MATCH(YEAR(EOMONTH($A249,6)), 'I1 - Universal Data'!$E$14:$V$14, 0)))</f>
        <v>8.5065402820156955E-3</v>
      </c>
      <c r="I249" s="926">
        <f t="shared" si="23"/>
        <v>108</v>
      </c>
      <c r="J249" s="926">
        <f t="shared" si="23"/>
        <v>289.5</v>
      </c>
      <c r="K249" s="926">
        <f t="shared" si="23"/>
        <v>107.9</v>
      </c>
      <c r="W249" s="928"/>
      <c r="X249" s="927"/>
    </row>
    <row r="250" spans="1:24">
      <c r="A250" s="922">
        <f t="shared" si="19"/>
        <v>43708</v>
      </c>
      <c r="B250" s="923">
        <f t="shared" si="18"/>
        <v>2020</v>
      </c>
      <c r="C250" s="924">
        <v>108.3</v>
      </c>
      <c r="D250" s="924">
        <v>291.7</v>
      </c>
      <c r="E250" s="924">
        <v>108.4</v>
      </c>
      <c r="F250" s="925">
        <f>IF($A250&lt;DATE(2018,7,1),"-",INDEX('I1 - Universal Data'!$E$16:$V$16, MATCH(YEAR(EOMONTH($A250,6)), 'I1 - Universal Data'!$E$14:$V$14, 0)))</f>
        <v>9.8948701528174254E-3</v>
      </c>
      <c r="G250" s="925">
        <f>IF($A250&lt;DATE(2018,7,1),"-",INDEX('I1 - Universal Data'!$E$15:$V$15, MATCH(YEAR(EOMONTH($A250,6)), 'I1 - Universal Data'!$E$14:$V$14, 0)))</f>
        <v>1.5033471260387898E-2</v>
      </c>
      <c r="H250" s="925">
        <f>IF($A250&lt;DATE(2018,7,1),"-",INDEX('I1 - Universal Data'!$E$17:$V$17, MATCH(YEAR(EOMONTH($A250,6)), 'I1 - Universal Data'!$E$14:$V$14, 0)))</f>
        <v>8.5065402820156955E-3</v>
      </c>
      <c r="I250" s="926">
        <f t="shared" si="23"/>
        <v>108.3</v>
      </c>
      <c r="J250" s="926">
        <f t="shared" si="23"/>
        <v>291.7</v>
      </c>
      <c r="K250" s="926">
        <f t="shared" si="23"/>
        <v>108.4</v>
      </c>
      <c r="W250" s="928"/>
      <c r="X250" s="927"/>
    </row>
    <row r="251" spans="1:24">
      <c r="A251" s="922">
        <f t="shared" si="19"/>
        <v>43738</v>
      </c>
      <c r="B251" s="923">
        <f t="shared" si="18"/>
        <v>2020</v>
      </c>
      <c r="C251" s="924">
        <v>108.4</v>
      </c>
      <c r="D251" s="924">
        <v>291</v>
      </c>
      <c r="E251" s="924">
        <v>108.5</v>
      </c>
      <c r="F251" s="925">
        <f>IF($A251&lt;DATE(2018,7,1),"-",INDEX('I1 - Universal Data'!$E$16:$V$16, MATCH(YEAR(EOMONTH($A251,6)), 'I1 - Universal Data'!$E$14:$V$14, 0)))</f>
        <v>9.8948701528174254E-3</v>
      </c>
      <c r="G251" s="925">
        <f>IF($A251&lt;DATE(2018,7,1),"-",INDEX('I1 - Universal Data'!$E$15:$V$15, MATCH(YEAR(EOMONTH($A251,6)), 'I1 - Universal Data'!$E$14:$V$14, 0)))</f>
        <v>1.5033471260387898E-2</v>
      </c>
      <c r="H251" s="925">
        <f>IF($A251&lt;DATE(2018,7,1),"-",INDEX('I1 - Universal Data'!$E$17:$V$17, MATCH(YEAR(EOMONTH($A251,6)), 'I1 - Universal Data'!$E$14:$V$14, 0)))</f>
        <v>8.5065402820156955E-3</v>
      </c>
      <c r="I251" s="926">
        <f t="shared" si="23"/>
        <v>108.4</v>
      </c>
      <c r="J251" s="926">
        <f t="shared" si="23"/>
        <v>291</v>
      </c>
      <c r="K251" s="926">
        <f t="shared" si="23"/>
        <v>108.5</v>
      </c>
      <c r="W251" s="928"/>
      <c r="X251" s="927"/>
    </row>
    <row r="252" spans="1:24">
      <c r="A252" s="922">
        <f t="shared" si="19"/>
        <v>43769</v>
      </c>
      <c r="B252" s="923">
        <f t="shared" si="18"/>
        <v>2020</v>
      </c>
      <c r="C252" s="924">
        <v>108.3</v>
      </c>
      <c r="D252" s="924">
        <v>290.39999999999998</v>
      </c>
      <c r="E252" s="924">
        <v>108.3</v>
      </c>
      <c r="F252" s="925">
        <f>IF($A252&lt;DATE(2018,7,1),"-",INDEX('I1 - Universal Data'!$E$16:$V$16, MATCH(YEAR(EOMONTH($A252,6)), 'I1 - Universal Data'!$E$14:$V$14, 0)))</f>
        <v>9.8948701528174254E-3</v>
      </c>
      <c r="G252" s="925">
        <f>IF($A252&lt;DATE(2018,7,1),"-",INDEX('I1 - Universal Data'!$E$15:$V$15, MATCH(YEAR(EOMONTH($A252,6)), 'I1 - Universal Data'!$E$14:$V$14, 0)))</f>
        <v>1.5033471260387898E-2</v>
      </c>
      <c r="H252" s="925">
        <f>IF($A252&lt;DATE(2018,7,1),"-",INDEX('I1 - Universal Data'!$E$17:$V$17, MATCH(YEAR(EOMONTH($A252,6)), 'I1 - Universal Data'!$E$14:$V$14, 0)))</f>
        <v>8.5065402820156955E-3</v>
      </c>
      <c r="I252" s="926">
        <f t="shared" si="23"/>
        <v>108.3</v>
      </c>
      <c r="J252" s="926">
        <f t="shared" si="23"/>
        <v>290.39999999999998</v>
      </c>
      <c r="K252" s="926">
        <f t="shared" si="23"/>
        <v>108.3</v>
      </c>
      <c r="W252" s="928"/>
      <c r="X252" s="927"/>
    </row>
    <row r="253" spans="1:24">
      <c r="A253" s="922">
        <f t="shared" si="19"/>
        <v>43799</v>
      </c>
      <c r="B253" s="923">
        <f t="shared" si="18"/>
        <v>2020</v>
      </c>
      <c r="C253" s="924">
        <v>108.5</v>
      </c>
      <c r="D253" s="924">
        <v>291</v>
      </c>
      <c r="E253" s="924">
        <v>108.5</v>
      </c>
      <c r="F253" s="925">
        <f>IF($A253&lt;DATE(2018,7,1),"-",INDEX('I1 - Universal Data'!$E$16:$V$16, MATCH(YEAR(EOMONTH($A253,6)), 'I1 - Universal Data'!$E$14:$V$14, 0)))</f>
        <v>9.8948701528174254E-3</v>
      </c>
      <c r="G253" s="925">
        <f>IF($A253&lt;DATE(2018,7,1),"-",INDEX('I1 - Universal Data'!$E$15:$V$15, MATCH(YEAR(EOMONTH($A253,6)), 'I1 - Universal Data'!$E$14:$V$14, 0)))</f>
        <v>1.5033471260387898E-2</v>
      </c>
      <c r="H253" s="925">
        <f>IF($A253&lt;DATE(2018,7,1),"-",INDEX('I1 - Universal Data'!$E$17:$V$17, MATCH(YEAR(EOMONTH($A253,6)), 'I1 - Universal Data'!$E$14:$V$14, 0)))</f>
        <v>8.5065402820156955E-3</v>
      </c>
      <c r="I253" s="926">
        <f t="shared" si="23"/>
        <v>108.5</v>
      </c>
      <c r="J253" s="926">
        <f t="shared" si="23"/>
        <v>291</v>
      </c>
      <c r="K253" s="926">
        <f t="shared" si="23"/>
        <v>108.5</v>
      </c>
      <c r="W253" s="928"/>
      <c r="X253" s="927"/>
    </row>
    <row r="254" spans="1:24">
      <c r="A254" s="922">
        <f t="shared" si="19"/>
        <v>43830</v>
      </c>
      <c r="B254" s="923">
        <f t="shared" si="18"/>
        <v>2020</v>
      </c>
      <c r="C254" s="924">
        <v>108.5</v>
      </c>
      <c r="D254" s="924">
        <v>291.89999999999998</v>
      </c>
      <c r="E254" s="924">
        <v>108.5</v>
      </c>
      <c r="F254" s="925">
        <f>IF($A254&lt;DATE(2018,7,1),"-",INDEX('I1 - Universal Data'!$E$16:$V$16, MATCH(YEAR(EOMONTH($A254,6)), 'I1 - Universal Data'!$E$14:$V$14, 0)))</f>
        <v>9.8948701528174254E-3</v>
      </c>
      <c r="G254" s="925">
        <f>IF($A254&lt;DATE(2018,7,1),"-",INDEX('I1 - Universal Data'!$E$15:$V$15, MATCH(YEAR(EOMONTH($A254,6)), 'I1 - Universal Data'!$E$14:$V$14, 0)))</f>
        <v>1.5033471260387898E-2</v>
      </c>
      <c r="H254" s="925">
        <f>IF($A254&lt;DATE(2018,7,1),"-",INDEX('I1 - Universal Data'!$E$17:$V$17, MATCH(YEAR(EOMONTH($A254,6)), 'I1 - Universal Data'!$E$14:$V$14, 0)))</f>
        <v>8.5065402820156955E-3</v>
      </c>
      <c r="I254" s="926">
        <f t="shared" si="23"/>
        <v>108.5</v>
      </c>
      <c r="J254" s="926">
        <f t="shared" si="23"/>
        <v>291.89999999999998</v>
      </c>
      <c r="K254" s="926">
        <f t="shared" si="23"/>
        <v>108.5</v>
      </c>
      <c r="W254" s="928"/>
      <c r="X254" s="927"/>
    </row>
    <row r="255" spans="1:24">
      <c r="A255" s="922">
        <f t="shared" si="19"/>
        <v>43861</v>
      </c>
      <c r="B255" s="923">
        <f t="shared" si="18"/>
        <v>2020</v>
      </c>
      <c r="C255" s="924">
        <v>108.3</v>
      </c>
      <c r="D255" s="924">
        <v>290.60000000000002</v>
      </c>
      <c r="E255" s="924">
        <v>108.2</v>
      </c>
      <c r="F255" s="925">
        <f>IF($A255&lt;DATE(2018,7,1),"-",INDEX('I1 - Universal Data'!$E$16:$V$16, MATCH(YEAR(EOMONTH($A255,6)), 'I1 - Universal Data'!$E$14:$V$14, 0)))</f>
        <v>9.8948701528174254E-3</v>
      </c>
      <c r="G255" s="925">
        <f>IF($A255&lt;DATE(2018,7,1),"-",INDEX('I1 - Universal Data'!$E$15:$V$15, MATCH(YEAR(EOMONTH($A255,6)), 'I1 - Universal Data'!$E$14:$V$14, 0)))</f>
        <v>1.5033471260387898E-2</v>
      </c>
      <c r="H255" s="925">
        <f>IF($A255&lt;DATE(2018,7,1),"-",INDEX('I1 - Universal Data'!$E$17:$V$17, MATCH(YEAR(EOMONTH($A255,6)), 'I1 - Universal Data'!$E$14:$V$14, 0)))</f>
        <v>8.5065402820156955E-3</v>
      </c>
      <c r="I255" s="926">
        <f t="shared" si="23"/>
        <v>108.3</v>
      </c>
      <c r="J255" s="926">
        <f t="shared" si="23"/>
        <v>290.60000000000002</v>
      </c>
      <c r="K255" s="926">
        <f t="shared" si="23"/>
        <v>108.2</v>
      </c>
      <c r="W255" s="928"/>
      <c r="X255" s="927"/>
    </row>
    <row r="256" spans="1:24">
      <c r="A256" s="922">
        <f t="shared" si="19"/>
        <v>43890</v>
      </c>
      <c r="B256" s="923">
        <f t="shared" si="18"/>
        <v>2020</v>
      </c>
      <c r="C256" s="924">
        <v>108.6</v>
      </c>
      <c r="D256" s="924">
        <v>292</v>
      </c>
      <c r="E256" s="924">
        <v>108.6</v>
      </c>
      <c r="F256" s="925">
        <f>IF($A256&lt;DATE(2018,7,1),"-",INDEX('I1 - Universal Data'!$E$16:$V$16, MATCH(YEAR(EOMONTH($A256,6)), 'I1 - Universal Data'!$E$14:$V$14, 0)))</f>
        <v>9.8948701528174254E-3</v>
      </c>
      <c r="G256" s="925">
        <f>IF($A256&lt;DATE(2018,7,1),"-",INDEX('I1 - Universal Data'!$E$15:$V$15, MATCH(YEAR(EOMONTH($A256,6)), 'I1 - Universal Data'!$E$14:$V$14, 0)))</f>
        <v>1.5033471260387898E-2</v>
      </c>
      <c r="H256" s="925">
        <f>IF($A256&lt;DATE(2018,7,1),"-",INDEX('I1 - Universal Data'!$E$17:$V$17, MATCH(YEAR(EOMONTH($A256,6)), 'I1 - Universal Data'!$E$14:$V$14, 0)))</f>
        <v>8.5065402820156955E-3</v>
      </c>
      <c r="I256" s="926">
        <f t="shared" si="23"/>
        <v>108.6</v>
      </c>
      <c r="J256" s="926">
        <f t="shared" si="23"/>
        <v>292</v>
      </c>
      <c r="K256" s="926">
        <f t="shared" si="23"/>
        <v>108.6</v>
      </c>
      <c r="W256" s="928"/>
      <c r="X256" s="427"/>
    </row>
    <row r="257" spans="1:24">
      <c r="A257" s="922">
        <f t="shared" si="19"/>
        <v>43921</v>
      </c>
      <c r="B257" s="923">
        <f t="shared" si="18"/>
        <v>2020</v>
      </c>
      <c r="C257" s="924">
        <v>108.6</v>
      </c>
      <c r="D257" s="924">
        <v>292.60000000000002</v>
      </c>
      <c r="E257" s="924">
        <v>108.6</v>
      </c>
      <c r="F257" s="925">
        <f>IF($A257&lt;DATE(2018,7,1),"-",INDEX('I1 - Universal Data'!$E$16:$V$16, MATCH(YEAR(EOMONTH($A257,6)), 'I1 - Universal Data'!$E$14:$V$14, 0)))</f>
        <v>9.8948701528174254E-3</v>
      </c>
      <c r="G257" s="925">
        <f>IF($A257&lt;DATE(2018,7,1),"-",INDEX('I1 - Universal Data'!$E$15:$V$15, MATCH(YEAR(EOMONTH($A257,6)), 'I1 - Universal Data'!$E$14:$V$14, 0)))</f>
        <v>1.5033471260387898E-2</v>
      </c>
      <c r="H257" s="925">
        <f>IF($A257&lt;DATE(2018,7,1),"-",INDEX('I1 - Universal Data'!$E$17:$V$17, MATCH(YEAR(EOMONTH($A257,6)), 'I1 - Universal Data'!$E$14:$V$14, 0)))</f>
        <v>8.5065402820156955E-3</v>
      </c>
      <c r="I257" s="926">
        <f t="shared" si="23"/>
        <v>108.6</v>
      </c>
      <c r="J257" s="926">
        <f t="shared" si="23"/>
        <v>292.60000000000002</v>
      </c>
      <c r="K257" s="926">
        <f t="shared" si="23"/>
        <v>108.6</v>
      </c>
      <c r="W257" s="928"/>
      <c r="X257" s="427"/>
    </row>
    <row r="258" spans="1:24">
      <c r="A258" s="922">
        <f t="shared" si="19"/>
        <v>43951</v>
      </c>
      <c r="B258" s="923">
        <f t="shared" si="18"/>
        <v>2021</v>
      </c>
      <c r="C258" s="924">
        <v>108.6</v>
      </c>
      <c r="D258" s="924">
        <v>292.60000000000002</v>
      </c>
      <c r="E258" s="924">
        <v>108.5</v>
      </c>
      <c r="F258" s="925">
        <f>IF($A258&lt;DATE(2018,7,1),"-",INDEX('I1 - Universal Data'!$E$16:$V$16, MATCH(YEAR(EOMONTH($A258,6)), 'I1 - Universal Data'!$E$14:$V$14, 0)))</f>
        <v>9.8948701528174254E-3</v>
      </c>
      <c r="G258" s="925">
        <f>IF($A258&lt;DATE(2018,7,1),"-",INDEX('I1 - Universal Data'!$E$15:$V$15, MATCH(YEAR(EOMONTH($A258,6)), 'I1 - Universal Data'!$E$14:$V$14, 0)))</f>
        <v>1.5033471260387898E-2</v>
      </c>
      <c r="H258" s="925">
        <f>IF($A258&lt;DATE(2018,7,1),"-",INDEX('I1 - Universal Data'!$E$17:$V$17, MATCH(YEAR(EOMONTH($A258,6)), 'I1 - Universal Data'!$E$14:$V$14, 0)))</f>
        <v>8.5065402820156955E-3</v>
      </c>
      <c r="I258" s="926">
        <f t="shared" si="23"/>
        <v>108.6</v>
      </c>
      <c r="J258" s="926">
        <f t="shared" si="23"/>
        <v>292.60000000000002</v>
      </c>
      <c r="K258" s="926">
        <f t="shared" si="23"/>
        <v>108.5</v>
      </c>
      <c r="W258" s="928"/>
      <c r="X258" s="427"/>
    </row>
    <row r="259" spans="1:24">
      <c r="A259" s="922">
        <f t="shared" si="19"/>
        <v>43982</v>
      </c>
      <c r="B259" s="923">
        <f t="shared" si="18"/>
        <v>2021</v>
      </c>
      <c r="C259" s="924">
        <v>108.6</v>
      </c>
      <c r="D259" s="924">
        <v>292.2</v>
      </c>
      <c r="E259" s="924">
        <v>108.5</v>
      </c>
      <c r="F259" s="925">
        <f>IF($A259&lt;DATE(2018,7,1),"-",INDEX('I1 - Universal Data'!$E$16:$V$16, MATCH(YEAR(EOMONTH($A259,6)), 'I1 - Universal Data'!$E$14:$V$14, 0)))</f>
        <v>9.8948701528174254E-3</v>
      </c>
      <c r="G259" s="925">
        <f>IF($A259&lt;DATE(2018,7,1),"-",INDEX('I1 - Universal Data'!$E$15:$V$15, MATCH(YEAR(EOMONTH($A259,6)), 'I1 - Universal Data'!$E$14:$V$14, 0)))</f>
        <v>1.5033471260387898E-2</v>
      </c>
      <c r="H259" s="925">
        <f>IF($A259&lt;DATE(2018,7,1),"-",INDEX('I1 - Universal Data'!$E$17:$V$17, MATCH(YEAR(EOMONTH($A259,6)), 'I1 - Universal Data'!$E$14:$V$14, 0)))</f>
        <v>8.5065402820156955E-3</v>
      </c>
      <c r="I259" s="926">
        <f t="shared" si="23"/>
        <v>108.6</v>
      </c>
      <c r="J259" s="926">
        <f t="shared" si="23"/>
        <v>292.2</v>
      </c>
      <c r="K259" s="926">
        <f t="shared" si="23"/>
        <v>108.5</v>
      </c>
      <c r="W259" s="928"/>
      <c r="X259" s="427"/>
    </row>
    <row r="260" spans="1:24">
      <c r="A260" s="922">
        <f t="shared" si="19"/>
        <v>44012</v>
      </c>
      <c r="B260" s="923">
        <f t="shared" si="18"/>
        <v>2021</v>
      </c>
      <c r="C260" s="924">
        <v>108.8</v>
      </c>
      <c r="D260" s="924">
        <v>292.7</v>
      </c>
      <c r="E260" s="924">
        <v>108.6</v>
      </c>
      <c r="F260" s="925">
        <f>IF($A260&lt;DATE(2018,7,1),"-",INDEX('I1 - Universal Data'!$E$16:$V$16, MATCH(YEAR(EOMONTH($A260,6)), 'I1 - Universal Data'!$E$14:$V$14, 0)))</f>
        <v>9.8948701528174254E-3</v>
      </c>
      <c r="G260" s="925">
        <f>IF($A260&lt;DATE(2018,7,1),"-",INDEX('I1 - Universal Data'!$E$15:$V$15, MATCH(YEAR(EOMONTH($A260,6)), 'I1 - Universal Data'!$E$14:$V$14, 0)))</f>
        <v>1.5033471260387898E-2</v>
      </c>
      <c r="H260" s="925">
        <f>IF($A260&lt;DATE(2018,7,1),"-",INDEX('I1 - Universal Data'!$E$17:$V$17, MATCH(YEAR(EOMONTH($A260,6)), 'I1 - Universal Data'!$E$14:$V$14, 0)))</f>
        <v>8.5065402820156955E-3</v>
      </c>
      <c r="I260" s="926">
        <f t="shared" si="23"/>
        <v>108.8</v>
      </c>
      <c r="J260" s="926">
        <f t="shared" si="23"/>
        <v>292.7</v>
      </c>
      <c r="K260" s="926">
        <f t="shared" si="23"/>
        <v>108.6</v>
      </c>
      <c r="W260" s="928"/>
      <c r="X260" s="427"/>
    </row>
    <row r="261" spans="1:24">
      <c r="A261" s="922">
        <f t="shared" si="19"/>
        <v>44043</v>
      </c>
      <c r="B261" s="923">
        <f t="shared" si="18"/>
        <v>2021</v>
      </c>
      <c r="C261" s="924">
        <v>109.2</v>
      </c>
      <c r="D261" s="924">
        <v>294.2</v>
      </c>
      <c r="E261" s="924">
        <v>109.1</v>
      </c>
      <c r="F261" s="925">
        <f>IF($A261&lt;DATE(2018,7,1),"-",INDEX('I1 - Universal Data'!$E$16:$V$16, MATCH(YEAR(EOMONTH($A261,6)), 'I1 - Universal Data'!$E$14:$V$14, 0)))</f>
        <v>2.5183711707605694E-2</v>
      </c>
      <c r="G261" s="925">
        <f>IF($A261&lt;DATE(2018,7,1),"-",INDEX('I1 - Universal Data'!$E$15:$V$15, MATCH(YEAR(EOMONTH($A261,6)), 'I1 - Universal Data'!$E$14:$V$14, 0)))</f>
        <v>4.0452569031158125E-2</v>
      </c>
      <c r="H261" s="925">
        <f>IF($A261&lt;DATE(2018,7,1),"-",INDEX('I1 - Universal Data'!$E$17:$V$17, MATCH(YEAR(EOMONTH($A261,6)), 'I1 - Universal Data'!$E$14:$V$14, 0)))</f>
        <v>2.5882219500718229E-2</v>
      </c>
      <c r="I261" s="926">
        <f t="shared" si="23"/>
        <v>109.2</v>
      </c>
      <c r="J261" s="926">
        <f t="shared" si="23"/>
        <v>294.2</v>
      </c>
      <c r="K261" s="926">
        <f t="shared" si="23"/>
        <v>109.1</v>
      </c>
      <c r="W261" s="928"/>
      <c r="X261" s="427"/>
    </row>
    <row r="262" spans="1:24">
      <c r="A262" s="922">
        <f t="shared" si="19"/>
        <v>44074</v>
      </c>
      <c r="B262" s="923">
        <f t="shared" ref="B262:B325" si="24">IF(MONTH(A262)&gt;=4,YEAR(A262)+1,YEAR(A262))</f>
        <v>2021</v>
      </c>
      <c r="C262" s="924">
        <v>108.8</v>
      </c>
      <c r="D262" s="924">
        <v>293.3</v>
      </c>
      <c r="E262" s="924">
        <v>108.6</v>
      </c>
      <c r="F262" s="925">
        <f>IF($A262&lt;DATE(2018,7,1),"-",INDEX('I1 - Universal Data'!$E$16:$V$16, MATCH(YEAR(EOMONTH($A262,6)), 'I1 - Universal Data'!$E$14:$V$14, 0)))</f>
        <v>2.5183711707605694E-2</v>
      </c>
      <c r="G262" s="925">
        <f>IF($A262&lt;DATE(2018,7,1),"-",INDEX('I1 - Universal Data'!$E$15:$V$15, MATCH(YEAR(EOMONTH($A262,6)), 'I1 - Universal Data'!$E$14:$V$14, 0)))</f>
        <v>4.0452569031158125E-2</v>
      </c>
      <c r="H262" s="925">
        <f>IF($A262&lt;DATE(2018,7,1),"-",INDEX('I1 - Universal Data'!$E$17:$V$17, MATCH(YEAR(EOMONTH($A262,6)), 'I1 - Universal Data'!$E$14:$V$14, 0)))</f>
        <v>2.5882219500718229E-2</v>
      </c>
      <c r="I262" s="926">
        <f t="shared" si="23"/>
        <v>108.8</v>
      </c>
      <c r="J262" s="926">
        <f t="shared" si="23"/>
        <v>293.3</v>
      </c>
      <c r="K262" s="926">
        <f t="shared" si="23"/>
        <v>108.6</v>
      </c>
      <c r="W262" s="928"/>
      <c r="X262" s="427"/>
    </row>
    <row r="263" spans="1:24">
      <c r="A263" s="922">
        <f t="shared" ref="A263:A326" si="25">IF(MONTH(A262) = 12, EOMONTH(DATE(YEAR(A262) + 1, 1, 1), 0), EOMONTH(DATE(YEAR(A262), MONTH(A262) + 1, 1), 0))</f>
        <v>44104</v>
      </c>
      <c r="B263" s="923">
        <f t="shared" si="24"/>
        <v>2021</v>
      </c>
      <c r="C263" s="924">
        <v>109.2</v>
      </c>
      <c r="D263" s="924">
        <v>294.3</v>
      </c>
      <c r="E263" s="924">
        <v>109.1</v>
      </c>
      <c r="F263" s="925">
        <f>IF($A263&lt;DATE(2018,7,1),"-",INDEX('I1 - Universal Data'!$E$16:$V$16, MATCH(YEAR(EOMONTH($A263,6)), 'I1 - Universal Data'!$E$14:$V$14, 0)))</f>
        <v>2.5183711707605694E-2</v>
      </c>
      <c r="G263" s="925">
        <f>IF($A263&lt;DATE(2018,7,1),"-",INDEX('I1 - Universal Data'!$E$15:$V$15, MATCH(YEAR(EOMONTH($A263,6)), 'I1 - Universal Data'!$E$14:$V$14, 0)))</f>
        <v>4.0452569031158125E-2</v>
      </c>
      <c r="H263" s="925">
        <f>IF($A263&lt;DATE(2018,7,1),"-",INDEX('I1 - Universal Data'!$E$17:$V$17, MATCH(YEAR(EOMONTH($A263,6)), 'I1 - Universal Data'!$E$14:$V$14, 0)))</f>
        <v>2.5882219500718229E-2</v>
      </c>
      <c r="I263" s="926">
        <f t="shared" ref="I263:K278" si="26">IF(ISBLANK(C263),I262*((1+F263)^(1/12)),C263)</f>
        <v>109.2</v>
      </c>
      <c r="J263" s="926">
        <f t="shared" si="26"/>
        <v>294.3</v>
      </c>
      <c r="K263" s="926">
        <f t="shared" si="26"/>
        <v>109.1</v>
      </c>
      <c r="W263" s="928"/>
      <c r="X263" s="427"/>
    </row>
    <row r="264" spans="1:24">
      <c r="A264" s="922">
        <f t="shared" si="25"/>
        <v>44135</v>
      </c>
      <c r="B264" s="923">
        <f t="shared" si="24"/>
        <v>2021</v>
      </c>
      <c r="C264" s="924">
        <v>109.2</v>
      </c>
      <c r="D264" s="924">
        <v>294.3</v>
      </c>
      <c r="E264" s="924">
        <v>109.1</v>
      </c>
      <c r="F264" s="925">
        <f>IF($A264&lt;DATE(2018,7,1),"-",INDEX('I1 - Universal Data'!$E$16:$V$16, MATCH(YEAR(EOMONTH($A264,6)), 'I1 - Universal Data'!$E$14:$V$14, 0)))</f>
        <v>2.5183711707605694E-2</v>
      </c>
      <c r="G264" s="925">
        <f>IF($A264&lt;DATE(2018,7,1),"-",INDEX('I1 - Universal Data'!$E$15:$V$15, MATCH(YEAR(EOMONTH($A264,6)), 'I1 - Universal Data'!$E$14:$V$14, 0)))</f>
        <v>4.0452569031158125E-2</v>
      </c>
      <c r="H264" s="925">
        <f>IF($A264&lt;DATE(2018,7,1),"-",INDEX('I1 - Universal Data'!$E$17:$V$17, MATCH(YEAR(EOMONTH($A264,6)), 'I1 - Universal Data'!$E$14:$V$14, 0)))</f>
        <v>2.5882219500718229E-2</v>
      </c>
      <c r="I264" s="926">
        <f t="shared" si="26"/>
        <v>109.2</v>
      </c>
      <c r="J264" s="926">
        <f t="shared" si="26"/>
        <v>294.3</v>
      </c>
      <c r="K264" s="926">
        <f t="shared" si="26"/>
        <v>109.1</v>
      </c>
      <c r="W264" s="928"/>
      <c r="X264" s="427"/>
    </row>
    <row r="265" spans="1:24">
      <c r="A265" s="922">
        <f t="shared" si="25"/>
        <v>44165</v>
      </c>
      <c r="B265" s="923">
        <f t="shared" si="24"/>
        <v>2021</v>
      </c>
      <c r="C265" s="924">
        <v>109.1</v>
      </c>
      <c r="D265" s="924">
        <v>293.5</v>
      </c>
      <c r="E265" s="924">
        <v>108.9</v>
      </c>
      <c r="F265" s="925">
        <f>IF($A265&lt;DATE(2018,7,1),"-",INDEX('I1 - Universal Data'!$E$16:$V$16, MATCH(YEAR(EOMONTH($A265,6)), 'I1 - Universal Data'!$E$14:$V$14, 0)))</f>
        <v>2.5183711707605694E-2</v>
      </c>
      <c r="G265" s="925">
        <f>IF($A265&lt;DATE(2018,7,1),"-",INDEX('I1 - Universal Data'!$E$15:$V$15, MATCH(YEAR(EOMONTH($A265,6)), 'I1 - Universal Data'!$E$14:$V$14, 0)))</f>
        <v>4.0452569031158125E-2</v>
      </c>
      <c r="H265" s="925">
        <f>IF($A265&lt;DATE(2018,7,1),"-",INDEX('I1 - Universal Data'!$E$17:$V$17, MATCH(YEAR(EOMONTH($A265,6)), 'I1 - Universal Data'!$E$14:$V$14, 0)))</f>
        <v>2.5882219500718229E-2</v>
      </c>
      <c r="I265" s="926">
        <f t="shared" si="26"/>
        <v>109.1</v>
      </c>
      <c r="J265" s="926">
        <f t="shared" si="26"/>
        <v>293.5</v>
      </c>
      <c r="K265" s="926">
        <f t="shared" si="26"/>
        <v>108.9</v>
      </c>
      <c r="W265" s="928"/>
      <c r="X265" s="929"/>
    </row>
    <row r="266" spans="1:24">
      <c r="A266" s="922">
        <f t="shared" si="25"/>
        <v>44196</v>
      </c>
      <c r="B266" s="923">
        <f t="shared" si="24"/>
        <v>2021</v>
      </c>
      <c r="C266" s="924">
        <v>109.4</v>
      </c>
      <c r="D266" s="924">
        <v>295.39999999999998</v>
      </c>
      <c r="E266" s="924">
        <v>109.2</v>
      </c>
      <c r="F266" s="925">
        <f>IF($A266&lt;DATE(2018,7,1),"-",INDEX('I1 - Universal Data'!$E$16:$V$16, MATCH(YEAR(EOMONTH($A266,6)), 'I1 - Universal Data'!$E$14:$V$14, 0)))</f>
        <v>2.5183711707605694E-2</v>
      </c>
      <c r="G266" s="925">
        <f>IF($A266&lt;DATE(2018,7,1),"-",INDEX('I1 - Universal Data'!$E$15:$V$15, MATCH(YEAR(EOMONTH($A266,6)), 'I1 - Universal Data'!$E$14:$V$14, 0)))</f>
        <v>4.0452569031158125E-2</v>
      </c>
      <c r="H266" s="925">
        <f>IF($A266&lt;DATE(2018,7,1),"-",INDEX('I1 - Universal Data'!$E$17:$V$17, MATCH(YEAR(EOMONTH($A266,6)), 'I1 - Universal Data'!$E$14:$V$14, 0)))</f>
        <v>2.5882219500718229E-2</v>
      </c>
      <c r="I266" s="926">
        <f t="shared" si="26"/>
        <v>109.4</v>
      </c>
      <c r="J266" s="926">
        <f t="shared" si="26"/>
        <v>295.39999999999998</v>
      </c>
      <c r="K266" s="926">
        <f t="shared" si="26"/>
        <v>109.2</v>
      </c>
      <c r="W266" s="928"/>
      <c r="X266" s="427"/>
    </row>
    <row r="267" spans="1:24">
      <c r="A267" s="922">
        <f t="shared" si="25"/>
        <v>44227</v>
      </c>
      <c r="B267" s="923">
        <f t="shared" si="24"/>
        <v>2021</v>
      </c>
      <c r="C267" s="924">
        <v>109.3</v>
      </c>
      <c r="D267" s="924">
        <v>294.60000000000002</v>
      </c>
      <c r="E267" s="924">
        <v>109</v>
      </c>
      <c r="F267" s="925">
        <f>IF($A267&lt;DATE(2018,7,1),"-",INDEX('I1 - Universal Data'!$E$16:$V$16, MATCH(YEAR(EOMONTH($A267,6)), 'I1 - Universal Data'!$E$14:$V$14, 0)))</f>
        <v>2.5183711707605694E-2</v>
      </c>
      <c r="G267" s="925">
        <f>IF($A267&lt;DATE(2018,7,1),"-",INDEX('I1 - Universal Data'!$E$15:$V$15, MATCH(YEAR(EOMONTH($A267,6)), 'I1 - Universal Data'!$E$14:$V$14, 0)))</f>
        <v>4.0452569031158125E-2</v>
      </c>
      <c r="H267" s="925">
        <f>IF($A267&lt;DATE(2018,7,1),"-",INDEX('I1 - Universal Data'!$E$17:$V$17, MATCH(YEAR(EOMONTH($A267,6)), 'I1 - Universal Data'!$E$14:$V$14, 0)))</f>
        <v>2.5882219500718229E-2</v>
      </c>
      <c r="I267" s="926">
        <f t="shared" si="26"/>
        <v>109.3</v>
      </c>
      <c r="J267" s="926">
        <f t="shared" si="26"/>
        <v>294.60000000000002</v>
      </c>
      <c r="K267" s="926">
        <f t="shared" si="26"/>
        <v>109</v>
      </c>
      <c r="W267" s="928"/>
      <c r="X267" s="427"/>
    </row>
    <row r="268" spans="1:24">
      <c r="A268" s="922">
        <f t="shared" si="25"/>
        <v>44255</v>
      </c>
      <c r="B268" s="923">
        <f t="shared" si="24"/>
        <v>2021</v>
      </c>
      <c r="C268" s="924">
        <v>109.4</v>
      </c>
      <c r="D268" s="924">
        <v>296</v>
      </c>
      <c r="E268" s="924">
        <v>109.1</v>
      </c>
      <c r="F268" s="925">
        <f>IF($A268&lt;DATE(2018,7,1),"-",INDEX('I1 - Universal Data'!$E$16:$V$16, MATCH(YEAR(EOMONTH($A268,6)), 'I1 - Universal Data'!$E$14:$V$14, 0)))</f>
        <v>2.5183711707605694E-2</v>
      </c>
      <c r="G268" s="925">
        <f>IF($A268&lt;DATE(2018,7,1),"-",INDEX('I1 - Universal Data'!$E$15:$V$15, MATCH(YEAR(EOMONTH($A268,6)), 'I1 - Universal Data'!$E$14:$V$14, 0)))</f>
        <v>4.0452569031158125E-2</v>
      </c>
      <c r="H268" s="925">
        <f>IF($A268&lt;DATE(2018,7,1),"-",INDEX('I1 - Universal Data'!$E$17:$V$17, MATCH(YEAR(EOMONTH($A268,6)), 'I1 - Universal Data'!$E$14:$V$14, 0)))</f>
        <v>2.5882219500718229E-2</v>
      </c>
      <c r="I268" s="926">
        <f t="shared" si="26"/>
        <v>109.4</v>
      </c>
      <c r="J268" s="926">
        <f t="shared" si="26"/>
        <v>296</v>
      </c>
      <c r="K268" s="926">
        <f t="shared" si="26"/>
        <v>109.1</v>
      </c>
      <c r="L268" s="930"/>
      <c r="W268" s="928"/>
      <c r="X268" s="427"/>
    </row>
    <row r="269" spans="1:24">
      <c r="A269" s="922">
        <f t="shared" si="25"/>
        <v>44286</v>
      </c>
      <c r="B269" s="923">
        <f t="shared" si="24"/>
        <v>2021</v>
      </c>
      <c r="C269" s="924">
        <v>109.7</v>
      </c>
      <c r="D269" s="924">
        <v>296.89999999999998</v>
      </c>
      <c r="E269" s="924">
        <v>109.4</v>
      </c>
      <c r="F269" s="925">
        <f>IF($A269&lt;DATE(2018,7,1),"-",INDEX('I1 - Universal Data'!$E$16:$V$16, MATCH(YEAR(EOMONTH($A269,6)), 'I1 - Universal Data'!$E$14:$V$14, 0)))</f>
        <v>2.5183711707605694E-2</v>
      </c>
      <c r="G269" s="925">
        <f>IF($A269&lt;DATE(2018,7,1),"-",INDEX('I1 - Universal Data'!$E$15:$V$15, MATCH(YEAR(EOMONTH($A269,6)), 'I1 - Universal Data'!$E$14:$V$14, 0)))</f>
        <v>4.0452569031158125E-2</v>
      </c>
      <c r="H269" s="925">
        <f>IF($A269&lt;DATE(2018,7,1),"-",INDEX('I1 - Universal Data'!$E$17:$V$17, MATCH(YEAR(EOMONTH($A269,6)), 'I1 - Universal Data'!$E$14:$V$14, 0)))</f>
        <v>2.5882219500718229E-2</v>
      </c>
      <c r="I269" s="926">
        <f t="shared" si="26"/>
        <v>109.7</v>
      </c>
      <c r="J269" s="926">
        <f t="shared" si="26"/>
        <v>296.89999999999998</v>
      </c>
      <c r="K269" s="926">
        <f t="shared" si="26"/>
        <v>109.4</v>
      </c>
      <c r="L269" s="930"/>
      <c r="W269" s="928"/>
      <c r="X269" s="427"/>
    </row>
    <row r="270" spans="1:24">
      <c r="A270" s="922">
        <f t="shared" si="25"/>
        <v>44316</v>
      </c>
      <c r="B270" s="923">
        <f t="shared" si="24"/>
        <v>2022</v>
      </c>
      <c r="C270" s="924">
        <v>110.4</v>
      </c>
      <c r="D270" s="924">
        <v>301.10000000000002</v>
      </c>
      <c r="E270" s="924">
        <v>110.1</v>
      </c>
      <c r="F270" s="925">
        <f>IF($A270&lt;DATE(2018,7,1),"-",INDEX('I1 - Universal Data'!$E$16:$V$16, MATCH(YEAR(EOMONTH($A270,6)), 'I1 - Universal Data'!$E$14:$V$14, 0)))</f>
        <v>2.5183711707605694E-2</v>
      </c>
      <c r="G270" s="925">
        <f>IF($A270&lt;DATE(2018,7,1),"-",INDEX('I1 - Universal Data'!$E$15:$V$15, MATCH(YEAR(EOMONTH($A270,6)), 'I1 - Universal Data'!$E$14:$V$14, 0)))</f>
        <v>4.0452569031158125E-2</v>
      </c>
      <c r="H270" s="925">
        <f>IF($A270&lt;DATE(2018,7,1),"-",INDEX('I1 - Universal Data'!$E$17:$V$17, MATCH(YEAR(EOMONTH($A270,6)), 'I1 - Universal Data'!$E$14:$V$14, 0)))</f>
        <v>2.5882219500718229E-2</v>
      </c>
      <c r="I270" s="926">
        <f t="shared" si="26"/>
        <v>110.4</v>
      </c>
      <c r="J270" s="926">
        <f t="shared" si="26"/>
        <v>301.10000000000002</v>
      </c>
      <c r="K270" s="926">
        <f t="shared" si="26"/>
        <v>110.1</v>
      </c>
      <c r="L270" s="930"/>
      <c r="W270" s="928"/>
      <c r="X270" s="929"/>
    </row>
    <row r="271" spans="1:24">
      <c r="A271" s="922">
        <f t="shared" si="25"/>
        <v>44347</v>
      </c>
      <c r="B271" s="923">
        <f t="shared" si="24"/>
        <v>2022</v>
      </c>
      <c r="C271" s="924">
        <v>111</v>
      </c>
      <c r="D271" s="924">
        <v>301.89999999999998</v>
      </c>
      <c r="E271" s="924">
        <v>110.8</v>
      </c>
      <c r="F271" s="925">
        <f>IF($A271&lt;DATE(2018,7,1),"-",INDEX('I1 - Universal Data'!$E$16:$V$16, MATCH(YEAR(EOMONTH($A271,6)), 'I1 - Universal Data'!$E$14:$V$14, 0)))</f>
        <v>2.5183711707605694E-2</v>
      </c>
      <c r="G271" s="925">
        <f>IF($A271&lt;DATE(2018,7,1),"-",INDEX('I1 - Universal Data'!$E$15:$V$15, MATCH(YEAR(EOMONTH($A271,6)), 'I1 - Universal Data'!$E$14:$V$14, 0)))</f>
        <v>4.0452569031158125E-2</v>
      </c>
      <c r="H271" s="925">
        <f>IF($A271&lt;DATE(2018,7,1),"-",INDEX('I1 - Universal Data'!$E$17:$V$17, MATCH(YEAR(EOMONTH($A271,6)), 'I1 - Universal Data'!$E$14:$V$14, 0)))</f>
        <v>2.5882219500718229E-2</v>
      </c>
      <c r="I271" s="926">
        <f t="shared" si="26"/>
        <v>111</v>
      </c>
      <c r="J271" s="926">
        <f t="shared" si="26"/>
        <v>301.89999999999998</v>
      </c>
      <c r="K271" s="926">
        <f t="shared" si="26"/>
        <v>110.8</v>
      </c>
      <c r="L271" s="930"/>
      <c r="W271" s="928"/>
      <c r="X271" s="929"/>
    </row>
    <row r="272" spans="1:24">
      <c r="A272" s="922">
        <f t="shared" si="25"/>
        <v>44377</v>
      </c>
      <c r="B272" s="923">
        <f t="shared" si="24"/>
        <v>2022</v>
      </c>
      <c r="C272" s="924">
        <v>111.4</v>
      </c>
      <c r="D272" s="924">
        <v>304</v>
      </c>
      <c r="E272" s="924">
        <v>111.3</v>
      </c>
      <c r="F272" s="925">
        <f>IF($A272&lt;DATE(2018,7,1),"-",INDEX('I1 - Universal Data'!$E$16:$V$16, MATCH(YEAR(EOMONTH($A272,6)), 'I1 - Universal Data'!$E$14:$V$14, 0)))</f>
        <v>2.5183711707605694E-2</v>
      </c>
      <c r="G272" s="925">
        <f>IF($A272&lt;DATE(2018,7,1),"-",INDEX('I1 - Universal Data'!$E$15:$V$15, MATCH(YEAR(EOMONTH($A272,6)), 'I1 - Universal Data'!$E$14:$V$14, 0)))</f>
        <v>4.0452569031158125E-2</v>
      </c>
      <c r="H272" s="925">
        <f>IF($A272&lt;DATE(2018,7,1),"-",INDEX('I1 - Universal Data'!$E$17:$V$17, MATCH(YEAR(EOMONTH($A272,6)), 'I1 - Universal Data'!$E$14:$V$14, 0)))</f>
        <v>2.5882219500718229E-2</v>
      </c>
      <c r="I272" s="926">
        <f t="shared" si="26"/>
        <v>111.4</v>
      </c>
      <c r="J272" s="926">
        <f t="shared" si="26"/>
        <v>304</v>
      </c>
      <c r="K272" s="926">
        <f t="shared" si="26"/>
        <v>111.3</v>
      </c>
      <c r="L272" s="930"/>
      <c r="X272" s="929"/>
    </row>
    <row r="273" spans="1:24">
      <c r="A273" s="922">
        <f t="shared" si="25"/>
        <v>44408</v>
      </c>
      <c r="B273" s="923">
        <f t="shared" si="24"/>
        <v>2022</v>
      </c>
      <c r="C273" s="924">
        <v>111.4</v>
      </c>
      <c r="D273" s="924">
        <v>305.5</v>
      </c>
      <c r="E273" s="924">
        <v>111.3</v>
      </c>
      <c r="F273" s="925">
        <f>IF($A273&lt;DATE(2018,7,1),"-",INDEX('I1 - Universal Data'!$E$16:$V$16, MATCH(YEAR(EOMONTH($A273,6)), 'I1 - Universal Data'!$E$14:$V$14, 0)))</f>
        <v>7.9220486703172499E-2</v>
      </c>
      <c r="G273" s="925">
        <f>IF($A273&lt;DATE(2018,7,1),"-",INDEX('I1 - Universal Data'!$E$15:$V$15, MATCH(YEAR(EOMONTH($A273,6)), 'I1 - Universal Data'!$E$14:$V$14, 0)))</f>
        <v>0.11584699426229506</v>
      </c>
      <c r="H273" s="925">
        <f>IF($A273&lt;DATE(2018,7,1),"-",INDEX('I1 - Universal Data'!$E$17:$V$17, MATCH(YEAR(EOMONTH($A273,6)), 'I1 - Universal Data'!$E$14:$V$14, 0)))</f>
        <v>9.0667455547039033E-2</v>
      </c>
      <c r="I273" s="926">
        <f t="shared" si="26"/>
        <v>111.4</v>
      </c>
      <c r="J273" s="926">
        <f t="shared" si="26"/>
        <v>305.5</v>
      </c>
      <c r="K273" s="926">
        <f t="shared" si="26"/>
        <v>111.3</v>
      </c>
      <c r="L273" s="930"/>
      <c r="X273" s="929"/>
    </row>
    <row r="274" spans="1:24">
      <c r="A274" s="922">
        <f t="shared" si="25"/>
        <v>44439</v>
      </c>
      <c r="B274" s="923">
        <f t="shared" si="24"/>
        <v>2022</v>
      </c>
      <c r="C274" s="924">
        <v>112.1</v>
      </c>
      <c r="D274" s="924">
        <v>307.39999999999998</v>
      </c>
      <c r="E274" s="924">
        <v>112.1</v>
      </c>
      <c r="F274" s="925">
        <f>IF($A274&lt;DATE(2018,7,1),"-",INDEX('I1 - Universal Data'!$E$16:$V$16, MATCH(YEAR(EOMONTH($A274,6)), 'I1 - Universal Data'!$E$14:$V$14, 0)))</f>
        <v>7.9220486703172499E-2</v>
      </c>
      <c r="G274" s="925">
        <f>IF($A274&lt;DATE(2018,7,1),"-",INDEX('I1 - Universal Data'!$E$15:$V$15, MATCH(YEAR(EOMONTH($A274,6)), 'I1 - Universal Data'!$E$14:$V$14, 0)))</f>
        <v>0.11584699426229506</v>
      </c>
      <c r="H274" s="925">
        <f>IF($A274&lt;DATE(2018,7,1),"-",INDEX('I1 - Universal Data'!$E$17:$V$17, MATCH(YEAR(EOMONTH($A274,6)), 'I1 - Universal Data'!$E$14:$V$14, 0)))</f>
        <v>9.0667455547039033E-2</v>
      </c>
      <c r="I274" s="926">
        <f t="shared" si="26"/>
        <v>112.1</v>
      </c>
      <c r="J274" s="926">
        <f t="shared" si="26"/>
        <v>307.39999999999998</v>
      </c>
      <c r="K274" s="926">
        <f t="shared" si="26"/>
        <v>112.1</v>
      </c>
      <c r="L274" s="930"/>
      <c r="X274" s="929"/>
    </row>
    <row r="275" spans="1:24">
      <c r="A275" s="922">
        <f t="shared" si="25"/>
        <v>44469</v>
      </c>
      <c r="B275" s="923">
        <f t="shared" si="24"/>
        <v>2022</v>
      </c>
      <c r="C275" s="924">
        <v>112.4</v>
      </c>
      <c r="D275" s="924">
        <v>308.60000000000002</v>
      </c>
      <c r="E275" s="924">
        <v>112.4</v>
      </c>
      <c r="F275" s="925">
        <f>IF($A275&lt;DATE(2018,7,1),"-",INDEX('I1 - Universal Data'!$E$16:$V$16, MATCH(YEAR(EOMONTH($A275,6)), 'I1 - Universal Data'!$E$14:$V$14, 0)))</f>
        <v>7.9220486703172499E-2</v>
      </c>
      <c r="G275" s="925">
        <f>IF($A275&lt;DATE(2018,7,1),"-",INDEX('I1 - Universal Data'!$E$15:$V$15, MATCH(YEAR(EOMONTH($A275,6)), 'I1 - Universal Data'!$E$14:$V$14, 0)))</f>
        <v>0.11584699426229506</v>
      </c>
      <c r="H275" s="925">
        <f>IF($A275&lt;DATE(2018,7,1),"-",INDEX('I1 - Universal Data'!$E$17:$V$17, MATCH(YEAR(EOMONTH($A275,6)), 'I1 - Universal Data'!$E$14:$V$14, 0)))</f>
        <v>9.0667455547039033E-2</v>
      </c>
      <c r="I275" s="926">
        <f t="shared" si="26"/>
        <v>112.4</v>
      </c>
      <c r="J275" s="926">
        <f t="shared" si="26"/>
        <v>308.60000000000002</v>
      </c>
      <c r="K275" s="926">
        <f t="shared" si="26"/>
        <v>112.4</v>
      </c>
      <c r="L275" s="930"/>
      <c r="X275" s="929"/>
    </row>
    <row r="276" spans="1:24">
      <c r="A276" s="922">
        <f t="shared" si="25"/>
        <v>44500</v>
      </c>
      <c r="B276" s="923">
        <f t="shared" si="24"/>
        <v>2022</v>
      </c>
      <c r="C276" s="924">
        <v>113.4</v>
      </c>
      <c r="D276" s="924">
        <v>312</v>
      </c>
      <c r="E276" s="924">
        <v>113.6</v>
      </c>
      <c r="F276" s="925">
        <f>IF($A276&lt;DATE(2018,7,1),"-",INDEX('I1 - Universal Data'!$E$16:$V$16, MATCH(YEAR(EOMONTH($A276,6)), 'I1 - Universal Data'!$E$14:$V$14, 0)))</f>
        <v>7.9220486703172499E-2</v>
      </c>
      <c r="G276" s="925">
        <f>IF($A276&lt;DATE(2018,7,1),"-",INDEX('I1 - Universal Data'!$E$15:$V$15, MATCH(YEAR(EOMONTH($A276,6)), 'I1 - Universal Data'!$E$14:$V$14, 0)))</f>
        <v>0.11584699426229506</v>
      </c>
      <c r="H276" s="925">
        <f>IF($A276&lt;DATE(2018,7,1),"-",INDEX('I1 - Universal Data'!$E$17:$V$17, MATCH(YEAR(EOMONTH($A276,6)), 'I1 - Universal Data'!$E$14:$V$14, 0)))</f>
        <v>9.0667455547039033E-2</v>
      </c>
      <c r="I276" s="926">
        <f t="shared" si="26"/>
        <v>113.4</v>
      </c>
      <c r="J276" s="926">
        <f t="shared" si="26"/>
        <v>312</v>
      </c>
      <c r="K276" s="926">
        <f t="shared" si="26"/>
        <v>113.6</v>
      </c>
      <c r="L276" s="930"/>
      <c r="X276" s="929"/>
    </row>
    <row r="277" spans="1:24">
      <c r="A277" s="922">
        <f t="shared" si="25"/>
        <v>44530</v>
      </c>
      <c r="B277" s="923">
        <f t="shared" si="24"/>
        <v>2022</v>
      </c>
      <c r="C277" s="924">
        <v>114.1</v>
      </c>
      <c r="D277" s="924">
        <v>314.3</v>
      </c>
      <c r="E277" s="924">
        <v>114.5</v>
      </c>
      <c r="F277" s="925">
        <f>IF($A277&lt;DATE(2018,7,1),"-",INDEX('I1 - Universal Data'!$E$16:$V$16, MATCH(YEAR(EOMONTH($A277,6)), 'I1 - Universal Data'!$E$14:$V$14, 0)))</f>
        <v>7.9220486703172499E-2</v>
      </c>
      <c r="G277" s="925">
        <f>IF($A277&lt;DATE(2018,7,1),"-",INDEX('I1 - Universal Data'!$E$15:$V$15, MATCH(YEAR(EOMONTH($A277,6)), 'I1 - Universal Data'!$E$14:$V$14, 0)))</f>
        <v>0.11584699426229506</v>
      </c>
      <c r="H277" s="925">
        <f>IF($A277&lt;DATE(2018,7,1),"-",INDEX('I1 - Universal Data'!$E$17:$V$17, MATCH(YEAR(EOMONTH($A277,6)), 'I1 - Universal Data'!$E$14:$V$14, 0)))</f>
        <v>9.0667455547039033E-2</v>
      </c>
      <c r="I277" s="926">
        <f t="shared" si="26"/>
        <v>114.1</v>
      </c>
      <c r="J277" s="926">
        <f t="shared" si="26"/>
        <v>314.3</v>
      </c>
      <c r="K277" s="926">
        <f t="shared" si="26"/>
        <v>114.5</v>
      </c>
      <c r="L277" s="930"/>
      <c r="X277" s="929"/>
    </row>
    <row r="278" spans="1:24">
      <c r="A278" s="922">
        <f t="shared" si="25"/>
        <v>44561</v>
      </c>
      <c r="B278" s="923">
        <f t="shared" si="24"/>
        <v>2022</v>
      </c>
      <c r="C278" s="924">
        <v>114.7</v>
      </c>
      <c r="D278" s="924">
        <v>317.7</v>
      </c>
      <c r="E278" s="924">
        <v>115.1</v>
      </c>
      <c r="F278" s="925">
        <f>IF($A278&lt;DATE(2018,7,1),"-",INDEX('I1 - Universal Data'!$E$16:$V$16, MATCH(YEAR(EOMONTH($A278,6)), 'I1 - Universal Data'!$E$14:$V$14, 0)))</f>
        <v>7.9220486703172499E-2</v>
      </c>
      <c r="G278" s="925">
        <f>IF($A278&lt;DATE(2018,7,1),"-",INDEX('I1 - Universal Data'!$E$15:$V$15, MATCH(YEAR(EOMONTH($A278,6)), 'I1 - Universal Data'!$E$14:$V$14, 0)))</f>
        <v>0.11584699426229506</v>
      </c>
      <c r="H278" s="925">
        <f>IF($A278&lt;DATE(2018,7,1),"-",INDEX('I1 - Universal Data'!$E$17:$V$17, MATCH(YEAR(EOMONTH($A278,6)), 'I1 - Universal Data'!$E$14:$V$14, 0)))</f>
        <v>9.0667455547039033E-2</v>
      </c>
      <c r="I278" s="926">
        <f t="shared" si="26"/>
        <v>114.7</v>
      </c>
      <c r="J278" s="926">
        <f t="shared" si="26"/>
        <v>317.7</v>
      </c>
      <c r="K278" s="926">
        <f t="shared" si="26"/>
        <v>115.1</v>
      </c>
      <c r="L278" s="930"/>
      <c r="X278" s="929"/>
    </row>
    <row r="279" spans="1:24">
      <c r="A279" s="922">
        <f t="shared" si="25"/>
        <v>44592</v>
      </c>
      <c r="B279" s="923">
        <f t="shared" si="24"/>
        <v>2022</v>
      </c>
      <c r="C279" s="924">
        <v>114.6</v>
      </c>
      <c r="D279" s="924">
        <v>317.7</v>
      </c>
      <c r="E279" s="924">
        <v>114.9</v>
      </c>
      <c r="F279" s="925">
        <f>IF($A279&lt;DATE(2018,7,1),"-",INDEX('I1 - Universal Data'!$E$16:$V$16, MATCH(YEAR(EOMONTH($A279,6)), 'I1 - Universal Data'!$E$14:$V$14, 0)))</f>
        <v>7.9220486703172499E-2</v>
      </c>
      <c r="G279" s="925">
        <f>IF($A279&lt;DATE(2018,7,1),"-",INDEX('I1 - Universal Data'!$E$15:$V$15, MATCH(YEAR(EOMONTH($A279,6)), 'I1 - Universal Data'!$E$14:$V$14, 0)))</f>
        <v>0.11584699426229506</v>
      </c>
      <c r="H279" s="925">
        <f>IF($A279&lt;DATE(2018,7,1),"-",INDEX('I1 - Universal Data'!$E$17:$V$17, MATCH(YEAR(EOMONTH($A279,6)), 'I1 - Universal Data'!$E$14:$V$14, 0)))</f>
        <v>9.0667455547039033E-2</v>
      </c>
      <c r="I279" s="926">
        <f t="shared" ref="I279:K294" si="27">IF(ISBLANK(C279),I278*((1+F279)^(1/12)),C279)</f>
        <v>114.6</v>
      </c>
      <c r="J279" s="926">
        <f t="shared" si="27"/>
        <v>317.7</v>
      </c>
      <c r="K279" s="926">
        <f t="shared" si="27"/>
        <v>114.9</v>
      </c>
      <c r="L279" s="930"/>
      <c r="X279" s="929"/>
    </row>
    <row r="280" spans="1:24">
      <c r="A280" s="922">
        <f t="shared" si="25"/>
        <v>44620</v>
      </c>
      <c r="B280" s="923">
        <f t="shared" si="24"/>
        <v>2022</v>
      </c>
      <c r="C280" s="924">
        <v>115.4</v>
      </c>
      <c r="D280" s="924">
        <v>320.2</v>
      </c>
      <c r="E280" s="924">
        <v>115.8</v>
      </c>
      <c r="F280" s="925">
        <f>IF($A280&lt;DATE(2018,7,1),"-",INDEX('I1 - Universal Data'!$E$16:$V$16, MATCH(YEAR(EOMONTH($A280,6)), 'I1 - Universal Data'!$E$14:$V$14, 0)))</f>
        <v>7.9220486703172499E-2</v>
      </c>
      <c r="G280" s="925">
        <f>IF($A280&lt;DATE(2018,7,1),"-",INDEX('I1 - Universal Data'!$E$15:$V$15, MATCH(YEAR(EOMONTH($A280,6)), 'I1 - Universal Data'!$E$14:$V$14, 0)))</f>
        <v>0.11584699426229506</v>
      </c>
      <c r="H280" s="925">
        <f>IF($A280&lt;DATE(2018,7,1),"-",INDEX('I1 - Universal Data'!$E$17:$V$17, MATCH(YEAR(EOMONTH($A280,6)), 'I1 - Universal Data'!$E$14:$V$14, 0)))</f>
        <v>9.0667455547039033E-2</v>
      </c>
      <c r="I280" s="926">
        <f t="shared" si="27"/>
        <v>115.4</v>
      </c>
      <c r="J280" s="926">
        <f t="shared" si="27"/>
        <v>320.2</v>
      </c>
      <c r="K280" s="926">
        <f t="shared" si="27"/>
        <v>115.8</v>
      </c>
      <c r="X280" s="929"/>
    </row>
    <row r="281" spans="1:24">
      <c r="A281" s="922">
        <f t="shared" si="25"/>
        <v>44651</v>
      </c>
      <c r="B281" s="923">
        <f t="shared" si="24"/>
        <v>2022</v>
      </c>
      <c r="C281" s="924">
        <v>116.5</v>
      </c>
      <c r="D281" s="924">
        <v>323.5</v>
      </c>
      <c r="E281" s="924">
        <v>117.1</v>
      </c>
      <c r="F281" s="925">
        <f>IF($A281&lt;DATE(2018,7,1),"-",INDEX('I1 - Universal Data'!$E$16:$V$16, MATCH(YEAR(EOMONTH($A281,6)), 'I1 - Universal Data'!$E$14:$V$14, 0)))</f>
        <v>7.9220486703172499E-2</v>
      </c>
      <c r="G281" s="925">
        <f>IF($A281&lt;DATE(2018,7,1),"-",INDEX('I1 - Universal Data'!$E$15:$V$15, MATCH(YEAR(EOMONTH($A281,6)), 'I1 - Universal Data'!$E$14:$V$14, 0)))</f>
        <v>0.11584699426229506</v>
      </c>
      <c r="H281" s="925">
        <f>IF($A281&lt;DATE(2018,7,1),"-",INDEX('I1 - Universal Data'!$E$17:$V$17, MATCH(YEAR(EOMONTH($A281,6)), 'I1 - Universal Data'!$E$14:$V$14, 0)))</f>
        <v>9.0667455547039033E-2</v>
      </c>
      <c r="I281" s="926">
        <f t="shared" si="27"/>
        <v>116.5</v>
      </c>
      <c r="J281" s="926">
        <f t="shared" si="27"/>
        <v>323.5</v>
      </c>
      <c r="K281" s="926">
        <f t="shared" si="27"/>
        <v>117.1</v>
      </c>
      <c r="X281" s="929"/>
    </row>
    <row r="282" spans="1:24">
      <c r="A282" s="922">
        <f t="shared" si="25"/>
        <v>44681</v>
      </c>
      <c r="B282" s="923">
        <f t="shared" si="24"/>
        <v>2023</v>
      </c>
      <c r="C282" s="924">
        <v>119</v>
      </c>
      <c r="D282" s="924">
        <v>334.6</v>
      </c>
      <c r="E282" s="924">
        <v>120</v>
      </c>
      <c r="F282" s="925">
        <f>IF($A282&lt;DATE(2018,7,1),"-",INDEX('I1 - Universal Data'!$E$16:$V$16, MATCH(YEAR(EOMONTH($A282,6)), 'I1 - Universal Data'!$E$14:$V$14, 0)))</f>
        <v>7.9220486703172499E-2</v>
      </c>
      <c r="G282" s="925">
        <f>IF($A282&lt;DATE(2018,7,1),"-",INDEX('I1 - Universal Data'!$E$15:$V$15, MATCH(YEAR(EOMONTH($A282,6)), 'I1 - Universal Data'!$E$14:$V$14, 0)))</f>
        <v>0.11584699426229506</v>
      </c>
      <c r="H282" s="925">
        <f>IF($A282&lt;DATE(2018,7,1),"-",INDEX('I1 - Universal Data'!$E$17:$V$17, MATCH(YEAR(EOMONTH($A282,6)), 'I1 - Universal Data'!$E$14:$V$14, 0)))</f>
        <v>9.0667455547039033E-2</v>
      </c>
      <c r="I282" s="926">
        <f t="shared" si="27"/>
        <v>119</v>
      </c>
      <c r="J282" s="926">
        <f t="shared" si="27"/>
        <v>334.6</v>
      </c>
      <c r="K282" s="926">
        <f t="shared" si="27"/>
        <v>120</v>
      </c>
      <c r="X282" s="427"/>
    </row>
    <row r="283" spans="1:24">
      <c r="A283" s="922">
        <f t="shared" si="25"/>
        <v>44712</v>
      </c>
      <c r="B283" s="923">
        <f t="shared" si="24"/>
        <v>2023</v>
      </c>
      <c r="C283" s="924">
        <v>119.7</v>
      </c>
      <c r="D283" s="924">
        <v>337.1</v>
      </c>
      <c r="E283" s="924">
        <v>120.8</v>
      </c>
      <c r="F283" s="925">
        <f>IF($A283&lt;DATE(2018,7,1),"-",INDEX('I1 - Universal Data'!$E$16:$V$16, MATCH(YEAR(EOMONTH($A283,6)), 'I1 - Universal Data'!$E$14:$V$14, 0)))</f>
        <v>7.9220486703172499E-2</v>
      </c>
      <c r="G283" s="925">
        <f>IF($A283&lt;DATE(2018,7,1),"-",INDEX('I1 - Universal Data'!$E$15:$V$15, MATCH(YEAR(EOMONTH($A283,6)), 'I1 - Universal Data'!$E$14:$V$14, 0)))</f>
        <v>0.11584699426229506</v>
      </c>
      <c r="H283" s="925">
        <f>IF($A283&lt;DATE(2018,7,1),"-",INDEX('I1 - Universal Data'!$E$17:$V$17, MATCH(YEAR(EOMONTH($A283,6)), 'I1 - Universal Data'!$E$14:$V$14, 0)))</f>
        <v>9.0667455547039033E-2</v>
      </c>
      <c r="I283" s="926">
        <f t="shared" si="27"/>
        <v>119.7</v>
      </c>
      <c r="J283" s="926">
        <f t="shared" si="27"/>
        <v>337.1</v>
      </c>
      <c r="K283" s="926">
        <f t="shared" si="27"/>
        <v>120.8</v>
      </c>
      <c r="X283" s="427"/>
    </row>
    <row r="284" spans="1:24">
      <c r="A284" s="922">
        <f t="shared" si="25"/>
        <v>44742</v>
      </c>
      <c r="B284" s="923">
        <f t="shared" si="24"/>
        <v>2023</v>
      </c>
      <c r="C284" s="924">
        <v>120.5</v>
      </c>
      <c r="D284" s="924">
        <v>340</v>
      </c>
      <c r="E284" s="924">
        <v>121.8</v>
      </c>
      <c r="F284" s="925">
        <f>IF($A284&lt;DATE(2018,7,1),"-",INDEX('I1 - Universal Data'!$E$16:$V$16, MATCH(YEAR(EOMONTH($A284,6)), 'I1 - Universal Data'!$E$14:$V$14, 0)))</f>
        <v>7.9220486703172499E-2</v>
      </c>
      <c r="G284" s="925">
        <f>IF($A284&lt;DATE(2018,7,1),"-",INDEX('I1 - Universal Data'!$E$15:$V$15, MATCH(YEAR(EOMONTH($A284,6)), 'I1 - Universal Data'!$E$14:$V$14, 0)))</f>
        <v>0.11584699426229506</v>
      </c>
      <c r="H284" s="925">
        <f>IF($A284&lt;DATE(2018,7,1),"-",INDEX('I1 - Universal Data'!$E$17:$V$17, MATCH(YEAR(EOMONTH($A284,6)), 'I1 - Universal Data'!$E$14:$V$14, 0)))</f>
        <v>9.0667455547039033E-2</v>
      </c>
      <c r="I284" s="926">
        <f t="shared" si="27"/>
        <v>120.5</v>
      </c>
      <c r="J284" s="926">
        <f t="shared" si="27"/>
        <v>340</v>
      </c>
      <c r="K284" s="926">
        <f t="shared" si="27"/>
        <v>121.8</v>
      </c>
      <c r="X284" s="427"/>
    </row>
    <row r="285" spans="1:24">
      <c r="A285" s="922">
        <f t="shared" si="25"/>
        <v>44773</v>
      </c>
      <c r="B285" s="923">
        <f t="shared" si="24"/>
        <v>2023</v>
      </c>
      <c r="C285" s="924">
        <v>121.2</v>
      </c>
      <c r="D285" s="924">
        <v>343.2</v>
      </c>
      <c r="E285" s="924">
        <v>122.5</v>
      </c>
      <c r="F285" s="925">
        <f>IF($A285&lt;DATE(2018,7,1),"-",INDEX('I1 - Universal Data'!$E$16:$V$16, MATCH(YEAR(EOMONTH($A285,6)), 'I1 - Universal Data'!$E$14:$V$14, 0)))</f>
        <v>6.7939669987546525E-2</v>
      </c>
      <c r="G285" s="925">
        <f>IF($A285&lt;DATE(2018,7,1),"-",INDEX('I1 - Universal Data'!$E$15:$V$15, MATCH(YEAR(EOMONTH($A285,6)), 'I1 - Universal Data'!$E$14:$V$14, 0)))</f>
        <v>9.6914789201007601E-2</v>
      </c>
      <c r="H285" s="925">
        <f>IF($A285&lt;DATE(2018,7,1),"-",INDEX('I1 - Universal Data'!$E$17:$V$17, MATCH(YEAR(EOMONTH($A285,6)), 'I1 - Universal Data'!$E$14:$V$14, 0)))</f>
        <v>7.3032807433557112E-2</v>
      </c>
      <c r="I285" s="926">
        <f t="shared" si="27"/>
        <v>121.2</v>
      </c>
      <c r="J285" s="926">
        <f t="shared" si="27"/>
        <v>343.2</v>
      </c>
      <c r="K285" s="926">
        <f t="shared" si="27"/>
        <v>122.5</v>
      </c>
      <c r="X285" s="427"/>
    </row>
    <row r="286" spans="1:24">
      <c r="A286" s="922">
        <f t="shared" si="25"/>
        <v>44804</v>
      </c>
      <c r="B286" s="923">
        <f t="shared" si="24"/>
        <v>2023</v>
      </c>
      <c r="C286" s="924">
        <v>121.8</v>
      </c>
      <c r="D286" s="924">
        <v>345.2</v>
      </c>
      <c r="E286" s="924">
        <v>123.1</v>
      </c>
      <c r="F286" s="925">
        <f>IF($A286&lt;DATE(2018,7,1),"-",INDEX('I1 - Universal Data'!$E$16:$V$16, MATCH(YEAR(EOMONTH($A286,6)), 'I1 - Universal Data'!$E$14:$V$14, 0)))</f>
        <v>6.7939669987546525E-2</v>
      </c>
      <c r="G286" s="925">
        <f>IF($A286&lt;DATE(2018,7,1),"-",INDEX('I1 - Universal Data'!$E$15:$V$15, MATCH(YEAR(EOMONTH($A286,6)), 'I1 - Universal Data'!$E$14:$V$14, 0)))</f>
        <v>9.6914789201007601E-2</v>
      </c>
      <c r="H286" s="925">
        <f>IF($A286&lt;DATE(2018,7,1),"-",INDEX('I1 - Universal Data'!$E$17:$V$17, MATCH(YEAR(EOMONTH($A286,6)), 'I1 - Universal Data'!$E$14:$V$14, 0)))</f>
        <v>7.3032807433557112E-2</v>
      </c>
      <c r="I286" s="926">
        <f t="shared" si="27"/>
        <v>121.8</v>
      </c>
      <c r="J286" s="926">
        <f t="shared" si="27"/>
        <v>345.2</v>
      </c>
      <c r="K286" s="926">
        <f t="shared" si="27"/>
        <v>123.1</v>
      </c>
      <c r="X286" s="427"/>
    </row>
    <row r="287" spans="1:24">
      <c r="A287" s="922">
        <f t="shared" si="25"/>
        <v>44834</v>
      </c>
      <c r="B287" s="923">
        <f t="shared" si="24"/>
        <v>2023</v>
      </c>
      <c r="C287" s="924">
        <v>122.3</v>
      </c>
      <c r="D287" s="924">
        <v>347.6</v>
      </c>
      <c r="E287" s="924">
        <v>123.8</v>
      </c>
      <c r="F287" s="925">
        <f>IF($A287&lt;DATE(2018,7,1),"-",INDEX('I1 - Universal Data'!$E$16:$V$16, MATCH(YEAR(EOMONTH($A287,6)), 'I1 - Universal Data'!$E$14:$V$14, 0)))</f>
        <v>6.7939669987546525E-2</v>
      </c>
      <c r="G287" s="925">
        <f>IF($A287&lt;DATE(2018,7,1),"-",INDEX('I1 - Universal Data'!$E$15:$V$15, MATCH(YEAR(EOMONTH($A287,6)), 'I1 - Universal Data'!$E$14:$V$14, 0)))</f>
        <v>9.6914789201007601E-2</v>
      </c>
      <c r="H287" s="925">
        <f>IF($A287&lt;DATE(2018,7,1),"-",INDEX('I1 - Universal Data'!$E$17:$V$17, MATCH(YEAR(EOMONTH($A287,6)), 'I1 - Universal Data'!$E$14:$V$14, 0)))</f>
        <v>7.3032807433557112E-2</v>
      </c>
      <c r="I287" s="926">
        <f t="shared" si="27"/>
        <v>122.3</v>
      </c>
      <c r="J287" s="926">
        <f t="shared" si="27"/>
        <v>347.6</v>
      </c>
      <c r="K287" s="926">
        <f t="shared" si="27"/>
        <v>123.8</v>
      </c>
      <c r="X287" s="427"/>
    </row>
    <row r="288" spans="1:24">
      <c r="A288" s="922">
        <f t="shared" si="25"/>
        <v>44865</v>
      </c>
      <c r="B288" s="923">
        <f t="shared" si="24"/>
        <v>2023</v>
      </c>
      <c r="C288" s="924">
        <v>124.3</v>
      </c>
      <c r="D288" s="924">
        <v>356.2</v>
      </c>
      <c r="E288" s="924">
        <v>126.2</v>
      </c>
      <c r="F288" s="925">
        <f>IF($A288&lt;DATE(2018,7,1),"-",INDEX('I1 - Universal Data'!$E$16:$V$16, MATCH(YEAR(EOMONTH($A288,6)), 'I1 - Universal Data'!$E$14:$V$14, 0)))</f>
        <v>6.7939669987546525E-2</v>
      </c>
      <c r="G288" s="925">
        <f>IF($A288&lt;DATE(2018,7,1),"-",INDEX('I1 - Universal Data'!$E$15:$V$15, MATCH(YEAR(EOMONTH($A288,6)), 'I1 - Universal Data'!$E$14:$V$14, 0)))</f>
        <v>9.6914789201007601E-2</v>
      </c>
      <c r="H288" s="925">
        <f>IF($A288&lt;DATE(2018,7,1),"-",INDEX('I1 - Universal Data'!$E$17:$V$17, MATCH(YEAR(EOMONTH($A288,6)), 'I1 - Universal Data'!$E$14:$V$14, 0)))</f>
        <v>7.3032807433557112E-2</v>
      </c>
      <c r="I288" s="926">
        <f t="shared" si="27"/>
        <v>124.3</v>
      </c>
      <c r="J288" s="926">
        <f t="shared" si="27"/>
        <v>356.2</v>
      </c>
      <c r="K288" s="926">
        <f t="shared" si="27"/>
        <v>126.2</v>
      </c>
      <c r="X288" s="427"/>
    </row>
    <row r="289" spans="1:24">
      <c r="A289" s="922">
        <f t="shared" si="25"/>
        <v>44895</v>
      </c>
      <c r="B289" s="923">
        <f t="shared" si="24"/>
        <v>2023</v>
      </c>
      <c r="C289" s="924">
        <v>124.8</v>
      </c>
      <c r="D289" s="924">
        <v>358.3</v>
      </c>
      <c r="E289" s="924">
        <v>126.7</v>
      </c>
      <c r="F289" s="925">
        <f>IF($A289&lt;DATE(2018,7,1),"-",INDEX('I1 - Universal Data'!$E$16:$V$16, MATCH(YEAR(EOMONTH($A289,6)), 'I1 - Universal Data'!$E$14:$V$14, 0)))</f>
        <v>6.7939669987546525E-2</v>
      </c>
      <c r="G289" s="925">
        <f>IF($A289&lt;DATE(2018,7,1),"-",INDEX('I1 - Universal Data'!$E$15:$V$15, MATCH(YEAR(EOMONTH($A289,6)), 'I1 - Universal Data'!$E$14:$V$14, 0)))</f>
        <v>9.6914789201007601E-2</v>
      </c>
      <c r="H289" s="925">
        <f>IF($A289&lt;DATE(2018,7,1),"-",INDEX('I1 - Universal Data'!$E$17:$V$17, MATCH(YEAR(EOMONTH($A289,6)), 'I1 - Universal Data'!$E$14:$V$14, 0)))</f>
        <v>7.3032807433557112E-2</v>
      </c>
      <c r="I289" s="926">
        <f t="shared" si="27"/>
        <v>124.8</v>
      </c>
      <c r="J289" s="926">
        <f t="shared" si="27"/>
        <v>358.3</v>
      </c>
      <c r="K289" s="926">
        <f t="shared" si="27"/>
        <v>126.7</v>
      </c>
      <c r="X289" s="427"/>
    </row>
    <row r="290" spans="1:24">
      <c r="A290" s="922">
        <f t="shared" si="25"/>
        <v>44926</v>
      </c>
      <c r="B290" s="923">
        <f t="shared" si="24"/>
        <v>2023</v>
      </c>
      <c r="C290" s="924">
        <v>125.3</v>
      </c>
      <c r="D290" s="924">
        <v>360.4</v>
      </c>
      <c r="E290" s="924">
        <v>127.2</v>
      </c>
      <c r="F290" s="925">
        <f>IF($A290&lt;DATE(2018,7,1),"-",INDEX('I1 - Universal Data'!$E$16:$V$16, MATCH(YEAR(EOMONTH($A290,6)), 'I1 - Universal Data'!$E$14:$V$14, 0)))</f>
        <v>6.7939669987546525E-2</v>
      </c>
      <c r="G290" s="925">
        <f>IF($A290&lt;DATE(2018,7,1),"-",INDEX('I1 - Universal Data'!$E$15:$V$15, MATCH(YEAR(EOMONTH($A290,6)), 'I1 - Universal Data'!$E$14:$V$14, 0)))</f>
        <v>9.6914789201007601E-2</v>
      </c>
      <c r="H290" s="925">
        <f>IF($A290&lt;DATE(2018,7,1),"-",INDEX('I1 - Universal Data'!$E$17:$V$17, MATCH(YEAR(EOMONTH($A290,6)), 'I1 - Universal Data'!$E$14:$V$14, 0)))</f>
        <v>7.3032807433557112E-2</v>
      </c>
      <c r="I290" s="926">
        <f t="shared" si="27"/>
        <v>125.3</v>
      </c>
      <c r="J290" s="926">
        <f t="shared" si="27"/>
        <v>360.4</v>
      </c>
      <c r="K290" s="926">
        <f t="shared" si="27"/>
        <v>127.2</v>
      </c>
      <c r="X290" s="427"/>
    </row>
    <row r="291" spans="1:24">
      <c r="A291" s="922">
        <f t="shared" si="25"/>
        <v>44957</v>
      </c>
      <c r="B291" s="923">
        <f t="shared" si="24"/>
        <v>2023</v>
      </c>
      <c r="C291" s="924">
        <v>124.8</v>
      </c>
      <c r="D291" s="924">
        <v>360.3</v>
      </c>
      <c r="E291" s="924">
        <v>126.4</v>
      </c>
      <c r="F291" s="925">
        <f>IF($A291&lt;DATE(2018,7,1),"-",INDEX('I1 - Universal Data'!$E$16:$V$16, MATCH(YEAR(EOMONTH($A291,6)), 'I1 - Universal Data'!$E$14:$V$14, 0)))</f>
        <v>6.7939669987546525E-2</v>
      </c>
      <c r="G291" s="925">
        <f>IF($A291&lt;DATE(2018,7,1),"-",INDEX('I1 - Universal Data'!$E$15:$V$15, MATCH(YEAR(EOMONTH($A291,6)), 'I1 - Universal Data'!$E$14:$V$14, 0)))</f>
        <v>9.6914789201007601E-2</v>
      </c>
      <c r="H291" s="925">
        <f>IF($A291&lt;DATE(2018,7,1),"-",INDEX('I1 - Universal Data'!$E$17:$V$17, MATCH(YEAR(EOMONTH($A291,6)), 'I1 - Universal Data'!$E$14:$V$14, 0)))</f>
        <v>7.3032807433557112E-2</v>
      </c>
      <c r="I291" s="926">
        <f t="shared" si="27"/>
        <v>124.8</v>
      </c>
      <c r="J291" s="926">
        <f t="shared" si="27"/>
        <v>360.3</v>
      </c>
      <c r="K291" s="926">
        <f t="shared" si="27"/>
        <v>126.4</v>
      </c>
      <c r="X291" s="427"/>
    </row>
    <row r="292" spans="1:24">
      <c r="A292" s="922">
        <f t="shared" si="25"/>
        <v>44985</v>
      </c>
      <c r="B292" s="923">
        <f t="shared" si="24"/>
        <v>2023</v>
      </c>
      <c r="C292" s="924">
        <v>126</v>
      </c>
      <c r="D292" s="924">
        <v>364.5</v>
      </c>
      <c r="E292" s="924">
        <v>127.9</v>
      </c>
      <c r="F292" s="925">
        <f>IF($A292&lt;DATE(2018,7,1),"-",INDEX('I1 - Universal Data'!$E$16:$V$16, MATCH(YEAR(EOMONTH($A292,6)), 'I1 - Universal Data'!$E$14:$V$14, 0)))</f>
        <v>6.7939669987546525E-2</v>
      </c>
      <c r="G292" s="925">
        <f>IF($A292&lt;DATE(2018,7,1),"-",INDEX('I1 - Universal Data'!$E$15:$V$15, MATCH(YEAR(EOMONTH($A292,6)), 'I1 - Universal Data'!$E$14:$V$14, 0)))</f>
        <v>9.6914789201007601E-2</v>
      </c>
      <c r="H292" s="925">
        <f>IF($A292&lt;DATE(2018,7,1),"-",INDEX('I1 - Universal Data'!$E$17:$V$17, MATCH(YEAR(EOMONTH($A292,6)), 'I1 - Universal Data'!$E$14:$V$14, 0)))</f>
        <v>7.3032807433557112E-2</v>
      </c>
      <c r="I292" s="926">
        <f t="shared" si="27"/>
        <v>126</v>
      </c>
      <c r="J292" s="926">
        <f t="shared" si="27"/>
        <v>364.5</v>
      </c>
      <c r="K292" s="926">
        <f t="shared" si="27"/>
        <v>127.9</v>
      </c>
      <c r="X292" s="427"/>
    </row>
    <row r="293" spans="1:24">
      <c r="A293" s="922">
        <f t="shared" si="25"/>
        <v>45016</v>
      </c>
      <c r="B293" s="923">
        <f t="shared" si="24"/>
        <v>2023</v>
      </c>
      <c r="C293" s="924">
        <v>126.8</v>
      </c>
      <c r="D293" s="924">
        <v>367.2</v>
      </c>
      <c r="E293" s="924">
        <v>128.9</v>
      </c>
      <c r="F293" s="925">
        <f>IF($A293&lt;DATE(2018,7,1),"-",INDEX('I1 - Universal Data'!$E$16:$V$16, MATCH(YEAR(EOMONTH($A293,6)), 'I1 - Universal Data'!$E$14:$V$14, 0)))</f>
        <v>6.7939669987546525E-2</v>
      </c>
      <c r="G293" s="925">
        <f>IF($A293&lt;DATE(2018,7,1),"-",INDEX('I1 - Universal Data'!$E$15:$V$15, MATCH(YEAR(EOMONTH($A293,6)), 'I1 - Universal Data'!$E$14:$V$14, 0)))</f>
        <v>9.6914789201007601E-2</v>
      </c>
      <c r="H293" s="925">
        <f>IF($A293&lt;DATE(2018,7,1),"-",INDEX('I1 - Universal Data'!$E$17:$V$17, MATCH(YEAR(EOMONTH($A293,6)), 'I1 - Universal Data'!$E$14:$V$14, 0)))</f>
        <v>7.3032807433557112E-2</v>
      </c>
      <c r="I293" s="926">
        <f t="shared" si="27"/>
        <v>126.8</v>
      </c>
      <c r="J293" s="926">
        <f t="shared" si="27"/>
        <v>367.2</v>
      </c>
      <c r="K293" s="926">
        <f t="shared" si="27"/>
        <v>128.9</v>
      </c>
      <c r="X293" s="427"/>
    </row>
    <row r="294" spans="1:24">
      <c r="A294" s="922">
        <f t="shared" si="25"/>
        <v>45046</v>
      </c>
      <c r="B294" s="923">
        <f t="shared" si="24"/>
        <v>2024</v>
      </c>
      <c r="C294" s="924">
        <v>128.30000000000001</v>
      </c>
      <c r="D294" s="924">
        <v>372.8</v>
      </c>
      <c r="E294" s="924">
        <v>130.4</v>
      </c>
      <c r="F294" s="925">
        <f>IF($A294&lt;DATE(2018,7,1),"-",INDEX('I1 - Universal Data'!$E$16:$V$16, MATCH(YEAR(EOMONTH($A294,6)), 'I1 - Universal Data'!$E$14:$V$14, 0)))</f>
        <v>6.7939669987546525E-2</v>
      </c>
      <c r="G294" s="925">
        <f>IF($A294&lt;DATE(2018,7,1),"-",INDEX('I1 - Universal Data'!$E$15:$V$15, MATCH(YEAR(EOMONTH($A294,6)), 'I1 - Universal Data'!$E$14:$V$14, 0)))</f>
        <v>9.6914789201007601E-2</v>
      </c>
      <c r="H294" s="925">
        <f>IF($A294&lt;DATE(2018,7,1),"-",INDEX('I1 - Universal Data'!$E$17:$V$17, MATCH(YEAR(EOMONTH($A294,6)), 'I1 - Universal Data'!$E$14:$V$14, 0)))</f>
        <v>7.3032807433557112E-2</v>
      </c>
      <c r="I294" s="926">
        <f t="shared" si="27"/>
        <v>128.30000000000001</v>
      </c>
      <c r="J294" s="926">
        <f t="shared" si="27"/>
        <v>372.8</v>
      </c>
      <c r="K294" s="926">
        <f t="shared" si="27"/>
        <v>130.4</v>
      </c>
      <c r="X294" s="927"/>
    </row>
    <row r="295" spans="1:24">
      <c r="A295" s="922">
        <f t="shared" si="25"/>
        <v>45077</v>
      </c>
      <c r="B295" s="923">
        <f t="shared" si="24"/>
        <v>2024</v>
      </c>
      <c r="C295" s="924">
        <v>129.1</v>
      </c>
      <c r="D295" s="924">
        <v>375.3</v>
      </c>
      <c r="E295" s="924">
        <v>131.30000000000001</v>
      </c>
      <c r="F295" s="925">
        <f>IF($A295&lt;DATE(2018,7,1),"-",INDEX('I1 - Universal Data'!$E$16:$V$16, MATCH(YEAR(EOMONTH($A295,6)), 'I1 - Universal Data'!$E$14:$V$14, 0)))</f>
        <v>6.7939669987546525E-2</v>
      </c>
      <c r="G295" s="925">
        <f>IF($A295&lt;DATE(2018,7,1),"-",INDEX('I1 - Universal Data'!$E$15:$V$15, MATCH(YEAR(EOMONTH($A295,6)), 'I1 - Universal Data'!$E$14:$V$14, 0)))</f>
        <v>9.6914789201007601E-2</v>
      </c>
      <c r="H295" s="925">
        <f>IF($A295&lt;DATE(2018,7,1),"-",INDEX('I1 - Universal Data'!$E$17:$V$17, MATCH(YEAR(EOMONTH($A295,6)), 'I1 - Universal Data'!$E$14:$V$14, 0)))</f>
        <v>7.3032807433557112E-2</v>
      </c>
      <c r="I295" s="926">
        <f t="shared" ref="I295:K310" si="28">IF(ISBLANK(C295),I294*((1+F295)^(1/12)),C295)</f>
        <v>129.1</v>
      </c>
      <c r="J295" s="926">
        <f t="shared" si="28"/>
        <v>375.3</v>
      </c>
      <c r="K295" s="926">
        <f t="shared" si="28"/>
        <v>131.30000000000001</v>
      </c>
      <c r="X295" s="927"/>
    </row>
    <row r="296" spans="1:24">
      <c r="A296" s="922">
        <f t="shared" si="25"/>
        <v>45107</v>
      </c>
      <c r="B296" s="923">
        <f t="shared" si="24"/>
        <v>2024</v>
      </c>
      <c r="C296" s="924">
        <v>129.4</v>
      </c>
      <c r="D296" s="924">
        <v>376.4</v>
      </c>
      <c r="E296" s="924">
        <v>131.5</v>
      </c>
      <c r="F296" s="925">
        <f>IF($A296&lt;DATE(2018,7,1),"-",INDEX('I1 - Universal Data'!$E$16:$V$16, MATCH(YEAR(EOMONTH($A296,6)), 'I1 - Universal Data'!$E$14:$V$14, 0)))</f>
        <v>6.7939669987546525E-2</v>
      </c>
      <c r="G296" s="925">
        <f>IF($A296&lt;DATE(2018,7,1),"-",INDEX('I1 - Universal Data'!$E$15:$V$15, MATCH(YEAR(EOMONTH($A296,6)), 'I1 - Universal Data'!$E$14:$V$14, 0)))</f>
        <v>9.6914789201007601E-2</v>
      </c>
      <c r="H296" s="925">
        <f>IF($A296&lt;DATE(2018,7,1),"-",INDEX('I1 - Universal Data'!$E$17:$V$17, MATCH(YEAR(EOMONTH($A296,6)), 'I1 - Universal Data'!$E$14:$V$14, 0)))</f>
        <v>7.3032807433557112E-2</v>
      </c>
      <c r="I296" s="926">
        <f t="shared" si="28"/>
        <v>129.4</v>
      </c>
      <c r="J296" s="926">
        <f t="shared" si="28"/>
        <v>376.4</v>
      </c>
      <c r="K296" s="926">
        <f t="shared" si="28"/>
        <v>131.5</v>
      </c>
      <c r="X296" s="927"/>
    </row>
    <row r="297" spans="1:24">
      <c r="A297" s="922">
        <f t="shared" si="25"/>
        <v>45138</v>
      </c>
      <c r="B297" s="923">
        <f t="shared" si="24"/>
        <v>2024</v>
      </c>
      <c r="C297" s="924">
        <v>129</v>
      </c>
      <c r="D297" s="924">
        <v>374.2</v>
      </c>
      <c r="E297" s="924">
        <v>130.9</v>
      </c>
      <c r="F297" s="925">
        <f>IF($A297&lt;DATE(2018,7,1),"-",INDEX('I1 - Universal Data'!$E$16:$V$16, MATCH(YEAR(EOMONTH($A297,6)), 'I1 - Universal Data'!$E$14:$V$14, 0)))</f>
        <v>3.2715730780458641E-2</v>
      </c>
      <c r="G297" s="925">
        <f>IF($A297&lt;DATE(2018,7,1),"-",INDEX('I1 - Universal Data'!$E$15:$V$15, MATCH(YEAR(EOMONTH($A297,6)), 'I1 - Universal Data'!$E$14:$V$14, 0)))</f>
        <v>3.5849815186325129E-2</v>
      </c>
      <c r="H297" s="925">
        <f>IF($A297&lt;DATE(2018,7,1),"-",INDEX('I1 - Universal Data'!$E$17:$V$17, MATCH(YEAR(EOMONTH($A297,6)), 'I1 - Universal Data'!$E$14:$V$14, 0)))</f>
        <v>2.5301927741606001E-2</v>
      </c>
      <c r="I297" s="926">
        <f t="shared" si="28"/>
        <v>129</v>
      </c>
      <c r="J297" s="926">
        <f t="shared" si="28"/>
        <v>374.2</v>
      </c>
      <c r="K297" s="926">
        <f t="shared" si="28"/>
        <v>130.9</v>
      </c>
      <c r="X297" s="927"/>
    </row>
    <row r="298" spans="1:24">
      <c r="A298" s="922">
        <f t="shared" si="25"/>
        <v>45169</v>
      </c>
      <c r="B298" s="923">
        <f t="shared" si="24"/>
        <v>2024</v>
      </c>
      <c r="C298" s="924">
        <v>129.4</v>
      </c>
      <c r="D298" s="924">
        <v>376.6</v>
      </c>
      <c r="E298" s="924">
        <v>131.30000000000001</v>
      </c>
      <c r="F298" s="925">
        <f>IF($A298&lt;DATE(2018,7,1),"-",INDEX('I1 - Universal Data'!$E$16:$V$16, MATCH(YEAR(EOMONTH($A298,6)), 'I1 - Universal Data'!$E$14:$V$14, 0)))</f>
        <v>3.2715730780458641E-2</v>
      </c>
      <c r="G298" s="925">
        <f>IF($A298&lt;DATE(2018,7,1),"-",INDEX('I1 - Universal Data'!$E$15:$V$15, MATCH(YEAR(EOMONTH($A298,6)), 'I1 - Universal Data'!$E$14:$V$14, 0)))</f>
        <v>3.5849815186325129E-2</v>
      </c>
      <c r="H298" s="925">
        <f>IF($A298&lt;DATE(2018,7,1),"-",INDEX('I1 - Universal Data'!$E$17:$V$17, MATCH(YEAR(EOMONTH($A298,6)), 'I1 - Universal Data'!$E$14:$V$14, 0)))</f>
        <v>2.5301927741606001E-2</v>
      </c>
      <c r="I298" s="926">
        <f t="shared" si="28"/>
        <v>129.4</v>
      </c>
      <c r="J298" s="926">
        <f t="shared" si="28"/>
        <v>376.6</v>
      </c>
      <c r="K298" s="926">
        <f t="shared" si="28"/>
        <v>131.30000000000001</v>
      </c>
      <c r="X298" s="927"/>
    </row>
    <row r="299" spans="1:24">
      <c r="A299" s="922">
        <f t="shared" si="25"/>
        <v>45199</v>
      </c>
      <c r="B299" s="923">
        <f t="shared" si="24"/>
        <v>2024</v>
      </c>
      <c r="C299" s="924">
        <v>130.1</v>
      </c>
      <c r="D299" s="924">
        <v>378.4</v>
      </c>
      <c r="E299" s="924">
        <v>132</v>
      </c>
      <c r="F299" s="925">
        <f>IF($A299&lt;DATE(2018,7,1),"-",INDEX('I1 - Universal Data'!$E$16:$V$16, MATCH(YEAR(EOMONTH($A299,6)), 'I1 - Universal Data'!$E$14:$V$14, 0)))</f>
        <v>3.2715730780458641E-2</v>
      </c>
      <c r="G299" s="925">
        <f>IF($A299&lt;DATE(2018,7,1),"-",INDEX('I1 - Universal Data'!$E$15:$V$15, MATCH(YEAR(EOMONTH($A299,6)), 'I1 - Universal Data'!$E$14:$V$14, 0)))</f>
        <v>3.5849815186325129E-2</v>
      </c>
      <c r="H299" s="925">
        <f>IF($A299&lt;DATE(2018,7,1),"-",INDEX('I1 - Universal Data'!$E$17:$V$17, MATCH(YEAR(EOMONTH($A299,6)), 'I1 - Universal Data'!$E$14:$V$14, 0)))</f>
        <v>2.5301927741606001E-2</v>
      </c>
      <c r="I299" s="926">
        <f t="shared" si="28"/>
        <v>130.1</v>
      </c>
      <c r="J299" s="926">
        <f t="shared" si="28"/>
        <v>378.4</v>
      </c>
      <c r="K299" s="926">
        <f t="shared" si="28"/>
        <v>132</v>
      </c>
      <c r="X299" s="927"/>
    </row>
    <row r="300" spans="1:24">
      <c r="A300" s="922">
        <f t="shared" si="25"/>
        <v>45230</v>
      </c>
      <c r="B300" s="923">
        <f t="shared" si="24"/>
        <v>2024</v>
      </c>
      <c r="C300" s="924">
        <v>130.19999999999999</v>
      </c>
      <c r="D300" s="924">
        <v>377.8</v>
      </c>
      <c r="E300" s="924">
        <v>132</v>
      </c>
      <c r="F300" s="925">
        <f>IF($A300&lt;DATE(2018,7,1),"-",INDEX('I1 - Universal Data'!$E$16:$V$16, MATCH(YEAR(EOMONTH($A300,6)), 'I1 - Universal Data'!$E$14:$V$14, 0)))</f>
        <v>3.2715730780458641E-2</v>
      </c>
      <c r="G300" s="925">
        <f>IF($A300&lt;DATE(2018,7,1),"-",INDEX('I1 - Universal Data'!$E$15:$V$15, MATCH(YEAR(EOMONTH($A300,6)), 'I1 - Universal Data'!$E$14:$V$14, 0)))</f>
        <v>3.5849815186325129E-2</v>
      </c>
      <c r="H300" s="925">
        <f>IF($A300&lt;DATE(2018,7,1),"-",INDEX('I1 - Universal Data'!$E$17:$V$17, MATCH(YEAR(EOMONTH($A300,6)), 'I1 - Universal Data'!$E$14:$V$14, 0)))</f>
        <v>2.5301927741606001E-2</v>
      </c>
      <c r="I300" s="926">
        <f t="shared" si="28"/>
        <v>130.19999999999999</v>
      </c>
      <c r="J300" s="926">
        <f t="shared" si="28"/>
        <v>377.8</v>
      </c>
      <c r="K300" s="926">
        <f t="shared" si="28"/>
        <v>132</v>
      </c>
      <c r="X300" s="927"/>
    </row>
    <row r="301" spans="1:24">
      <c r="A301" s="922">
        <f t="shared" si="25"/>
        <v>45260</v>
      </c>
      <c r="B301" s="923">
        <f t="shared" si="24"/>
        <v>2024</v>
      </c>
      <c r="C301" s="924">
        <v>130</v>
      </c>
      <c r="D301" s="924">
        <v>377.3</v>
      </c>
      <c r="E301" s="924">
        <v>131.69999999999999</v>
      </c>
      <c r="F301" s="925">
        <f>IF($A301&lt;DATE(2018,7,1),"-",INDEX('I1 - Universal Data'!$E$16:$V$16, MATCH(YEAR(EOMONTH($A301,6)), 'I1 - Universal Data'!$E$14:$V$14, 0)))</f>
        <v>3.2715730780458641E-2</v>
      </c>
      <c r="G301" s="925">
        <f>IF($A301&lt;DATE(2018,7,1),"-",INDEX('I1 - Universal Data'!$E$15:$V$15, MATCH(YEAR(EOMONTH($A301,6)), 'I1 - Universal Data'!$E$14:$V$14, 0)))</f>
        <v>3.5849815186325129E-2</v>
      </c>
      <c r="H301" s="925">
        <f>IF($A301&lt;DATE(2018,7,1),"-",INDEX('I1 - Universal Data'!$E$17:$V$17, MATCH(YEAR(EOMONTH($A301,6)), 'I1 - Universal Data'!$E$14:$V$14, 0)))</f>
        <v>2.5301927741606001E-2</v>
      </c>
      <c r="I301" s="926">
        <f t="shared" si="28"/>
        <v>130</v>
      </c>
      <c r="J301" s="926">
        <f t="shared" si="28"/>
        <v>377.3</v>
      </c>
      <c r="K301" s="926">
        <f t="shared" si="28"/>
        <v>131.69999999999999</v>
      </c>
      <c r="X301" s="927"/>
    </row>
    <row r="302" spans="1:24">
      <c r="A302" s="922">
        <f t="shared" si="25"/>
        <v>45291</v>
      </c>
      <c r="B302" s="923">
        <f t="shared" si="24"/>
        <v>2024</v>
      </c>
      <c r="C302" s="924">
        <v>130.5</v>
      </c>
      <c r="D302" s="924">
        <v>379</v>
      </c>
      <c r="E302" s="924">
        <v>132.19999999999999</v>
      </c>
      <c r="F302" s="925">
        <f>IF($A302&lt;DATE(2018,7,1),"-",INDEX('I1 - Universal Data'!$E$16:$V$16, MATCH(YEAR(EOMONTH($A302,6)), 'I1 - Universal Data'!$E$14:$V$14, 0)))</f>
        <v>3.2715730780458641E-2</v>
      </c>
      <c r="G302" s="925">
        <f>IF($A302&lt;DATE(2018,7,1),"-",INDEX('I1 - Universal Data'!$E$15:$V$15, MATCH(YEAR(EOMONTH($A302,6)), 'I1 - Universal Data'!$E$14:$V$14, 0)))</f>
        <v>3.5849815186325129E-2</v>
      </c>
      <c r="H302" s="925">
        <f>IF($A302&lt;DATE(2018,7,1),"-",INDEX('I1 - Universal Data'!$E$17:$V$17, MATCH(YEAR(EOMONTH($A302,6)), 'I1 - Universal Data'!$E$14:$V$14, 0)))</f>
        <v>2.5301927741606001E-2</v>
      </c>
      <c r="I302" s="926">
        <f t="shared" si="28"/>
        <v>130.5</v>
      </c>
      <c r="J302" s="926">
        <f t="shared" si="28"/>
        <v>379</v>
      </c>
      <c r="K302" s="926">
        <f t="shared" si="28"/>
        <v>132.19999999999999</v>
      </c>
      <c r="X302" s="927"/>
    </row>
    <row r="303" spans="1:24">
      <c r="A303" s="922">
        <f t="shared" si="25"/>
        <v>45322</v>
      </c>
      <c r="B303" s="923">
        <f t="shared" si="24"/>
        <v>2024</v>
      </c>
      <c r="C303" s="924">
        <v>130</v>
      </c>
      <c r="D303" s="924">
        <v>378</v>
      </c>
      <c r="E303" s="924">
        <v>131.5</v>
      </c>
      <c r="F303" s="925">
        <f>IF($A303&lt;DATE(2018,7,1),"-",INDEX('I1 - Universal Data'!$E$16:$V$16, MATCH(YEAR(EOMONTH($A303,6)), 'I1 - Universal Data'!$E$14:$V$14, 0)))</f>
        <v>3.2715730780458641E-2</v>
      </c>
      <c r="G303" s="925">
        <f>IF($A303&lt;DATE(2018,7,1),"-",INDEX('I1 - Universal Data'!$E$15:$V$15, MATCH(YEAR(EOMONTH($A303,6)), 'I1 - Universal Data'!$E$14:$V$14, 0)))</f>
        <v>3.5849815186325129E-2</v>
      </c>
      <c r="H303" s="925">
        <f>IF($A303&lt;DATE(2018,7,1),"-",INDEX('I1 - Universal Data'!$E$17:$V$17, MATCH(YEAR(EOMONTH($A303,6)), 'I1 - Universal Data'!$E$14:$V$14, 0)))</f>
        <v>2.5301927741606001E-2</v>
      </c>
      <c r="I303" s="926">
        <f t="shared" si="28"/>
        <v>130</v>
      </c>
      <c r="J303" s="926">
        <f t="shared" si="28"/>
        <v>378</v>
      </c>
      <c r="K303" s="926">
        <f t="shared" si="28"/>
        <v>131.5</v>
      </c>
      <c r="X303" s="927"/>
    </row>
    <row r="304" spans="1:24">
      <c r="A304" s="922">
        <f t="shared" si="25"/>
        <v>45351</v>
      </c>
      <c r="B304" s="923">
        <f t="shared" si="24"/>
        <v>2024</v>
      </c>
      <c r="C304" s="924">
        <v>130.80000000000001</v>
      </c>
      <c r="D304" s="924">
        <v>381</v>
      </c>
      <c r="E304" s="924">
        <v>132.30000000000001</v>
      </c>
      <c r="F304" s="925">
        <f>IF($A304&lt;DATE(2018,7,1),"-",INDEX('I1 - Universal Data'!$E$16:$V$16, MATCH(YEAR(EOMONTH($A304,6)), 'I1 - Universal Data'!$E$14:$V$14, 0)))</f>
        <v>3.2715730780458641E-2</v>
      </c>
      <c r="G304" s="925">
        <f>IF($A304&lt;DATE(2018,7,1),"-",INDEX('I1 - Universal Data'!$E$15:$V$15, MATCH(YEAR(EOMONTH($A304,6)), 'I1 - Universal Data'!$E$14:$V$14, 0)))</f>
        <v>3.5849815186325129E-2</v>
      </c>
      <c r="H304" s="925">
        <f>IF($A304&lt;DATE(2018,7,1),"-",INDEX('I1 - Universal Data'!$E$17:$V$17, MATCH(YEAR(EOMONTH($A304,6)), 'I1 - Universal Data'!$E$14:$V$14, 0)))</f>
        <v>2.5301927741606001E-2</v>
      </c>
      <c r="I304" s="926">
        <f t="shared" si="28"/>
        <v>130.80000000000001</v>
      </c>
      <c r="J304" s="926">
        <f t="shared" si="28"/>
        <v>381</v>
      </c>
      <c r="K304" s="926">
        <f t="shared" si="28"/>
        <v>132.30000000000001</v>
      </c>
      <c r="X304" s="927"/>
    </row>
    <row r="305" spans="1:24">
      <c r="A305" s="922">
        <f t="shared" si="25"/>
        <v>45382</v>
      </c>
      <c r="B305" s="923">
        <f t="shared" si="24"/>
        <v>2024</v>
      </c>
      <c r="C305" s="924">
        <v>131.6</v>
      </c>
      <c r="D305" s="924">
        <v>383</v>
      </c>
      <c r="E305" s="924">
        <v>133</v>
      </c>
      <c r="F305" s="925">
        <f>IF($A305&lt;DATE(2018,7,1),"-",INDEX('I1 - Universal Data'!$E$16:$V$16, MATCH(YEAR(EOMONTH($A305,6)), 'I1 - Universal Data'!$E$14:$V$14, 0)))</f>
        <v>3.2715730780458641E-2</v>
      </c>
      <c r="G305" s="925">
        <f>IF($A305&lt;DATE(2018,7,1),"-",INDEX('I1 - Universal Data'!$E$15:$V$15, MATCH(YEAR(EOMONTH($A305,6)), 'I1 - Universal Data'!$E$14:$V$14, 0)))</f>
        <v>3.5849815186325129E-2</v>
      </c>
      <c r="H305" s="925">
        <f>IF($A305&lt;DATE(2018,7,1),"-",INDEX('I1 - Universal Data'!$E$17:$V$17, MATCH(YEAR(EOMONTH($A305,6)), 'I1 - Universal Data'!$E$14:$V$14, 0)))</f>
        <v>2.5301927741606001E-2</v>
      </c>
      <c r="I305" s="926">
        <f t="shared" si="28"/>
        <v>131.6</v>
      </c>
      <c r="J305" s="926">
        <f t="shared" si="28"/>
        <v>383</v>
      </c>
      <c r="K305" s="926">
        <f t="shared" si="28"/>
        <v>133</v>
      </c>
      <c r="X305" s="927"/>
    </row>
    <row r="306" spans="1:24">
      <c r="A306" s="922">
        <f t="shared" si="25"/>
        <v>45412</v>
      </c>
      <c r="B306" s="923">
        <f t="shared" si="24"/>
        <v>2025</v>
      </c>
      <c r="C306" s="924">
        <v>132.19999999999999</v>
      </c>
      <c r="D306" s="924">
        <v>385</v>
      </c>
      <c r="E306" s="924">
        <v>133.5</v>
      </c>
      <c r="F306" s="925">
        <f>IF($A306&lt;DATE(2018,7,1),"-",INDEX('I1 - Universal Data'!$E$16:$V$16, MATCH(YEAR(EOMONTH($A306,6)), 'I1 - Universal Data'!$E$14:$V$14, 0)))</f>
        <v>3.2715730780458641E-2</v>
      </c>
      <c r="G306" s="925">
        <f>IF($A306&lt;DATE(2018,7,1),"-",INDEX('I1 - Universal Data'!$E$15:$V$15, MATCH(YEAR(EOMONTH($A306,6)), 'I1 - Universal Data'!$E$14:$V$14, 0)))</f>
        <v>3.5849815186325129E-2</v>
      </c>
      <c r="H306" s="925">
        <f>IF($A306&lt;DATE(2018,7,1),"-",INDEX('I1 - Universal Data'!$E$17:$V$17, MATCH(YEAR(EOMONTH($A306,6)), 'I1 - Universal Data'!$E$14:$V$14, 0)))</f>
        <v>2.5301927741606001E-2</v>
      </c>
      <c r="I306" s="926">
        <f t="shared" si="28"/>
        <v>132.19999999999999</v>
      </c>
      <c r="J306" s="926">
        <f t="shared" si="28"/>
        <v>385</v>
      </c>
      <c r="K306" s="926">
        <f t="shared" si="28"/>
        <v>133.5</v>
      </c>
      <c r="X306" s="927"/>
    </row>
    <row r="307" spans="1:24">
      <c r="A307" s="922">
        <f t="shared" si="25"/>
        <v>45443</v>
      </c>
      <c r="B307" s="923">
        <f t="shared" si="24"/>
        <v>2025</v>
      </c>
      <c r="C307" s="924">
        <v>132.69999999999999</v>
      </c>
      <c r="D307" s="924">
        <v>386.4</v>
      </c>
      <c r="E307" s="924">
        <v>133.9</v>
      </c>
      <c r="F307" s="925">
        <f>IF($A307&lt;DATE(2018,7,1),"-",INDEX('I1 - Universal Data'!$E$16:$V$16, MATCH(YEAR(EOMONTH($A307,6)), 'I1 - Universal Data'!$E$14:$V$14, 0)))</f>
        <v>3.2715730780458641E-2</v>
      </c>
      <c r="G307" s="925">
        <f>IF($A307&lt;DATE(2018,7,1),"-",INDEX('I1 - Universal Data'!$E$15:$V$15, MATCH(YEAR(EOMONTH($A307,6)), 'I1 - Universal Data'!$E$14:$V$14, 0)))</f>
        <v>3.5849815186325129E-2</v>
      </c>
      <c r="H307" s="925">
        <f>IF($A307&lt;DATE(2018,7,1),"-",INDEX('I1 - Universal Data'!$E$17:$V$17, MATCH(YEAR(EOMONTH($A307,6)), 'I1 - Universal Data'!$E$14:$V$14, 0)))</f>
        <v>2.5301927741606001E-2</v>
      </c>
      <c r="I307" s="926">
        <f t="shared" si="28"/>
        <v>132.69999999999999</v>
      </c>
      <c r="J307" s="926">
        <f t="shared" si="28"/>
        <v>386.4</v>
      </c>
      <c r="K307" s="926">
        <f t="shared" si="28"/>
        <v>133.9</v>
      </c>
      <c r="X307" s="927"/>
    </row>
    <row r="308" spans="1:24">
      <c r="A308" s="922">
        <f t="shared" si="25"/>
        <v>45473</v>
      </c>
      <c r="B308" s="923">
        <f t="shared" si="24"/>
        <v>2025</v>
      </c>
      <c r="C308" s="924">
        <v>133</v>
      </c>
      <c r="D308" s="924">
        <v>387.3</v>
      </c>
      <c r="E308" s="924">
        <v>134.1</v>
      </c>
      <c r="F308" s="925">
        <f>IF($A308&lt;DATE(2018,7,1),"-",INDEX('I1 - Universal Data'!$E$16:$V$16, MATCH(YEAR(EOMONTH($A308,6)), 'I1 - Universal Data'!$E$14:$V$14, 0)))</f>
        <v>3.2715730780458641E-2</v>
      </c>
      <c r="G308" s="925">
        <f>IF($A308&lt;DATE(2018,7,1),"-",INDEX('I1 - Universal Data'!$E$15:$V$15, MATCH(YEAR(EOMONTH($A308,6)), 'I1 - Universal Data'!$E$14:$V$14, 0)))</f>
        <v>3.5849815186325129E-2</v>
      </c>
      <c r="H308" s="925">
        <f>IF($A308&lt;DATE(2018,7,1),"-",INDEX('I1 - Universal Data'!$E$17:$V$17, MATCH(YEAR(EOMONTH($A308,6)), 'I1 - Universal Data'!$E$14:$V$14, 0)))</f>
        <v>2.5301927741606001E-2</v>
      </c>
      <c r="I308" s="926">
        <f t="shared" si="28"/>
        <v>133</v>
      </c>
      <c r="J308" s="926">
        <f t="shared" si="28"/>
        <v>387.3</v>
      </c>
      <c r="K308" s="926">
        <f t="shared" si="28"/>
        <v>134.1</v>
      </c>
      <c r="X308" s="927"/>
    </row>
    <row r="309" spans="1:24">
      <c r="A309" s="922">
        <f t="shared" si="25"/>
        <v>45504</v>
      </c>
      <c r="B309" s="923">
        <f t="shared" si="24"/>
        <v>2025</v>
      </c>
      <c r="C309" s="924">
        <v>132.9</v>
      </c>
      <c r="D309" s="924">
        <v>387.5</v>
      </c>
      <c r="E309" s="924">
        <v>133.80000000000001</v>
      </c>
      <c r="F309" s="925">
        <f>IF($A309&lt;DATE(2018,7,1),"-",INDEX('I1 - Universal Data'!$E$16:$V$16, MATCH(YEAR(EOMONTH($A309,6)), 'I1 - Universal Data'!$E$14:$V$14, 0)))</f>
        <v>3.8830687510927442E-2</v>
      </c>
      <c r="G309" s="925">
        <f>IF($A309&lt;DATE(2018,7,1),"-",INDEX('I1 - Universal Data'!$E$15:$V$15, MATCH(YEAR(EOMONTH($A309,6)), 'I1 - Universal Data'!$E$14:$V$14, 0)))</f>
        <v>4.1311094517713753E-2</v>
      </c>
      <c r="H309" s="925">
        <f>IF($A309&lt;DATE(2018,7,1),"-",INDEX('I1 - Universal Data'!$E$17:$V$17, MATCH(YEAR(EOMONTH($A309,6)), 'I1 - Universal Data'!$E$14:$V$14, 0)))</f>
        <v>3.3730368724933735E-2</v>
      </c>
      <c r="I309" s="926">
        <f t="shared" si="28"/>
        <v>132.9</v>
      </c>
      <c r="J309" s="926">
        <f t="shared" si="28"/>
        <v>387.5</v>
      </c>
      <c r="K309" s="926">
        <f t="shared" si="28"/>
        <v>133.80000000000001</v>
      </c>
      <c r="X309" s="927"/>
    </row>
    <row r="310" spans="1:24">
      <c r="A310" s="922">
        <f t="shared" si="25"/>
        <v>45535</v>
      </c>
      <c r="B310" s="923">
        <f t="shared" si="24"/>
        <v>2025</v>
      </c>
      <c r="C310" s="924">
        <v>133.4</v>
      </c>
      <c r="D310" s="924">
        <v>389.9</v>
      </c>
      <c r="E310" s="924">
        <v>134.30000000000001</v>
      </c>
      <c r="F310" s="925">
        <f>IF($A310&lt;DATE(2018,7,1),"-",INDEX('I1 - Universal Data'!$E$16:$V$16, MATCH(YEAR(EOMONTH($A310,6)), 'I1 - Universal Data'!$E$14:$V$14, 0)))</f>
        <v>3.8830687510927442E-2</v>
      </c>
      <c r="G310" s="925">
        <f>IF($A310&lt;DATE(2018,7,1),"-",INDEX('I1 - Universal Data'!$E$15:$V$15, MATCH(YEAR(EOMONTH($A310,6)), 'I1 - Universal Data'!$E$14:$V$14, 0)))</f>
        <v>4.1311094517713753E-2</v>
      </c>
      <c r="H310" s="925">
        <f>IF($A310&lt;DATE(2018,7,1),"-",INDEX('I1 - Universal Data'!$E$17:$V$17, MATCH(YEAR(EOMONTH($A310,6)), 'I1 - Universal Data'!$E$14:$V$14, 0)))</f>
        <v>3.3730368724933735E-2</v>
      </c>
      <c r="I310" s="926">
        <f t="shared" si="28"/>
        <v>133.4</v>
      </c>
      <c r="J310" s="926">
        <f t="shared" si="28"/>
        <v>389.9</v>
      </c>
      <c r="K310" s="926">
        <f t="shared" si="28"/>
        <v>134.30000000000001</v>
      </c>
      <c r="X310" s="927"/>
    </row>
    <row r="311" spans="1:24">
      <c r="A311" s="922">
        <f t="shared" si="25"/>
        <v>45565</v>
      </c>
      <c r="B311" s="923">
        <f t="shared" si="24"/>
        <v>2025</v>
      </c>
      <c r="C311" s="924">
        <v>133.5</v>
      </c>
      <c r="D311" s="924">
        <v>388.6</v>
      </c>
      <c r="E311" s="924">
        <v>134.19999999999999</v>
      </c>
      <c r="F311" s="925">
        <f>IF($A311&lt;DATE(2018,7,1),"-",INDEX('I1 - Universal Data'!$E$16:$V$16, MATCH(YEAR(EOMONTH($A311,6)), 'I1 - Universal Data'!$E$14:$V$14, 0)))</f>
        <v>3.8830687510927442E-2</v>
      </c>
      <c r="G311" s="925">
        <f>IF($A311&lt;DATE(2018,7,1),"-",INDEX('I1 - Universal Data'!$E$15:$V$15, MATCH(YEAR(EOMONTH($A311,6)), 'I1 - Universal Data'!$E$14:$V$14, 0)))</f>
        <v>4.1311094517713753E-2</v>
      </c>
      <c r="H311" s="925">
        <f>IF($A311&lt;DATE(2018,7,1),"-",INDEX('I1 - Universal Data'!$E$17:$V$17, MATCH(YEAR(EOMONTH($A311,6)), 'I1 - Universal Data'!$E$14:$V$14, 0)))</f>
        <v>3.3730368724933735E-2</v>
      </c>
      <c r="I311" s="926">
        <f t="shared" ref="I311:K326" si="29">IF(ISBLANK(C311),I310*((1+F311)^(1/12)),C311)</f>
        <v>133.5</v>
      </c>
      <c r="J311" s="926">
        <f t="shared" si="29"/>
        <v>388.6</v>
      </c>
      <c r="K311" s="926">
        <f t="shared" si="29"/>
        <v>134.19999999999999</v>
      </c>
      <c r="X311" s="927"/>
    </row>
    <row r="312" spans="1:24">
      <c r="A312" s="922">
        <f t="shared" si="25"/>
        <v>45596</v>
      </c>
      <c r="B312" s="923">
        <f t="shared" si="24"/>
        <v>2025</v>
      </c>
      <c r="C312" s="924">
        <v>134.30000000000001</v>
      </c>
      <c r="D312" s="924">
        <v>390.7</v>
      </c>
      <c r="E312" s="924">
        <v>135</v>
      </c>
      <c r="F312" s="925">
        <f>IF($A312&lt;DATE(2018,7,1),"-",INDEX('I1 - Universal Data'!$E$16:$V$16, MATCH(YEAR(EOMONTH($A312,6)), 'I1 - Universal Data'!$E$14:$V$14, 0)))</f>
        <v>3.8830687510927442E-2</v>
      </c>
      <c r="G312" s="925">
        <f>IF($A312&lt;DATE(2018,7,1),"-",INDEX('I1 - Universal Data'!$E$15:$V$15, MATCH(YEAR(EOMONTH($A312,6)), 'I1 - Universal Data'!$E$14:$V$14, 0)))</f>
        <v>4.1311094517713753E-2</v>
      </c>
      <c r="H312" s="925">
        <f>IF($A312&lt;DATE(2018,7,1),"-",INDEX('I1 - Universal Data'!$E$17:$V$17, MATCH(YEAR(EOMONTH($A312,6)), 'I1 - Universal Data'!$E$14:$V$14, 0)))</f>
        <v>3.3730368724933735E-2</v>
      </c>
      <c r="I312" s="926">
        <f t="shared" si="29"/>
        <v>134.30000000000001</v>
      </c>
      <c r="J312" s="926">
        <f t="shared" si="29"/>
        <v>390.7</v>
      </c>
      <c r="K312" s="926">
        <f t="shared" si="29"/>
        <v>135</v>
      </c>
      <c r="X312" s="927"/>
    </row>
    <row r="313" spans="1:24">
      <c r="A313" s="922">
        <f t="shared" si="25"/>
        <v>45626</v>
      </c>
      <c r="B313" s="923">
        <f t="shared" si="24"/>
        <v>2025</v>
      </c>
      <c r="C313" s="924">
        <v>134.6</v>
      </c>
      <c r="D313" s="924">
        <v>390.9</v>
      </c>
      <c r="E313" s="924">
        <v>135.1</v>
      </c>
      <c r="F313" s="925">
        <f>IF($A313&lt;DATE(2018,7,1),"-",INDEX('I1 - Universal Data'!$E$16:$V$16, MATCH(YEAR(EOMONTH($A313,6)), 'I1 - Universal Data'!$E$14:$V$14, 0)))</f>
        <v>3.8830687510927442E-2</v>
      </c>
      <c r="G313" s="925">
        <f>IF($A313&lt;DATE(2018,7,1),"-",INDEX('I1 - Universal Data'!$E$15:$V$15, MATCH(YEAR(EOMONTH($A313,6)), 'I1 - Universal Data'!$E$14:$V$14, 0)))</f>
        <v>4.1311094517713753E-2</v>
      </c>
      <c r="H313" s="925">
        <f>IF($A313&lt;DATE(2018,7,1),"-",INDEX('I1 - Universal Data'!$E$17:$V$17, MATCH(YEAR(EOMONTH($A313,6)), 'I1 - Universal Data'!$E$14:$V$14, 0)))</f>
        <v>3.3730368724933735E-2</v>
      </c>
      <c r="I313" s="926">
        <f t="shared" si="29"/>
        <v>134.6</v>
      </c>
      <c r="J313" s="926">
        <f t="shared" si="29"/>
        <v>390.9</v>
      </c>
      <c r="K313" s="926">
        <f t="shared" si="29"/>
        <v>135.1</v>
      </c>
      <c r="X313" s="927"/>
    </row>
    <row r="314" spans="1:24">
      <c r="A314" s="922">
        <f t="shared" si="25"/>
        <v>45657</v>
      </c>
      <c r="B314" s="923">
        <f t="shared" si="24"/>
        <v>2025</v>
      </c>
      <c r="C314" s="924">
        <v>135.1</v>
      </c>
      <c r="D314" s="924">
        <v>392.1</v>
      </c>
      <c r="E314" s="924">
        <v>135.6</v>
      </c>
      <c r="F314" s="925">
        <f>IF($A314&lt;DATE(2018,7,1),"-",INDEX('I1 - Universal Data'!$E$16:$V$16, MATCH(YEAR(EOMONTH($A314,6)), 'I1 - Universal Data'!$E$14:$V$14, 0)))</f>
        <v>3.8830687510927442E-2</v>
      </c>
      <c r="G314" s="925">
        <f>IF($A314&lt;DATE(2018,7,1),"-",INDEX('I1 - Universal Data'!$E$15:$V$15, MATCH(YEAR(EOMONTH($A314,6)), 'I1 - Universal Data'!$E$14:$V$14, 0)))</f>
        <v>4.1311094517713753E-2</v>
      </c>
      <c r="H314" s="925">
        <f>IF($A314&lt;DATE(2018,7,1),"-",INDEX('I1 - Universal Data'!$E$17:$V$17, MATCH(YEAR(EOMONTH($A314,6)), 'I1 - Universal Data'!$E$14:$V$14, 0)))</f>
        <v>3.3730368724933735E-2</v>
      </c>
      <c r="I314" s="926">
        <f t="shared" si="29"/>
        <v>135.1</v>
      </c>
      <c r="J314" s="926">
        <f t="shared" si="29"/>
        <v>392.1</v>
      </c>
      <c r="K314" s="926">
        <f t="shared" si="29"/>
        <v>135.6</v>
      </c>
      <c r="X314" s="927"/>
    </row>
    <row r="315" spans="1:24">
      <c r="A315" s="922">
        <f t="shared" si="25"/>
        <v>45688</v>
      </c>
      <c r="B315" s="923">
        <f t="shared" si="24"/>
        <v>2025</v>
      </c>
      <c r="C315" s="924">
        <v>135.1</v>
      </c>
      <c r="D315" s="924">
        <v>391.7</v>
      </c>
      <c r="E315" s="924">
        <v>135.4</v>
      </c>
      <c r="F315" s="925">
        <f>IF($A315&lt;DATE(2018,7,1),"-",INDEX('I1 - Universal Data'!$E$16:$V$16, MATCH(YEAR(EOMONTH($A315,6)), 'I1 - Universal Data'!$E$14:$V$14, 0)))</f>
        <v>3.8830687510927442E-2</v>
      </c>
      <c r="G315" s="925">
        <f>IF($A315&lt;DATE(2018,7,1),"-",INDEX('I1 - Universal Data'!$E$15:$V$15, MATCH(YEAR(EOMONTH($A315,6)), 'I1 - Universal Data'!$E$14:$V$14, 0)))</f>
        <v>4.1311094517713753E-2</v>
      </c>
      <c r="H315" s="925">
        <f>IF($A315&lt;DATE(2018,7,1),"-",INDEX('I1 - Universal Data'!$E$17:$V$17, MATCH(YEAR(EOMONTH($A315,6)), 'I1 - Universal Data'!$E$14:$V$14, 0)))</f>
        <v>3.3730368724933735E-2</v>
      </c>
      <c r="I315" s="926">
        <f t="shared" si="29"/>
        <v>135.1</v>
      </c>
      <c r="J315" s="926">
        <f t="shared" si="29"/>
        <v>391.7</v>
      </c>
      <c r="K315" s="926">
        <f t="shared" si="29"/>
        <v>135.4</v>
      </c>
      <c r="X315" s="927"/>
    </row>
    <row r="316" spans="1:24">
      <c r="A316" s="922">
        <f t="shared" si="25"/>
        <v>45716</v>
      </c>
      <c r="B316" s="923">
        <f t="shared" si="24"/>
        <v>2025</v>
      </c>
      <c r="C316" s="924">
        <v>135.6</v>
      </c>
      <c r="D316" s="924">
        <v>394</v>
      </c>
      <c r="E316" s="924">
        <v>136</v>
      </c>
      <c r="F316" s="925">
        <f>IF($A316&lt;DATE(2018,7,1),"-",INDEX('I1 - Universal Data'!$E$16:$V$16, MATCH(YEAR(EOMONTH($A316,6)), 'I1 - Universal Data'!$E$14:$V$14, 0)))</f>
        <v>3.8830687510927442E-2</v>
      </c>
      <c r="G316" s="925">
        <f>IF($A316&lt;DATE(2018,7,1),"-",INDEX('I1 - Universal Data'!$E$15:$V$15, MATCH(YEAR(EOMONTH($A316,6)), 'I1 - Universal Data'!$E$14:$V$14, 0)))</f>
        <v>4.1311094517713753E-2</v>
      </c>
      <c r="H316" s="925">
        <f>IF($A316&lt;DATE(2018,7,1),"-",INDEX('I1 - Universal Data'!$E$17:$V$17, MATCH(YEAR(EOMONTH($A316,6)), 'I1 - Universal Data'!$E$14:$V$14, 0)))</f>
        <v>3.3730368724933735E-2</v>
      </c>
      <c r="I316" s="926">
        <f t="shared" si="29"/>
        <v>135.6</v>
      </c>
      <c r="J316" s="926">
        <f t="shared" si="29"/>
        <v>394</v>
      </c>
      <c r="K316" s="926">
        <f t="shared" si="29"/>
        <v>136</v>
      </c>
      <c r="X316" s="927"/>
    </row>
    <row r="317" spans="1:24">
      <c r="A317" s="922">
        <f t="shared" si="25"/>
        <v>45747</v>
      </c>
      <c r="B317" s="923">
        <f t="shared" si="24"/>
        <v>2025</v>
      </c>
      <c r="C317" s="924">
        <v>136.1</v>
      </c>
      <c r="D317" s="924">
        <v>395.3</v>
      </c>
      <c r="E317" s="924">
        <v>136.5</v>
      </c>
      <c r="F317" s="925">
        <f>IF($A317&lt;DATE(2018,7,1),"-",INDEX('I1 - Universal Data'!$E$16:$V$16, MATCH(YEAR(EOMONTH($A317,6)), 'I1 - Universal Data'!$E$14:$V$14, 0)))</f>
        <v>3.8830687510927442E-2</v>
      </c>
      <c r="G317" s="925">
        <f>IF($A317&lt;DATE(2018,7,1),"-",INDEX('I1 - Universal Data'!$E$15:$V$15, MATCH(YEAR(EOMONTH($A317,6)), 'I1 - Universal Data'!$E$14:$V$14, 0)))</f>
        <v>4.1311094517713753E-2</v>
      </c>
      <c r="H317" s="925">
        <f>IF($A317&lt;DATE(2018,7,1),"-",INDEX('I1 - Universal Data'!$E$17:$V$17, MATCH(YEAR(EOMONTH($A317,6)), 'I1 - Universal Data'!$E$14:$V$14, 0)))</f>
        <v>3.3730368724933735E-2</v>
      </c>
      <c r="I317" s="926">
        <f t="shared" si="29"/>
        <v>136.1</v>
      </c>
      <c r="J317" s="926">
        <f t="shared" si="29"/>
        <v>395.3</v>
      </c>
      <c r="K317" s="926">
        <f t="shared" si="29"/>
        <v>136.5</v>
      </c>
      <c r="X317" s="927"/>
    </row>
    <row r="318" spans="1:24">
      <c r="A318" s="922">
        <f t="shared" si="25"/>
        <v>45777</v>
      </c>
      <c r="B318" s="923">
        <f t="shared" si="24"/>
        <v>2026</v>
      </c>
      <c r="C318" s="924">
        <v>137.69999999999999</v>
      </c>
      <c r="D318" s="924">
        <v>402.2</v>
      </c>
      <c r="E318" s="924">
        <v>138.19999999999999</v>
      </c>
      <c r="F318" s="925">
        <f>IF($A318&lt;DATE(2018,7,1),"-",INDEX('I1 - Universal Data'!$E$16:$V$16, MATCH(YEAR(EOMONTH($A318,6)), 'I1 - Universal Data'!$E$14:$V$14, 0)))</f>
        <v>3.8830687510927442E-2</v>
      </c>
      <c r="G318" s="925">
        <f>IF($A318&lt;DATE(2018,7,1),"-",INDEX('I1 - Universal Data'!$E$15:$V$15, MATCH(YEAR(EOMONTH($A318,6)), 'I1 - Universal Data'!$E$14:$V$14, 0)))</f>
        <v>4.1311094517713753E-2</v>
      </c>
      <c r="H318" s="925">
        <f>IF($A318&lt;DATE(2018,7,1),"-",INDEX('I1 - Universal Data'!$E$17:$V$17, MATCH(YEAR(EOMONTH($A318,6)), 'I1 - Universal Data'!$E$14:$V$14, 0)))</f>
        <v>3.3730368724933735E-2</v>
      </c>
      <c r="I318" s="926">
        <f t="shared" si="29"/>
        <v>137.69999999999999</v>
      </c>
      <c r="J318" s="926">
        <f t="shared" si="29"/>
        <v>402.2</v>
      </c>
      <c r="K318" s="926">
        <f t="shared" si="29"/>
        <v>138.19999999999999</v>
      </c>
      <c r="X318" s="927"/>
    </row>
    <row r="319" spans="1:24">
      <c r="A319" s="922">
        <f t="shared" si="25"/>
        <v>45808</v>
      </c>
      <c r="B319" s="923">
        <f t="shared" si="24"/>
        <v>2026</v>
      </c>
      <c r="C319" s="924">
        <v>138</v>
      </c>
      <c r="D319" s="924">
        <v>402.9</v>
      </c>
      <c r="E319" s="924">
        <v>138.4</v>
      </c>
      <c r="F319" s="925">
        <f>IF($A319&lt;DATE(2018,7,1),"-",INDEX('I1 - Universal Data'!$E$16:$V$16, MATCH(YEAR(EOMONTH($A319,6)), 'I1 - Universal Data'!$E$14:$V$14, 0)))</f>
        <v>3.8830687510927442E-2</v>
      </c>
      <c r="G319" s="925">
        <f>IF($A319&lt;DATE(2018,7,1),"-",INDEX('I1 - Universal Data'!$E$15:$V$15, MATCH(YEAR(EOMONTH($A319,6)), 'I1 - Universal Data'!$E$14:$V$14, 0)))</f>
        <v>4.1311094517713753E-2</v>
      </c>
      <c r="H319" s="925">
        <f>IF($A319&lt;DATE(2018,7,1),"-",INDEX('I1 - Universal Data'!$E$17:$V$17, MATCH(YEAR(EOMONTH($A319,6)), 'I1 - Universal Data'!$E$14:$V$14, 0)))</f>
        <v>3.3730368724933735E-2</v>
      </c>
      <c r="I319" s="926">
        <f t="shared" si="29"/>
        <v>138</v>
      </c>
      <c r="J319" s="926">
        <f t="shared" si="29"/>
        <v>402.9</v>
      </c>
      <c r="K319" s="926">
        <f t="shared" si="29"/>
        <v>138.4</v>
      </c>
      <c r="X319" s="927"/>
    </row>
    <row r="320" spans="1:24">
      <c r="A320" s="922">
        <f t="shared" si="25"/>
        <v>45838</v>
      </c>
      <c r="B320" s="923">
        <f t="shared" si="24"/>
        <v>2026</v>
      </c>
      <c r="C320" s="924">
        <v>138.4</v>
      </c>
      <c r="D320" s="924">
        <v>404.5</v>
      </c>
      <c r="E320" s="924">
        <v>138.9</v>
      </c>
      <c r="F320" s="925">
        <f>IF($A320&lt;DATE(2018,7,1),"-",INDEX('I1 - Universal Data'!$E$16:$V$16, MATCH(YEAR(EOMONTH($A320,6)), 'I1 - Universal Data'!$E$14:$V$14, 0)))</f>
        <v>3.8830687510927442E-2</v>
      </c>
      <c r="G320" s="925">
        <f>IF($A320&lt;DATE(2018,7,1),"-",INDEX('I1 - Universal Data'!$E$15:$V$15, MATCH(YEAR(EOMONTH($A320,6)), 'I1 - Universal Data'!$E$14:$V$14, 0)))</f>
        <v>4.1311094517713753E-2</v>
      </c>
      <c r="H320" s="925">
        <f>IF($A320&lt;DATE(2018,7,1),"-",INDEX('I1 - Universal Data'!$E$17:$V$17, MATCH(YEAR(EOMONTH($A320,6)), 'I1 - Universal Data'!$E$14:$V$14, 0)))</f>
        <v>3.3730368724933735E-2</v>
      </c>
      <c r="I320" s="926">
        <f t="shared" si="29"/>
        <v>138.4</v>
      </c>
      <c r="J320" s="926">
        <f t="shared" si="29"/>
        <v>404.5</v>
      </c>
      <c r="K320" s="926">
        <f t="shared" si="29"/>
        <v>138.9</v>
      </c>
      <c r="X320" s="927"/>
    </row>
    <row r="321" spans="1:24">
      <c r="A321" s="922">
        <f t="shared" si="25"/>
        <v>45869</v>
      </c>
      <c r="B321" s="923">
        <f t="shared" si="24"/>
        <v>2026</v>
      </c>
      <c r="C321" s="924">
        <v>138.5</v>
      </c>
      <c r="D321" s="924">
        <v>406.2</v>
      </c>
      <c r="E321" s="924">
        <v>139</v>
      </c>
      <c r="F321" s="925">
        <f>IF($A321&lt;DATE(2018,7,1),"-",INDEX('I1 - Universal Data'!$E$16:$V$16, MATCH(YEAR(EOMONTH($A321,6)), 'I1 - Universal Data'!$E$14:$V$14, 0)))</f>
        <v>2.5462143115942082E-2</v>
      </c>
      <c r="G321" s="925">
        <f>IF($A321&lt;DATE(2018,7,1),"-",INDEX('I1 - Universal Data'!$E$15:$V$15, MATCH(YEAR(EOMONTH($A321,6)), 'I1 - Universal Data'!$E$14:$V$14, 0)))</f>
        <v>3.0764505475405324E-2</v>
      </c>
      <c r="H321" s="925">
        <f>IF($A321&lt;DATE(2018,7,1),"-",INDEX('I1 - Universal Data'!$E$17:$V$17, MATCH(YEAR(EOMONTH($A321,6)), 'I1 - Universal Data'!$E$14:$V$14, 0)))</f>
        <v>2.301053135157205E-2</v>
      </c>
      <c r="I321" s="926">
        <f t="shared" si="29"/>
        <v>138.5</v>
      </c>
      <c r="J321" s="926">
        <f t="shared" si="29"/>
        <v>406.2</v>
      </c>
      <c r="K321" s="926">
        <f t="shared" si="29"/>
        <v>139</v>
      </c>
      <c r="X321" s="927"/>
    </row>
    <row r="322" spans="1:24">
      <c r="A322" s="922">
        <f t="shared" si="25"/>
        <v>45900</v>
      </c>
      <c r="B322" s="923">
        <f t="shared" si="24"/>
        <v>2026</v>
      </c>
      <c r="C322" s="924">
        <v>138.9</v>
      </c>
      <c r="D322" s="924">
        <v>407.7</v>
      </c>
      <c r="E322" s="924">
        <v>139.30000000000001</v>
      </c>
      <c r="F322" s="925">
        <f>IF($A322&lt;DATE(2018,7,1),"-",INDEX('I1 - Universal Data'!$E$16:$V$16, MATCH(YEAR(EOMONTH($A322,6)), 'I1 - Universal Data'!$E$14:$V$14, 0)))</f>
        <v>2.5462143115942082E-2</v>
      </c>
      <c r="G322" s="925">
        <f>IF($A322&lt;DATE(2018,7,1),"-",INDEX('I1 - Universal Data'!$E$15:$V$15, MATCH(YEAR(EOMONTH($A322,6)), 'I1 - Universal Data'!$E$14:$V$14, 0)))</f>
        <v>3.0764505475405324E-2</v>
      </c>
      <c r="H322" s="925">
        <f>IF($A322&lt;DATE(2018,7,1),"-",INDEX('I1 - Universal Data'!$E$17:$V$17, MATCH(YEAR(EOMONTH($A322,6)), 'I1 - Universal Data'!$E$14:$V$14, 0)))</f>
        <v>2.301053135157205E-2</v>
      </c>
      <c r="I322" s="926">
        <f t="shared" si="29"/>
        <v>138.9</v>
      </c>
      <c r="J322" s="926">
        <f t="shared" si="29"/>
        <v>407.7</v>
      </c>
      <c r="K322" s="926">
        <f t="shared" si="29"/>
        <v>139.30000000000001</v>
      </c>
      <c r="X322" s="927"/>
    </row>
    <row r="323" spans="1:24">
      <c r="A323" s="922">
        <f t="shared" si="25"/>
        <v>45930</v>
      </c>
      <c r="B323" s="923">
        <f t="shared" si="24"/>
        <v>2026</v>
      </c>
      <c r="C323" s="924">
        <v>138.9</v>
      </c>
      <c r="D323" s="924">
        <v>406.1</v>
      </c>
      <c r="E323" s="924">
        <v>139.30000000000001</v>
      </c>
      <c r="F323" s="925">
        <f>IF($A323&lt;DATE(2018,7,1),"-",INDEX('I1 - Universal Data'!$E$16:$V$16, MATCH(YEAR(EOMONTH($A323,6)), 'I1 - Universal Data'!$E$14:$V$14, 0)))</f>
        <v>2.5462143115942082E-2</v>
      </c>
      <c r="G323" s="925">
        <f>IF($A323&lt;DATE(2018,7,1),"-",INDEX('I1 - Universal Data'!$E$15:$V$15, MATCH(YEAR(EOMONTH($A323,6)), 'I1 - Universal Data'!$E$14:$V$14, 0)))</f>
        <v>3.0764505475405324E-2</v>
      </c>
      <c r="H323" s="925">
        <f>IF($A323&lt;DATE(2018,7,1),"-",INDEX('I1 - Universal Data'!$E$17:$V$17, MATCH(YEAR(EOMONTH($A323,6)), 'I1 - Universal Data'!$E$14:$V$14, 0)))</f>
        <v>2.301053135157205E-2</v>
      </c>
      <c r="I323" s="926">
        <f t="shared" si="29"/>
        <v>138.9</v>
      </c>
      <c r="J323" s="926">
        <f t="shared" si="29"/>
        <v>406.1</v>
      </c>
      <c r="K323" s="926">
        <f t="shared" si="29"/>
        <v>139.30000000000001</v>
      </c>
      <c r="X323" s="927"/>
    </row>
    <row r="324" spans="1:24">
      <c r="A324" s="922">
        <f t="shared" si="25"/>
        <v>45961</v>
      </c>
      <c r="B324" s="923">
        <f t="shared" si="24"/>
        <v>2026</v>
      </c>
      <c r="C324" s="924">
        <v>139.5</v>
      </c>
      <c r="D324" s="924">
        <v>407.4</v>
      </c>
      <c r="E324" s="924">
        <v>139.80000000000001</v>
      </c>
      <c r="F324" s="925">
        <f>IF($A324&lt;DATE(2018,7,1),"-",INDEX('I1 - Universal Data'!$E$16:$V$16, MATCH(YEAR(EOMONTH($A324,6)), 'I1 - Universal Data'!$E$14:$V$14, 0)))</f>
        <v>2.5462143115942082E-2</v>
      </c>
      <c r="G324" s="925">
        <f>IF($A324&lt;DATE(2018,7,1),"-",INDEX('I1 - Universal Data'!$E$15:$V$15, MATCH(YEAR(EOMONTH($A324,6)), 'I1 - Universal Data'!$E$14:$V$14, 0)))</f>
        <v>3.0764505475405324E-2</v>
      </c>
      <c r="H324" s="925">
        <f>IF($A324&lt;DATE(2018,7,1),"-",INDEX('I1 - Universal Data'!$E$17:$V$17, MATCH(YEAR(EOMONTH($A324,6)), 'I1 - Universal Data'!$E$14:$V$14, 0)))</f>
        <v>2.301053135157205E-2</v>
      </c>
      <c r="I324" s="926">
        <f t="shared" si="29"/>
        <v>139.5</v>
      </c>
      <c r="J324" s="926">
        <f t="shared" si="29"/>
        <v>407.4</v>
      </c>
      <c r="K324" s="926">
        <f t="shared" si="29"/>
        <v>139.80000000000001</v>
      </c>
      <c r="X324" s="927"/>
    </row>
    <row r="325" spans="1:24">
      <c r="A325" s="922">
        <f t="shared" si="25"/>
        <v>45991</v>
      </c>
      <c r="B325" s="923">
        <f t="shared" si="24"/>
        <v>2026</v>
      </c>
      <c r="C325" s="924">
        <v>139.4</v>
      </c>
      <c r="D325" s="924">
        <v>405.6</v>
      </c>
      <c r="E325" s="924">
        <v>139.5</v>
      </c>
      <c r="F325" s="925">
        <f>IF($A325&lt;DATE(2018,7,1),"-",INDEX('I1 - Universal Data'!$E$16:$V$16, MATCH(YEAR(EOMONTH($A325,6)), 'I1 - Universal Data'!$E$14:$V$14, 0)))</f>
        <v>2.5462143115942082E-2</v>
      </c>
      <c r="G325" s="925">
        <f>IF($A325&lt;DATE(2018,7,1),"-",INDEX('I1 - Universal Data'!$E$15:$V$15, MATCH(YEAR(EOMONTH($A325,6)), 'I1 - Universal Data'!$E$14:$V$14, 0)))</f>
        <v>3.0764505475405324E-2</v>
      </c>
      <c r="H325" s="925">
        <f>IF($A325&lt;DATE(2018,7,1),"-",INDEX('I1 - Universal Data'!$E$17:$V$17, MATCH(YEAR(EOMONTH($A325,6)), 'I1 - Universal Data'!$E$14:$V$14, 0)))</f>
        <v>2.301053135157205E-2</v>
      </c>
      <c r="I325" s="926">
        <f t="shared" si="29"/>
        <v>139.4</v>
      </c>
      <c r="J325" s="926">
        <f t="shared" si="29"/>
        <v>405.6</v>
      </c>
      <c r="K325" s="926">
        <f t="shared" si="29"/>
        <v>139.5</v>
      </c>
      <c r="X325" s="927"/>
    </row>
    <row r="326" spans="1:24">
      <c r="A326" s="922">
        <f t="shared" si="25"/>
        <v>46022</v>
      </c>
      <c r="B326" s="923">
        <f t="shared" ref="B326:B389" si="30">IF(MONTH(A326)&gt;=4,YEAR(A326)+1,YEAR(A326))</f>
        <v>2026</v>
      </c>
      <c r="C326" s="924">
        <v>139.9</v>
      </c>
      <c r="D326" s="924">
        <v>408.5</v>
      </c>
      <c r="E326" s="924">
        <v>140.1</v>
      </c>
      <c r="F326" s="925">
        <f>IF($A326&lt;DATE(2018,7,1),"-",INDEX('I1 - Universal Data'!$E$16:$V$16, MATCH(YEAR(EOMONTH($A326,6)), 'I1 - Universal Data'!$E$14:$V$14, 0)))</f>
        <v>2.5462143115942082E-2</v>
      </c>
      <c r="G326" s="925">
        <f>IF($A326&lt;DATE(2018,7,1),"-",INDEX('I1 - Universal Data'!$E$15:$V$15, MATCH(YEAR(EOMONTH($A326,6)), 'I1 - Universal Data'!$E$14:$V$14, 0)))</f>
        <v>3.0764505475405324E-2</v>
      </c>
      <c r="H326" s="925">
        <f>IF($A326&lt;DATE(2018,7,1),"-",INDEX('I1 - Universal Data'!$E$17:$V$17, MATCH(YEAR(EOMONTH($A326,6)), 'I1 - Universal Data'!$E$14:$V$14, 0)))</f>
        <v>2.301053135157205E-2</v>
      </c>
      <c r="I326" s="926">
        <f t="shared" si="29"/>
        <v>139.9</v>
      </c>
      <c r="J326" s="926">
        <f t="shared" si="29"/>
        <v>408.5</v>
      </c>
      <c r="K326" s="926">
        <f t="shared" si="29"/>
        <v>140.1</v>
      </c>
      <c r="X326" s="927"/>
    </row>
    <row r="327" spans="1:24">
      <c r="A327" s="922">
        <f t="shared" ref="A327:A390" si="31">IF(MONTH(A326) = 12, EOMONTH(DATE(YEAR(A326) + 1, 1, 1), 0), EOMONTH(DATE(YEAR(A326), MONTH(A326) + 1, 1), 0))</f>
        <v>46053</v>
      </c>
      <c r="B327" s="923">
        <f t="shared" si="30"/>
        <v>2026</v>
      </c>
      <c r="C327" s="924">
        <v>139.4</v>
      </c>
      <c r="D327" s="924">
        <v>406.4</v>
      </c>
      <c r="E327" s="924">
        <v>139.5</v>
      </c>
      <c r="F327" s="925">
        <f>IF($A327&lt;DATE(2018,7,1),"-",INDEX('I1 - Universal Data'!$E$16:$V$16, MATCH(YEAR(EOMONTH($A327,6)), 'I1 - Universal Data'!$E$14:$V$14, 0)))</f>
        <v>2.5462143115942082E-2</v>
      </c>
      <c r="G327" s="925">
        <f>IF($A327&lt;DATE(2018,7,1),"-",INDEX('I1 - Universal Data'!$E$15:$V$15, MATCH(YEAR(EOMONTH($A327,6)), 'I1 - Universal Data'!$E$14:$V$14, 0)))</f>
        <v>3.0764505475405324E-2</v>
      </c>
      <c r="H327" s="925">
        <f>IF($A327&lt;DATE(2018,7,1),"-",INDEX('I1 - Universal Data'!$E$17:$V$17, MATCH(YEAR(EOMONTH($A327,6)), 'I1 - Universal Data'!$E$14:$V$14, 0)))</f>
        <v>2.301053135157205E-2</v>
      </c>
      <c r="I327" s="926">
        <f t="shared" ref="I327:K342" si="32">IF(ISBLANK(C327),I326*((1+F327)^(1/12)),C327)</f>
        <v>139.4</v>
      </c>
      <c r="J327" s="926">
        <f t="shared" si="32"/>
        <v>406.4</v>
      </c>
      <c r="K327" s="926">
        <f t="shared" si="32"/>
        <v>139.5</v>
      </c>
      <c r="X327" s="927"/>
    </row>
    <row r="328" spans="1:24">
      <c r="A328" s="922">
        <f t="shared" si="31"/>
        <v>46081</v>
      </c>
      <c r="B328" s="923">
        <f t="shared" si="30"/>
        <v>2026</v>
      </c>
      <c r="C328" s="924">
        <v>140</v>
      </c>
      <c r="D328" s="924">
        <v>408.2</v>
      </c>
      <c r="E328" s="924">
        <v>140.1</v>
      </c>
      <c r="F328" s="925">
        <f>IF($A328&lt;DATE(2018,7,1),"-",INDEX('I1 - Universal Data'!$E$16:$V$16, MATCH(YEAR(EOMONTH($A328,6)), 'I1 - Universal Data'!$E$14:$V$14, 0)))</f>
        <v>2.5462143115942082E-2</v>
      </c>
      <c r="G328" s="925">
        <f>IF($A328&lt;DATE(2018,7,1),"-",INDEX('I1 - Universal Data'!$E$15:$V$15, MATCH(YEAR(EOMONTH($A328,6)), 'I1 - Universal Data'!$E$14:$V$14, 0)))</f>
        <v>3.0764505475405324E-2</v>
      </c>
      <c r="H328" s="925">
        <f>IF($A328&lt;DATE(2018,7,1),"-",INDEX('I1 - Universal Data'!$E$17:$V$17, MATCH(YEAR(EOMONTH($A328,6)), 'I1 - Universal Data'!$E$14:$V$14, 0)))</f>
        <v>2.301053135157205E-2</v>
      </c>
      <c r="I328" s="926">
        <f t="shared" si="32"/>
        <v>140</v>
      </c>
      <c r="J328" s="926">
        <f t="shared" si="32"/>
        <v>408.2</v>
      </c>
      <c r="K328" s="926">
        <f t="shared" si="32"/>
        <v>140.1</v>
      </c>
      <c r="X328" s="927"/>
    </row>
    <row r="329" spans="1:24">
      <c r="A329" s="922">
        <f t="shared" si="31"/>
        <v>46112</v>
      </c>
      <c r="B329" s="923">
        <f t="shared" si="30"/>
        <v>2026</v>
      </c>
      <c r="C329" s="924">
        <v>140.80000000000001</v>
      </c>
      <c r="D329" s="924">
        <v>411.4</v>
      </c>
      <c r="E329" s="924">
        <v>141</v>
      </c>
      <c r="F329" s="925">
        <f>IF($A329&lt;DATE(2018,7,1),"-",INDEX('I1 - Universal Data'!$E$16:$V$16, MATCH(YEAR(EOMONTH($A329,6)), 'I1 - Universal Data'!$E$14:$V$14, 0)))</f>
        <v>2.5462143115942082E-2</v>
      </c>
      <c r="G329" s="925">
        <f>IF($A329&lt;DATE(2018,7,1),"-",INDEX('I1 - Universal Data'!$E$15:$V$15, MATCH(YEAR(EOMONTH($A329,6)), 'I1 - Universal Data'!$E$14:$V$14, 0)))</f>
        <v>3.0764505475405324E-2</v>
      </c>
      <c r="H329" s="925">
        <f>IF($A329&lt;DATE(2018,7,1),"-",INDEX('I1 - Universal Data'!$E$17:$V$17, MATCH(YEAR(EOMONTH($A329,6)), 'I1 - Universal Data'!$E$14:$V$14, 0)))</f>
        <v>2.301053135157205E-2</v>
      </c>
      <c r="I329" s="926">
        <f t="shared" si="32"/>
        <v>140.80000000000001</v>
      </c>
      <c r="J329" s="926">
        <f t="shared" si="32"/>
        <v>411.4</v>
      </c>
      <c r="K329" s="926">
        <f t="shared" si="32"/>
        <v>141</v>
      </c>
      <c r="X329" s="927"/>
    </row>
    <row r="330" spans="1:24">
      <c r="A330" s="922">
        <f t="shared" si="31"/>
        <v>46142</v>
      </c>
      <c r="B330" s="923">
        <f t="shared" si="30"/>
        <v>2027</v>
      </c>
      <c r="C330" s="924">
        <v>141.80000000000001</v>
      </c>
      <c r="D330" s="924">
        <v>414.4</v>
      </c>
      <c r="E330" s="924">
        <v>142.1</v>
      </c>
      <c r="F330" s="925">
        <f>IF($A330&lt;DATE(2018,7,1),"-",INDEX('I1 - Universal Data'!$E$16:$V$16, MATCH(YEAR(EOMONTH($A330,6)), 'I1 - Universal Data'!$E$14:$V$14, 0)))</f>
        <v>2.5462143115942082E-2</v>
      </c>
      <c r="G330" s="925">
        <f>IF($A330&lt;DATE(2018,7,1),"-",INDEX('I1 - Universal Data'!$E$15:$V$15, MATCH(YEAR(EOMONTH($A330,6)), 'I1 - Universal Data'!$E$14:$V$14, 0)))</f>
        <v>3.0764505475405324E-2</v>
      </c>
      <c r="H330" s="925">
        <f>IF($A330&lt;DATE(2018,7,1),"-",INDEX('I1 - Universal Data'!$E$17:$V$17, MATCH(YEAR(EOMONTH($A330,6)), 'I1 - Universal Data'!$E$14:$V$14, 0)))</f>
        <v>2.301053135157205E-2</v>
      </c>
      <c r="I330" s="926">
        <f t="shared" si="32"/>
        <v>141.80000000000001</v>
      </c>
      <c r="J330" s="926">
        <f t="shared" si="32"/>
        <v>414.4</v>
      </c>
      <c r="K330" s="926">
        <f t="shared" si="32"/>
        <v>142.1</v>
      </c>
      <c r="X330" s="927"/>
    </row>
    <row r="331" spans="1:24">
      <c r="A331" s="922">
        <f t="shared" si="31"/>
        <v>46173</v>
      </c>
      <c r="B331" s="923">
        <f t="shared" si="30"/>
        <v>2027</v>
      </c>
      <c r="C331" s="924">
        <v>142.1</v>
      </c>
      <c r="D331" s="924">
        <v>415.3</v>
      </c>
      <c r="E331" s="924">
        <v>142.4</v>
      </c>
      <c r="F331" s="925">
        <f>IF($A331&lt;DATE(2018,7,1),"-",INDEX('I1 - Universal Data'!$E$16:$V$16, MATCH(YEAR(EOMONTH($A331,6)), 'I1 - Universal Data'!$E$14:$V$14, 0)))</f>
        <v>2.5462143115942082E-2</v>
      </c>
      <c r="G331" s="925">
        <f>IF($A331&lt;DATE(2018,7,1),"-",INDEX('I1 - Universal Data'!$E$15:$V$15, MATCH(YEAR(EOMONTH($A331,6)), 'I1 - Universal Data'!$E$14:$V$14, 0)))</f>
        <v>3.0764505475405324E-2</v>
      </c>
      <c r="H331" s="925">
        <f>IF($A331&lt;DATE(2018,7,1),"-",INDEX('I1 - Universal Data'!$E$17:$V$17, MATCH(YEAR(EOMONTH($A331,6)), 'I1 - Universal Data'!$E$14:$V$14, 0)))</f>
        <v>2.301053135157205E-2</v>
      </c>
      <c r="I331" s="926">
        <f t="shared" si="32"/>
        <v>142.1</v>
      </c>
      <c r="J331" s="926">
        <f t="shared" si="32"/>
        <v>415.3</v>
      </c>
      <c r="K331" s="926">
        <f t="shared" si="32"/>
        <v>142.4</v>
      </c>
      <c r="X331" s="927"/>
    </row>
    <row r="332" spans="1:24">
      <c r="A332" s="922">
        <f t="shared" si="31"/>
        <v>46203</v>
      </c>
      <c r="B332" s="923">
        <f t="shared" si="30"/>
        <v>2027</v>
      </c>
      <c r="C332" s="924">
        <v>142.30000000000001</v>
      </c>
      <c r="D332" s="924">
        <v>416.5</v>
      </c>
      <c r="E332" s="924">
        <v>142.5</v>
      </c>
      <c r="F332" s="925">
        <f>IF($A332&lt;DATE(2018,7,1),"-",INDEX('I1 - Universal Data'!$E$16:$V$16, MATCH(YEAR(EOMONTH($A332,6)), 'I1 - Universal Data'!$E$14:$V$14, 0)))</f>
        <v>2.5462143115942082E-2</v>
      </c>
      <c r="G332" s="925">
        <f>IF($A332&lt;DATE(2018,7,1),"-",INDEX('I1 - Universal Data'!$E$15:$V$15, MATCH(YEAR(EOMONTH($A332,6)), 'I1 - Universal Data'!$E$14:$V$14, 0)))</f>
        <v>3.0764505475405324E-2</v>
      </c>
      <c r="H332" s="925">
        <f>IF($A332&lt;DATE(2018,7,1),"-",INDEX('I1 - Universal Data'!$E$17:$V$17, MATCH(YEAR(EOMONTH($A332,6)), 'I1 - Universal Data'!$E$14:$V$14, 0)))</f>
        <v>2.301053135157205E-2</v>
      </c>
      <c r="I332" s="926">
        <f t="shared" si="32"/>
        <v>142.30000000000001</v>
      </c>
      <c r="J332" s="926">
        <f t="shared" si="32"/>
        <v>416.5</v>
      </c>
      <c r="K332" s="926">
        <f t="shared" si="32"/>
        <v>142.5</v>
      </c>
      <c r="X332" s="927"/>
    </row>
    <row r="333" spans="1:24">
      <c r="A333" s="922">
        <f t="shared" si="31"/>
        <v>46234</v>
      </c>
      <c r="B333" s="923">
        <f t="shared" si="30"/>
        <v>2027</v>
      </c>
      <c r="C333" s="924"/>
      <c r="D333" s="924"/>
      <c r="E333" s="924"/>
      <c r="F333" s="925">
        <f>IF($A333&lt;DATE(2018,7,1),"-",INDEX('I1 - Universal Data'!$E$16:$V$16, MATCH(YEAR(EOMONTH($A333,6)), 'I1 - Universal Data'!$E$14:$V$14, 0)))</f>
        <v>2.1106939830908944E-2</v>
      </c>
      <c r="G333" s="925">
        <f>IF($A333&lt;DATE(2018,7,1),"-",INDEX('I1 - Universal Data'!$E$15:$V$15, MATCH(YEAR(EOMONTH($A333,6)), 'I1 - Universal Data'!$E$14:$V$14, 0)))</f>
        <v>2.9831866105610727E-2</v>
      </c>
      <c r="H333" s="925">
        <f>IF($A333&lt;DATE(2018,7,1),"-",INDEX('I1 - Universal Data'!$E$17:$V$17, MATCH(YEAR(EOMONTH($A333,6)), 'I1 - Universal Data'!$E$14:$V$14, 0)))</f>
        <v>1.9685428964515195E-2</v>
      </c>
      <c r="I333" s="926">
        <f t="shared" si="32"/>
        <v>142.54790394628893</v>
      </c>
      <c r="J333" s="926">
        <f t="shared" si="32"/>
        <v>417.52152128515593</v>
      </c>
      <c r="K333" s="926">
        <f t="shared" si="32"/>
        <v>142.73168148299587</v>
      </c>
      <c r="X333" s="927"/>
    </row>
    <row r="334" spans="1:24">
      <c r="A334" s="922">
        <f t="shared" si="31"/>
        <v>46265</v>
      </c>
      <c r="B334" s="923">
        <f t="shared" si="30"/>
        <v>2027</v>
      </c>
      <c r="C334" s="924"/>
      <c r="D334" s="924"/>
      <c r="E334" s="924"/>
      <c r="F334" s="925">
        <f>IF($A334&lt;DATE(2018,7,1),"-",INDEX('I1 - Universal Data'!$E$16:$V$16, MATCH(YEAR(EOMONTH($A334,6)), 'I1 - Universal Data'!$E$14:$V$14, 0)))</f>
        <v>2.1106939830908944E-2</v>
      </c>
      <c r="G334" s="925">
        <f>IF($A334&lt;DATE(2018,7,1),"-",INDEX('I1 - Universal Data'!$E$15:$V$15, MATCH(YEAR(EOMONTH($A334,6)), 'I1 - Universal Data'!$E$14:$V$14, 0)))</f>
        <v>2.9831866105610727E-2</v>
      </c>
      <c r="H334" s="925">
        <f>IF($A334&lt;DATE(2018,7,1),"-",INDEX('I1 - Universal Data'!$E$17:$V$17, MATCH(YEAR(EOMONTH($A334,6)), 'I1 - Universal Data'!$E$14:$V$14, 0)))</f>
        <v>1.9685428964515195E-2</v>
      </c>
      <c r="I334" s="926">
        <f t="shared" si="32"/>
        <v>142.79623977147165</v>
      </c>
      <c r="J334" s="926">
        <f t="shared" si="32"/>
        <v>418.54554798624469</v>
      </c>
      <c r="K334" s="926">
        <f t="shared" si="32"/>
        <v>142.96373964184832</v>
      </c>
      <c r="X334" s="927"/>
    </row>
    <row r="335" spans="1:24">
      <c r="A335" s="922">
        <f t="shared" si="31"/>
        <v>46295</v>
      </c>
      <c r="B335" s="923">
        <f t="shared" si="30"/>
        <v>2027</v>
      </c>
      <c r="C335" s="924"/>
      <c r="D335" s="924"/>
      <c r="E335" s="924"/>
      <c r="F335" s="925">
        <f>IF($A335&lt;DATE(2018,7,1),"-",INDEX('I1 - Universal Data'!$E$16:$V$16, MATCH(YEAR(EOMONTH($A335,6)), 'I1 - Universal Data'!$E$14:$V$14, 0)))</f>
        <v>2.1106939830908944E-2</v>
      </c>
      <c r="G335" s="925">
        <f>IF($A335&lt;DATE(2018,7,1),"-",INDEX('I1 - Universal Data'!$E$15:$V$15, MATCH(YEAR(EOMONTH($A335,6)), 'I1 - Universal Data'!$E$14:$V$14, 0)))</f>
        <v>2.9831866105610727E-2</v>
      </c>
      <c r="H335" s="925">
        <f>IF($A335&lt;DATE(2018,7,1),"-",INDEX('I1 - Universal Data'!$E$17:$V$17, MATCH(YEAR(EOMONTH($A335,6)), 'I1 - Universal Data'!$E$14:$V$14, 0)))</f>
        <v>1.9685428964515195E-2</v>
      </c>
      <c r="I335" s="926">
        <f t="shared" si="32"/>
        <v>143.04500822793381</v>
      </c>
      <c r="J335" s="926">
        <f t="shared" si="32"/>
        <v>419.57208624812995</v>
      </c>
      <c r="K335" s="926">
        <f t="shared" si="32"/>
        <v>143.19617508897014</v>
      </c>
      <c r="X335" s="927"/>
    </row>
    <row r="336" spans="1:24">
      <c r="A336" s="922">
        <f t="shared" si="31"/>
        <v>46326</v>
      </c>
      <c r="B336" s="923">
        <f t="shared" si="30"/>
        <v>2027</v>
      </c>
      <c r="C336" s="924"/>
      <c r="D336" s="924"/>
      <c r="E336" s="924"/>
      <c r="F336" s="925">
        <f>IF($A336&lt;DATE(2018,7,1),"-",INDEX('I1 - Universal Data'!$E$16:$V$16, MATCH(YEAR(EOMONTH($A336,6)), 'I1 - Universal Data'!$E$14:$V$14, 0)))</f>
        <v>2.1106939830908944E-2</v>
      </c>
      <c r="G336" s="925">
        <f>IF($A336&lt;DATE(2018,7,1),"-",INDEX('I1 - Universal Data'!$E$15:$V$15, MATCH(YEAR(EOMONTH($A336,6)), 'I1 - Universal Data'!$E$14:$V$14, 0)))</f>
        <v>2.9831866105610727E-2</v>
      </c>
      <c r="H336" s="925">
        <f>IF($A336&lt;DATE(2018,7,1),"-",INDEX('I1 - Universal Data'!$E$17:$V$17, MATCH(YEAR(EOMONTH($A336,6)), 'I1 - Universal Data'!$E$14:$V$14, 0)))</f>
        <v>1.9685428964515195E-2</v>
      </c>
      <c r="I336" s="926">
        <f t="shared" si="32"/>
        <v>143.29421006937187</v>
      </c>
      <c r="J336" s="926">
        <f t="shared" si="32"/>
        <v>420.6011422307464</v>
      </c>
      <c r="K336" s="926">
        <f t="shared" si="32"/>
        <v>143.42898843776976</v>
      </c>
      <c r="X336" s="927"/>
    </row>
    <row r="337" spans="1:24">
      <c r="A337" s="922">
        <f t="shared" si="31"/>
        <v>46356</v>
      </c>
      <c r="B337" s="923">
        <f t="shared" si="30"/>
        <v>2027</v>
      </c>
      <c r="C337" s="924"/>
      <c r="D337" s="924"/>
      <c r="E337" s="924"/>
      <c r="F337" s="925">
        <f>IF($A337&lt;DATE(2018,7,1),"-",INDEX('I1 - Universal Data'!$E$16:$V$16, MATCH(YEAR(EOMONTH($A337,6)), 'I1 - Universal Data'!$E$14:$V$14, 0)))</f>
        <v>2.1106939830908944E-2</v>
      </c>
      <c r="G337" s="925">
        <f>IF($A337&lt;DATE(2018,7,1),"-",INDEX('I1 - Universal Data'!$E$15:$V$15, MATCH(YEAR(EOMONTH($A337,6)), 'I1 - Universal Data'!$E$14:$V$14, 0)))</f>
        <v>2.9831866105610727E-2</v>
      </c>
      <c r="H337" s="925">
        <f>IF($A337&lt;DATE(2018,7,1),"-",INDEX('I1 - Universal Data'!$E$17:$V$17, MATCH(YEAR(EOMONTH($A337,6)), 'I1 - Universal Data'!$E$14:$V$14, 0)))</f>
        <v>1.9685428964515195E-2</v>
      </c>
      <c r="I337" s="926">
        <f t="shared" si="32"/>
        <v>143.54384605079528</v>
      </c>
      <c r="J337" s="926">
        <f t="shared" si="32"/>
        <v>421.63272210913681</v>
      </c>
      <c r="K337" s="926">
        <f t="shared" si="32"/>
        <v>143.66218030265298</v>
      </c>
      <c r="X337" s="927"/>
    </row>
    <row r="338" spans="1:24">
      <c r="A338" s="922">
        <f t="shared" si="31"/>
        <v>46387</v>
      </c>
      <c r="B338" s="923">
        <f t="shared" si="30"/>
        <v>2027</v>
      </c>
      <c r="C338" s="924"/>
      <c r="D338" s="924"/>
      <c r="E338" s="924"/>
      <c r="F338" s="925">
        <f>IF($A338&lt;DATE(2018,7,1),"-",INDEX('I1 - Universal Data'!$E$16:$V$16, MATCH(YEAR(EOMONTH($A338,6)), 'I1 - Universal Data'!$E$14:$V$14, 0)))</f>
        <v>2.1106939830908944E-2</v>
      </c>
      <c r="G338" s="925">
        <f>IF($A338&lt;DATE(2018,7,1),"-",INDEX('I1 - Universal Data'!$E$15:$V$15, MATCH(YEAR(EOMONTH($A338,6)), 'I1 - Universal Data'!$E$14:$V$14, 0)))</f>
        <v>2.9831866105610727E-2</v>
      </c>
      <c r="H338" s="925">
        <f>IF($A338&lt;DATE(2018,7,1),"-",INDEX('I1 - Universal Data'!$E$17:$V$17, MATCH(YEAR(EOMONTH($A338,6)), 'I1 - Universal Data'!$E$14:$V$14, 0)))</f>
        <v>1.9685428964515195E-2</v>
      </c>
      <c r="I338" s="926">
        <f t="shared" si="32"/>
        <v>143.7939169285288</v>
      </c>
      <c r="J338" s="926">
        <f t="shared" si="32"/>
        <v>422.66683207348905</v>
      </c>
      <c r="K338" s="926">
        <f t="shared" si="32"/>
        <v>143.89575129902448</v>
      </c>
      <c r="X338" s="927"/>
    </row>
    <row r="339" spans="1:24">
      <c r="A339" s="922">
        <f t="shared" si="31"/>
        <v>46418</v>
      </c>
      <c r="B339" s="923">
        <f t="shared" si="30"/>
        <v>2027</v>
      </c>
      <c r="C339" s="924"/>
      <c r="D339" s="924"/>
      <c r="E339" s="924"/>
      <c r="F339" s="925">
        <f>IF($A339&lt;DATE(2018,7,1),"-",INDEX('I1 - Universal Data'!$E$16:$V$16, MATCH(YEAR(EOMONTH($A339,6)), 'I1 - Universal Data'!$E$14:$V$14, 0)))</f>
        <v>2.1106939830908944E-2</v>
      </c>
      <c r="G339" s="925">
        <f>IF($A339&lt;DATE(2018,7,1),"-",INDEX('I1 - Universal Data'!$E$15:$V$15, MATCH(YEAR(EOMONTH($A339,6)), 'I1 - Universal Data'!$E$14:$V$14, 0)))</f>
        <v>2.9831866105610727E-2</v>
      </c>
      <c r="H339" s="925">
        <f>IF($A339&lt;DATE(2018,7,1),"-",INDEX('I1 - Universal Data'!$E$17:$V$17, MATCH(YEAR(EOMONTH($A339,6)), 'I1 - Universal Data'!$E$14:$V$14, 0)))</f>
        <v>1.9685428964515195E-2</v>
      </c>
      <c r="I339" s="926">
        <f t="shared" si="32"/>
        <v>144.04442346021486</v>
      </c>
      <c r="J339" s="926">
        <f t="shared" si="32"/>
        <v>423.70347832917332</v>
      </c>
      <c r="K339" s="926">
        <f t="shared" si="32"/>
        <v>144.12970204328948</v>
      </c>
    </row>
    <row r="340" spans="1:24">
      <c r="A340" s="922">
        <f t="shared" si="31"/>
        <v>46446</v>
      </c>
      <c r="B340" s="923">
        <f t="shared" si="30"/>
        <v>2027</v>
      </c>
      <c r="C340" s="924"/>
      <c r="D340" s="924"/>
      <c r="E340" s="924"/>
      <c r="F340" s="925">
        <f>IF($A340&lt;DATE(2018,7,1),"-",INDEX('I1 - Universal Data'!$E$16:$V$16, MATCH(YEAR(EOMONTH($A340,6)), 'I1 - Universal Data'!$E$14:$V$14, 0)))</f>
        <v>2.1106939830908944E-2</v>
      </c>
      <c r="G340" s="925">
        <f>IF($A340&lt;DATE(2018,7,1),"-",INDEX('I1 - Universal Data'!$E$15:$V$15, MATCH(YEAR(EOMONTH($A340,6)), 'I1 - Universal Data'!$E$14:$V$14, 0)))</f>
        <v>2.9831866105610727E-2</v>
      </c>
      <c r="H340" s="925">
        <f>IF($A340&lt;DATE(2018,7,1),"-",INDEX('I1 - Universal Data'!$E$17:$V$17, MATCH(YEAR(EOMONTH($A340,6)), 'I1 - Universal Data'!$E$14:$V$14, 0)))</f>
        <v>1.9685428964515195E-2</v>
      </c>
      <c r="I340" s="926">
        <f t="shared" si="32"/>
        <v>144.2953664048157</v>
      </c>
      <c r="J340" s="926">
        <f t="shared" si="32"/>
        <v>424.7426670967792</v>
      </c>
      <c r="K340" s="926">
        <f t="shared" si="32"/>
        <v>144.36403315285537</v>
      </c>
    </row>
    <row r="341" spans="1:24" s="484" customFormat="1">
      <c r="A341" s="922">
        <f t="shared" si="31"/>
        <v>46477</v>
      </c>
      <c r="B341" s="923">
        <f t="shared" si="30"/>
        <v>2027</v>
      </c>
      <c r="C341" s="924"/>
      <c r="D341" s="924"/>
      <c r="E341" s="924"/>
      <c r="F341" s="925">
        <f>IF($A341&lt;DATE(2018,7,1),"-",INDEX('I1 - Universal Data'!$E$16:$V$16, MATCH(YEAR(EOMONTH($A341,6)), 'I1 - Universal Data'!$E$14:$V$14, 0)))</f>
        <v>2.1106939830908944E-2</v>
      </c>
      <c r="G341" s="925">
        <f>IF($A341&lt;DATE(2018,7,1),"-",INDEX('I1 - Universal Data'!$E$15:$V$15, MATCH(YEAR(EOMONTH($A341,6)), 'I1 - Universal Data'!$E$14:$V$14, 0)))</f>
        <v>2.9831866105610727E-2</v>
      </c>
      <c r="H341" s="925">
        <f>IF($A341&lt;DATE(2018,7,1),"-",INDEX('I1 - Universal Data'!$E$17:$V$17, MATCH(YEAR(EOMONTH($A341,6)), 'I1 - Universal Data'!$E$14:$V$14, 0)))</f>
        <v>1.9685428964515195E-2</v>
      </c>
      <c r="I341" s="926">
        <f t="shared" si="32"/>
        <v>144.54674652261585</v>
      </c>
      <c r="J341" s="926">
        <f t="shared" si="32"/>
        <v>425.7844046121532</v>
      </c>
      <c r="K341" s="926">
        <f t="shared" si="32"/>
        <v>144.59874524613338</v>
      </c>
      <c r="W341" s="427"/>
      <c r="X341" s="478"/>
    </row>
    <row r="342" spans="1:24" s="484" customFormat="1">
      <c r="A342" s="922">
        <f t="shared" si="31"/>
        <v>46507</v>
      </c>
      <c r="B342" s="923">
        <f t="shared" si="30"/>
        <v>2028</v>
      </c>
      <c r="C342" s="924"/>
      <c r="D342" s="924"/>
      <c r="E342" s="924"/>
      <c r="F342" s="925">
        <f>IF($A342&lt;DATE(2018,7,1),"-",INDEX('I1 - Universal Data'!$E$16:$V$16, MATCH(YEAR(EOMONTH($A342,6)), 'I1 - Universal Data'!$E$14:$V$14, 0)))</f>
        <v>2.1106939830908944E-2</v>
      </c>
      <c r="G342" s="925">
        <f>IF($A342&lt;DATE(2018,7,1),"-",INDEX('I1 - Universal Data'!$E$15:$V$15, MATCH(YEAR(EOMONTH($A342,6)), 'I1 - Universal Data'!$E$14:$V$14, 0)))</f>
        <v>2.9831866105610727E-2</v>
      </c>
      <c r="H342" s="925">
        <f>IF($A342&lt;DATE(2018,7,1),"-",INDEX('I1 - Universal Data'!$E$17:$V$17, MATCH(YEAR(EOMONTH($A342,6)), 'I1 - Universal Data'!$E$14:$V$14, 0)))</f>
        <v>1.9685428964515195E-2</v>
      </c>
      <c r="I342" s="926">
        <f t="shared" si="32"/>
        <v>144.79856457522428</v>
      </c>
      <c r="J342" s="926">
        <f t="shared" si="32"/>
        <v>426.82869712643594</v>
      </c>
      <c r="K342" s="926">
        <f t="shared" si="32"/>
        <v>144.83383894254015</v>
      </c>
      <c r="W342" s="427"/>
      <c r="X342" s="478"/>
    </row>
    <row r="343" spans="1:24" s="484" customFormat="1">
      <c r="A343" s="922">
        <f t="shared" si="31"/>
        <v>46538</v>
      </c>
      <c r="B343" s="923">
        <f t="shared" si="30"/>
        <v>2028</v>
      </c>
      <c r="C343" s="924"/>
      <c r="D343" s="924"/>
      <c r="E343" s="924"/>
      <c r="F343" s="925">
        <f>IF($A343&lt;DATE(2018,7,1),"-",INDEX('I1 - Universal Data'!$E$16:$V$16, MATCH(YEAR(EOMONTH($A343,6)), 'I1 - Universal Data'!$E$14:$V$14, 0)))</f>
        <v>2.1106939830908944E-2</v>
      </c>
      <c r="G343" s="925">
        <f>IF($A343&lt;DATE(2018,7,1),"-",INDEX('I1 - Universal Data'!$E$15:$V$15, MATCH(YEAR(EOMONTH($A343,6)), 'I1 - Universal Data'!$E$14:$V$14, 0)))</f>
        <v>2.9831866105610727E-2</v>
      </c>
      <c r="H343" s="925">
        <f>IF($A343&lt;DATE(2018,7,1),"-",INDEX('I1 - Universal Data'!$E$17:$V$17, MATCH(YEAR(EOMONTH($A343,6)), 'I1 - Universal Data'!$E$14:$V$14, 0)))</f>
        <v>1.9685428964515195E-2</v>
      </c>
      <c r="I343" s="926">
        <f t="shared" ref="I343:K358" si="33">IF(ISBLANK(C343),I342*((1+F343)^(1/12)),C343)</f>
        <v>145.05082132557683</v>
      </c>
      <c r="J343" s="926">
        <f t="shared" si="33"/>
        <v>427.87555090609987</v>
      </c>
      <c r="K343" s="926">
        <f t="shared" si="33"/>
        <v>145.0693148624994</v>
      </c>
      <c r="W343" s="427"/>
      <c r="X343" s="478"/>
    </row>
    <row r="344" spans="1:24" s="484" customFormat="1">
      <c r="A344" s="922">
        <f t="shared" si="31"/>
        <v>46568</v>
      </c>
      <c r="B344" s="923">
        <f t="shared" si="30"/>
        <v>2028</v>
      </c>
      <c r="C344" s="924"/>
      <c r="D344" s="924"/>
      <c r="E344" s="924"/>
      <c r="F344" s="925">
        <f>IF($A344&lt;DATE(2018,7,1),"-",INDEX('I1 - Universal Data'!$E$16:$V$16, MATCH(YEAR(EOMONTH($A344,6)), 'I1 - Universal Data'!$E$14:$V$14, 0)))</f>
        <v>2.1106939830908944E-2</v>
      </c>
      <c r="G344" s="925">
        <f>IF($A344&lt;DATE(2018,7,1),"-",INDEX('I1 - Universal Data'!$E$15:$V$15, MATCH(YEAR(EOMONTH($A344,6)), 'I1 - Universal Data'!$E$14:$V$14, 0)))</f>
        <v>2.9831866105610727E-2</v>
      </c>
      <c r="H344" s="925">
        <f>IF($A344&lt;DATE(2018,7,1),"-",INDEX('I1 - Universal Data'!$E$17:$V$17, MATCH(YEAR(EOMONTH($A344,6)), 'I1 - Universal Data'!$E$14:$V$14, 0)))</f>
        <v>1.9685428964515195E-2</v>
      </c>
      <c r="I344" s="926">
        <f t="shared" si="33"/>
        <v>145.30351753793846</v>
      </c>
      <c r="J344" s="926">
        <f t="shared" si="33"/>
        <v>428.92497223298682</v>
      </c>
      <c r="K344" s="926">
        <f t="shared" si="33"/>
        <v>145.30517362744351</v>
      </c>
      <c r="W344" s="427"/>
      <c r="X344" s="478"/>
    </row>
    <row r="345" spans="1:24" s="484" customFormat="1">
      <c r="A345" s="922">
        <f t="shared" si="31"/>
        <v>46599</v>
      </c>
      <c r="B345" s="923">
        <f t="shared" si="30"/>
        <v>2028</v>
      </c>
      <c r="C345" s="924"/>
      <c r="D345" s="924"/>
      <c r="E345" s="924"/>
      <c r="F345" s="925">
        <f>IF($A345&lt;DATE(2018,7,1),"-",INDEX('I1 - Universal Data'!$E$16:$V$16, MATCH(YEAR(EOMONTH($A345,6)), 'I1 - Universal Data'!$E$14:$V$14, 0)))</f>
        <v>2.0363958655881476E-2</v>
      </c>
      <c r="G345" s="925">
        <f>IF($A345&lt;DATE(2018,7,1),"-",INDEX('I1 - Universal Data'!$E$15:$V$15, MATCH(YEAR(EOMONTH($A345,6)), 'I1 - Universal Data'!$E$14:$V$14, 0)))</f>
        <v>2.7839240870369375E-2</v>
      </c>
      <c r="H345" s="925">
        <f>IF($A345&lt;DATE(2018,7,1),"-",INDEX('I1 - Universal Data'!$E$17:$V$17, MATCH(YEAR(EOMONTH($A345,6)), 'I1 - Universal Data'!$E$14:$V$14, 0)))</f>
        <v>1.9764681807515894E-2</v>
      </c>
      <c r="I345" s="926">
        <f t="shared" si="33"/>
        <v>145.54782516573169</v>
      </c>
      <c r="J345" s="926">
        <f t="shared" si="33"/>
        <v>429.90757551733566</v>
      </c>
      <c r="K345" s="926">
        <f t="shared" si="33"/>
        <v>145.54235848386531</v>
      </c>
      <c r="W345" s="427"/>
      <c r="X345" s="478"/>
    </row>
    <row r="346" spans="1:24" s="484" customFormat="1">
      <c r="A346" s="922">
        <f t="shared" si="31"/>
        <v>46630</v>
      </c>
      <c r="B346" s="923">
        <f t="shared" si="30"/>
        <v>2028</v>
      </c>
      <c r="C346" s="924"/>
      <c r="D346" s="924"/>
      <c r="E346" s="924"/>
      <c r="F346" s="925">
        <f>IF($A346&lt;DATE(2018,7,1),"-",INDEX('I1 - Universal Data'!$E$16:$V$16, MATCH(YEAR(EOMONTH($A346,6)), 'I1 - Universal Data'!$E$14:$V$14, 0)))</f>
        <v>2.0363958655881476E-2</v>
      </c>
      <c r="G346" s="925">
        <f>IF($A346&lt;DATE(2018,7,1),"-",INDEX('I1 - Universal Data'!$E$15:$V$15, MATCH(YEAR(EOMONTH($A346,6)), 'I1 - Universal Data'!$E$14:$V$14, 0)))</f>
        <v>2.7839240870369375E-2</v>
      </c>
      <c r="H346" s="925">
        <f>IF($A346&lt;DATE(2018,7,1),"-",INDEX('I1 - Universal Data'!$E$17:$V$17, MATCH(YEAR(EOMONTH($A346,6)), 'I1 - Universal Data'!$E$14:$V$14, 0)))</f>
        <v>1.9764681807515894E-2</v>
      </c>
      <c r="I346" s="926">
        <f t="shared" si="33"/>
        <v>145.79254356277548</v>
      </c>
      <c r="J346" s="926">
        <f t="shared" si="33"/>
        <v>430.89242979959073</v>
      </c>
      <c r="K346" s="926">
        <f t="shared" si="33"/>
        <v>145.7799305023868</v>
      </c>
      <c r="W346" s="427"/>
      <c r="X346" s="478"/>
    </row>
    <row r="347" spans="1:24" s="484" customFormat="1">
      <c r="A347" s="922">
        <f t="shared" si="31"/>
        <v>46660</v>
      </c>
      <c r="B347" s="923">
        <f t="shared" si="30"/>
        <v>2028</v>
      </c>
      <c r="C347" s="924"/>
      <c r="D347" s="924"/>
      <c r="E347" s="924"/>
      <c r="F347" s="925">
        <f>IF($A347&lt;DATE(2018,7,1),"-",INDEX('I1 - Universal Data'!$E$16:$V$16, MATCH(YEAR(EOMONTH($A347,6)), 'I1 - Universal Data'!$E$14:$V$14, 0)))</f>
        <v>2.0363958655881476E-2</v>
      </c>
      <c r="G347" s="925">
        <f>IF($A347&lt;DATE(2018,7,1),"-",INDEX('I1 - Universal Data'!$E$15:$V$15, MATCH(YEAR(EOMONTH($A347,6)), 'I1 - Universal Data'!$E$14:$V$14, 0)))</f>
        <v>2.7839240870369375E-2</v>
      </c>
      <c r="H347" s="925">
        <f>IF($A347&lt;DATE(2018,7,1),"-",INDEX('I1 - Universal Data'!$E$17:$V$17, MATCH(YEAR(EOMONTH($A347,6)), 'I1 - Universal Data'!$E$14:$V$14, 0)))</f>
        <v>1.9764681807515894E-2</v>
      </c>
      <c r="I347" s="926">
        <f t="shared" si="33"/>
        <v>146.03767341972107</v>
      </c>
      <c r="J347" s="926">
        <f t="shared" si="33"/>
        <v>431.87954023645324</v>
      </c>
      <c r="K347" s="926">
        <f t="shared" si="33"/>
        <v>146.01789031498126</v>
      </c>
      <c r="W347" s="427"/>
      <c r="X347" s="478"/>
    </row>
    <row r="348" spans="1:24" s="484" customFormat="1">
      <c r="A348" s="922">
        <f t="shared" si="31"/>
        <v>46691</v>
      </c>
      <c r="B348" s="923">
        <f t="shared" si="30"/>
        <v>2028</v>
      </c>
      <c r="C348" s="924"/>
      <c r="D348" s="924"/>
      <c r="E348" s="924"/>
      <c r="F348" s="925">
        <f>IF($A348&lt;DATE(2018,7,1),"-",INDEX('I1 - Universal Data'!$E$16:$V$16, MATCH(YEAR(EOMONTH($A348,6)), 'I1 - Universal Data'!$E$14:$V$14, 0)))</f>
        <v>2.0363958655881476E-2</v>
      </c>
      <c r="G348" s="925">
        <f>IF($A348&lt;DATE(2018,7,1),"-",INDEX('I1 - Universal Data'!$E$15:$V$15, MATCH(YEAR(EOMONTH($A348,6)), 'I1 - Universal Data'!$E$14:$V$14, 0)))</f>
        <v>2.7839240870369375E-2</v>
      </c>
      <c r="H348" s="925">
        <f>IF($A348&lt;DATE(2018,7,1),"-",INDEX('I1 - Universal Data'!$E$17:$V$17, MATCH(YEAR(EOMONTH($A348,6)), 'I1 - Universal Data'!$E$14:$V$14, 0)))</f>
        <v>1.9764681807515894E-2</v>
      </c>
      <c r="I348" s="926">
        <f t="shared" si="33"/>
        <v>146.283215428381</v>
      </c>
      <c r="J348" s="926">
        <f t="shared" si="33"/>
        <v>432.86891199643765</v>
      </c>
      <c r="K348" s="926">
        <f t="shared" si="33"/>
        <v>146.25623855465352</v>
      </c>
      <c r="W348" s="427"/>
      <c r="X348" s="478"/>
    </row>
    <row r="349" spans="1:24" s="484" customFormat="1">
      <c r="A349" s="922">
        <f t="shared" si="31"/>
        <v>46721</v>
      </c>
      <c r="B349" s="923">
        <f t="shared" si="30"/>
        <v>2028</v>
      </c>
      <c r="C349" s="924"/>
      <c r="D349" s="924"/>
      <c r="E349" s="924"/>
      <c r="F349" s="925">
        <f>IF($A349&lt;DATE(2018,7,1),"-",INDEX('I1 - Universal Data'!$E$16:$V$16, MATCH(YEAR(EOMONTH($A349,6)), 'I1 - Universal Data'!$E$14:$V$14, 0)))</f>
        <v>2.0363958655881476E-2</v>
      </c>
      <c r="G349" s="925">
        <f>IF($A349&lt;DATE(2018,7,1),"-",INDEX('I1 - Universal Data'!$E$15:$V$15, MATCH(YEAR(EOMONTH($A349,6)), 'I1 - Universal Data'!$E$14:$V$14, 0)))</f>
        <v>2.7839240870369375E-2</v>
      </c>
      <c r="H349" s="925">
        <f>IF($A349&lt;DATE(2018,7,1),"-",INDEX('I1 - Universal Data'!$E$17:$V$17, MATCH(YEAR(EOMONTH($A349,6)), 'I1 - Universal Data'!$E$14:$V$14, 0)))</f>
        <v>1.9764681807515894E-2</v>
      </c>
      <c r="I349" s="926">
        <f t="shared" si="33"/>
        <v>146.52917028173096</v>
      </c>
      <c r="J349" s="926">
        <f t="shared" si="33"/>
        <v>433.86055025989873</v>
      </c>
      <c r="K349" s="926">
        <f t="shared" si="33"/>
        <v>146.49497585544174</v>
      </c>
      <c r="W349" s="427"/>
      <c r="X349" s="478"/>
    </row>
    <row r="350" spans="1:24" s="484" customFormat="1">
      <c r="A350" s="922">
        <f t="shared" si="31"/>
        <v>46752</v>
      </c>
      <c r="B350" s="923">
        <f t="shared" si="30"/>
        <v>2028</v>
      </c>
      <c r="C350" s="924"/>
      <c r="D350" s="924"/>
      <c r="E350" s="924"/>
      <c r="F350" s="925">
        <f>IF($A350&lt;DATE(2018,7,1),"-",INDEX('I1 - Universal Data'!$E$16:$V$16, MATCH(YEAR(EOMONTH($A350,6)), 'I1 - Universal Data'!$E$14:$V$14, 0)))</f>
        <v>2.0363958655881476E-2</v>
      </c>
      <c r="G350" s="925">
        <f>IF($A350&lt;DATE(2018,7,1),"-",INDEX('I1 - Universal Data'!$E$15:$V$15, MATCH(YEAR(EOMONTH($A350,6)), 'I1 - Universal Data'!$E$14:$V$14, 0)))</f>
        <v>2.7839240870369375E-2</v>
      </c>
      <c r="H350" s="925">
        <f>IF($A350&lt;DATE(2018,7,1),"-",INDEX('I1 - Universal Data'!$E$17:$V$17, MATCH(YEAR(EOMONTH($A350,6)), 'I1 - Universal Data'!$E$14:$V$14, 0)))</f>
        <v>1.9764681807515894E-2</v>
      </c>
      <c r="I350" s="926">
        <f t="shared" si="33"/>
        <v>146.7755386739118</v>
      </c>
      <c r="J350" s="926">
        <f t="shared" si="33"/>
        <v>434.85446021905869</v>
      </c>
      <c r="K350" s="926">
        <f t="shared" si="33"/>
        <v>146.734102852419</v>
      </c>
      <c r="W350" s="427"/>
      <c r="X350" s="478"/>
    </row>
    <row r="351" spans="1:24" s="484" customFormat="1">
      <c r="A351" s="922">
        <f t="shared" si="31"/>
        <v>46783</v>
      </c>
      <c r="B351" s="923">
        <f t="shared" si="30"/>
        <v>2028</v>
      </c>
      <c r="C351" s="924"/>
      <c r="D351" s="924"/>
      <c r="E351" s="924"/>
      <c r="F351" s="925">
        <f>IF($A351&lt;DATE(2018,7,1),"-",INDEX('I1 - Universal Data'!$E$16:$V$16, MATCH(YEAR(EOMONTH($A351,6)), 'I1 - Universal Data'!$E$14:$V$14, 0)))</f>
        <v>2.0363958655881476E-2</v>
      </c>
      <c r="G351" s="925">
        <f>IF($A351&lt;DATE(2018,7,1),"-",INDEX('I1 - Universal Data'!$E$15:$V$15, MATCH(YEAR(EOMONTH($A351,6)), 'I1 - Universal Data'!$E$14:$V$14, 0)))</f>
        <v>2.7839240870369375E-2</v>
      </c>
      <c r="H351" s="925">
        <f>IF($A351&lt;DATE(2018,7,1),"-",INDEX('I1 - Universal Data'!$E$17:$V$17, MATCH(YEAR(EOMONTH($A351,6)), 'I1 - Universal Data'!$E$14:$V$14, 0)))</f>
        <v>1.9764681807515894E-2</v>
      </c>
      <c r="I351" s="926">
        <f t="shared" si="33"/>
        <v>147.02232130023145</v>
      </c>
      <c r="J351" s="926">
        <f t="shared" si="33"/>
        <v>435.85064707803434</v>
      </c>
      <c r="K351" s="926">
        <f t="shared" si="33"/>
        <v>146.97362018169503</v>
      </c>
      <c r="W351" s="427"/>
      <c r="X351" s="478"/>
    </row>
    <row r="352" spans="1:24" s="484" customFormat="1">
      <c r="A352" s="922">
        <f t="shared" si="31"/>
        <v>46812</v>
      </c>
      <c r="B352" s="923">
        <f t="shared" si="30"/>
        <v>2028</v>
      </c>
      <c r="C352" s="924"/>
      <c r="D352" s="924"/>
      <c r="E352" s="924"/>
      <c r="F352" s="925">
        <f>IF($A352&lt;DATE(2018,7,1),"-",INDEX('I1 - Universal Data'!$E$16:$V$16, MATCH(YEAR(EOMONTH($A352,6)), 'I1 - Universal Data'!$E$14:$V$14, 0)))</f>
        <v>2.0363958655881476E-2</v>
      </c>
      <c r="G352" s="925">
        <f>IF($A352&lt;DATE(2018,7,1),"-",INDEX('I1 - Universal Data'!$E$15:$V$15, MATCH(YEAR(EOMONTH($A352,6)), 'I1 - Universal Data'!$E$14:$V$14, 0)))</f>
        <v>2.7839240870369375E-2</v>
      </c>
      <c r="H352" s="925">
        <f>IF($A352&lt;DATE(2018,7,1),"-",INDEX('I1 - Universal Data'!$E$17:$V$17, MATCH(YEAR(EOMONTH($A352,6)), 'I1 - Universal Data'!$E$14:$V$14, 0)))</f>
        <v>1.9764681807515894E-2</v>
      </c>
      <c r="I352" s="926">
        <f t="shared" si="33"/>
        <v>147.26951885716696</v>
      </c>
      <c r="J352" s="926">
        <f t="shared" si="33"/>
        <v>436.8491160528643</v>
      </c>
      <c r="K352" s="926">
        <f t="shared" si="33"/>
        <v>147.21352848041786</v>
      </c>
      <c r="W352" s="427"/>
      <c r="X352" s="478"/>
    </row>
    <row r="353" spans="1:24" s="484" customFormat="1">
      <c r="A353" s="922">
        <f t="shared" si="31"/>
        <v>46843</v>
      </c>
      <c r="B353" s="923">
        <f t="shared" si="30"/>
        <v>2028</v>
      </c>
      <c r="C353" s="924"/>
      <c r="D353" s="924"/>
      <c r="E353" s="924"/>
      <c r="F353" s="925">
        <f>IF($A353&lt;DATE(2018,7,1),"-",INDEX('I1 - Universal Data'!$E$16:$V$16, MATCH(YEAR(EOMONTH($A353,6)), 'I1 - Universal Data'!$E$14:$V$14, 0)))</f>
        <v>2.0363958655881476E-2</v>
      </c>
      <c r="G353" s="925">
        <f>IF($A353&lt;DATE(2018,7,1),"-",INDEX('I1 - Universal Data'!$E$15:$V$15, MATCH(YEAR(EOMONTH($A353,6)), 'I1 - Universal Data'!$E$14:$V$14, 0)))</f>
        <v>2.7839240870369375E-2</v>
      </c>
      <c r="H353" s="925">
        <f>IF($A353&lt;DATE(2018,7,1),"-",INDEX('I1 - Universal Data'!$E$17:$V$17, MATCH(YEAR(EOMONTH($A353,6)), 'I1 - Universal Data'!$E$14:$V$14, 0)))</f>
        <v>1.9764681807515894E-2</v>
      </c>
      <c r="I353" s="926">
        <f t="shared" si="33"/>
        <v>147.51713204236637</v>
      </c>
      <c r="J353" s="926">
        <f t="shared" si="33"/>
        <v>437.84987237153643</v>
      </c>
      <c r="K353" s="926">
        <f t="shared" si="33"/>
        <v>147.45382838677565</v>
      </c>
      <c r="W353" s="427"/>
      <c r="X353" s="478"/>
    </row>
    <row r="354" spans="1:24" s="484" customFormat="1">
      <c r="A354" s="922">
        <f t="shared" si="31"/>
        <v>46873</v>
      </c>
      <c r="B354" s="923">
        <f t="shared" si="30"/>
        <v>2029</v>
      </c>
      <c r="C354" s="924"/>
      <c r="D354" s="924"/>
      <c r="E354" s="924"/>
      <c r="F354" s="925">
        <f>IF($A354&lt;DATE(2018,7,1),"-",INDEX('I1 - Universal Data'!$E$16:$V$16, MATCH(YEAR(EOMONTH($A354,6)), 'I1 - Universal Data'!$E$14:$V$14, 0)))</f>
        <v>2.0363958655881476E-2</v>
      </c>
      <c r="G354" s="925">
        <f>IF($A354&lt;DATE(2018,7,1),"-",INDEX('I1 - Universal Data'!$E$15:$V$15, MATCH(YEAR(EOMONTH($A354,6)), 'I1 - Universal Data'!$E$14:$V$14, 0)))</f>
        <v>2.7839240870369375E-2</v>
      </c>
      <c r="H354" s="925">
        <f>IF($A354&lt;DATE(2018,7,1),"-",INDEX('I1 - Universal Data'!$E$17:$V$17, MATCH(YEAR(EOMONTH($A354,6)), 'I1 - Universal Data'!$E$14:$V$14, 0)))</f>
        <v>1.9764681807515894E-2</v>
      </c>
      <c r="I354" s="926">
        <f t="shared" si="33"/>
        <v>147.76516155465072</v>
      </c>
      <c r="J354" s="926">
        <f t="shared" si="33"/>
        <v>438.8529212740151</v>
      </c>
      <c r="K354" s="926">
        <f t="shared" si="33"/>
        <v>147.69452053999819</v>
      </c>
      <c r="W354" s="427"/>
      <c r="X354" s="478"/>
    </row>
    <row r="355" spans="1:24" s="484" customFormat="1">
      <c r="A355" s="922">
        <f t="shared" si="31"/>
        <v>46904</v>
      </c>
      <c r="B355" s="923">
        <f t="shared" si="30"/>
        <v>2029</v>
      </c>
      <c r="C355" s="924"/>
      <c r="D355" s="924"/>
      <c r="E355" s="924"/>
      <c r="F355" s="925">
        <f>IF($A355&lt;DATE(2018,7,1),"-",INDEX('I1 - Universal Data'!$E$16:$V$16, MATCH(YEAR(EOMONTH($A355,6)), 'I1 - Universal Data'!$E$14:$V$14, 0)))</f>
        <v>2.0363958655881476E-2</v>
      </c>
      <c r="G355" s="925">
        <f>IF($A355&lt;DATE(2018,7,1),"-",INDEX('I1 - Universal Data'!$E$15:$V$15, MATCH(YEAR(EOMONTH($A355,6)), 'I1 - Universal Data'!$E$14:$V$14, 0)))</f>
        <v>2.7839240870369375E-2</v>
      </c>
      <c r="H355" s="925">
        <f>IF($A355&lt;DATE(2018,7,1),"-",INDEX('I1 - Universal Data'!$E$17:$V$17, MATCH(YEAR(EOMONTH($A355,6)), 'I1 - Universal Data'!$E$14:$V$14, 0)))</f>
        <v>1.9764681807515894E-2</v>
      </c>
      <c r="I355" s="926">
        <f t="shared" si="33"/>
        <v>148.01360809401598</v>
      </c>
      <c r="J355" s="926">
        <f t="shared" si="33"/>
        <v>439.8582680122687</v>
      </c>
      <c r="K355" s="926">
        <f t="shared" si="33"/>
        <v>147.93560558035873</v>
      </c>
      <c r="W355" s="427"/>
      <c r="X355" s="478"/>
    </row>
    <row r="356" spans="1:24" s="484" customFormat="1">
      <c r="A356" s="922">
        <f t="shared" si="31"/>
        <v>46934</v>
      </c>
      <c r="B356" s="923">
        <f t="shared" si="30"/>
        <v>2029</v>
      </c>
      <c r="C356" s="924"/>
      <c r="D356" s="924"/>
      <c r="E356" s="924"/>
      <c r="F356" s="925">
        <f>IF($A356&lt;DATE(2018,7,1),"-",INDEX('I1 - Universal Data'!$E$16:$V$16, MATCH(YEAR(EOMONTH($A356,6)), 'I1 - Universal Data'!$E$14:$V$14, 0)))</f>
        <v>2.0363958655881476E-2</v>
      </c>
      <c r="G356" s="925">
        <f>IF($A356&lt;DATE(2018,7,1),"-",INDEX('I1 - Universal Data'!$E$15:$V$15, MATCH(YEAR(EOMONTH($A356,6)), 'I1 - Universal Data'!$E$14:$V$14, 0)))</f>
        <v>2.7839240870369375E-2</v>
      </c>
      <c r="H356" s="925">
        <f>IF($A356&lt;DATE(2018,7,1),"-",INDEX('I1 - Universal Data'!$E$17:$V$17, MATCH(YEAR(EOMONTH($A356,6)), 'I1 - Universal Data'!$E$14:$V$14, 0)))</f>
        <v>1.9764681807515894E-2</v>
      </c>
      <c r="I356" s="926">
        <f t="shared" si="33"/>
        <v>148.26247236163513</v>
      </c>
      <c r="J356" s="926">
        <f t="shared" si="33"/>
        <v>440.86591785029697</v>
      </c>
      <c r="K356" s="926">
        <f t="shared" si="33"/>
        <v>148.17708414917564</v>
      </c>
      <c r="W356" s="427"/>
      <c r="X356" s="478"/>
    </row>
    <row r="357" spans="1:24">
      <c r="A357" s="922">
        <f t="shared" si="31"/>
        <v>46965</v>
      </c>
      <c r="B357" s="923">
        <f t="shared" si="30"/>
        <v>2029</v>
      </c>
      <c r="C357" s="924"/>
      <c r="D357" s="924"/>
      <c r="E357" s="924"/>
      <c r="F357" s="925">
        <f>IF($A357&lt;DATE(2018,7,1),"-",INDEX('I1 - Universal Data'!$E$16:$V$16, MATCH(YEAR(EOMONTH($A357,6)), 'I1 - Universal Data'!$E$14:$V$14, 0)))</f>
        <v>2.0944596333052568E-2</v>
      </c>
      <c r="G357" s="925">
        <f>IF($A357&lt;DATE(2018,7,1),"-",INDEX('I1 - Universal Data'!$E$15:$V$15, MATCH(YEAR(EOMONTH($A357,6)), 'I1 - Universal Data'!$E$14:$V$14, 0)))</f>
        <v>2.8771944181261722E-2</v>
      </c>
      <c r="H357" s="925">
        <f>IF($A357&lt;DATE(2018,7,1),"-",INDEX('I1 - Universal Data'!$E$17:$V$17, MATCH(YEAR(EOMONTH($A357,6)), 'I1 - Universal Data'!$E$14:$V$14, 0)))</f>
        <v>2.0201725296626893E-2</v>
      </c>
      <c r="I357" s="926">
        <f t="shared" si="33"/>
        <v>148.51879576965709</v>
      </c>
      <c r="J357" s="926">
        <f t="shared" si="33"/>
        <v>441.90927685961799</v>
      </c>
      <c r="K357" s="926">
        <f t="shared" si="33"/>
        <v>148.4242565429015</v>
      </c>
    </row>
    <row r="358" spans="1:24">
      <c r="A358" s="922">
        <f t="shared" si="31"/>
        <v>46996</v>
      </c>
      <c r="B358" s="923">
        <f t="shared" si="30"/>
        <v>2029</v>
      </c>
      <c r="C358" s="924"/>
      <c r="D358" s="924"/>
      <c r="E358" s="924"/>
      <c r="F358" s="925">
        <f>IF($A358&lt;DATE(2018,7,1),"-",INDEX('I1 - Universal Data'!$E$16:$V$16, MATCH(YEAR(EOMONTH($A358,6)), 'I1 - Universal Data'!$E$14:$V$14, 0)))</f>
        <v>2.0944596333052568E-2</v>
      </c>
      <c r="G358" s="925">
        <f>IF($A358&lt;DATE(2018,7,1),"-",INDEX('I1 - Universal Data'!$E$15:$V$15, MATCH(YEAR(EOMONTH($A358,6)), 'I1 - Universal Data'!$E$14:$V$14, 0)))</f>
        <v>2.8771944181261722E-2</v>
      </c>
      <c r="H358" s="925">
        <f>IF($A358&lt;DATE(2018,7,1),"-",INDEX('I1 - Universal Data'!$E$17:$V$17, MATCH(YEAR(EOMONTH($A358,6)), 'I1 - Universal Data'!$E$14:$V$14, 0)))</f>
        <v>2.0201725296626893E-2</v>
      </c>
      <c r="I358" s="926">
        <f t="shared" si="33"/>
        <v>148.77556232211373</v>
      </c>
      <c r="J358" s="926">
        <f t="shared" si="33"/>
        <v>442.95510509592674</v>
      </c>
      <c r="K358" s="926">
        <f t="shared" si="33"/>
        <v>148.67184124189419</v>
      </c>
    </row>
    <row r="359" spans="1:24">
      <c r="A359" s="922">
        <f t="shared" si="31"/>
        <v>47026</v>
      </c>
      <c r="B359" s="923">
        <f t="shared" si="30"/>
        <v>2029</v>
      </c>
      <c r="C359" s="924"/>
      <c r="D359" s="924"/>
      <c r="E359" s="924"/>
      <c r="F359" s="925">
        <f>IF($A359&lt;DATE(2018,7,1),"-",INDEX('I1 - Universal Data'!$E$16:$V$16, MATCH(YEAR(EOMONTH($A359,6)), 'I1 - Universal Data'!$E$14:$V$14, 0)))</f>
        <v>2.0944596333052568E-2</v>
      </c>
      <c r="G359" s="925">
        <f>IF($A359&lt;DATE(2018,7,1),"-",INDEX('I1 - Universal Data'!$E$15:$V$15, MATCH(YEAR(EOMONTH($A359,6)), 'I1 - Universal Data'!$E$14:$V$14, 0)))</f>
        <v>2.8771944181261722E-2</v>
      </c>
      <c r="H359" s="925">
        <f>IF($A359&lt;DATE(2018,7,1),"-",INDEX('I1 - Universal Data'!$E$17:$V$17, MATCH(YEAR(EOMONTH($A359,6)), 'I1 - Universal Data'!$E$14:$V$14, 0)))</f>
        <v>2.0201725296626893E-2</v>
      </c>
      <c r="I359" s="926">
        <f t="shared" ref="I359:K374" si="34">IF(ISBLANK(C359),I358*((1+F359)^(1/12)),C359)</f>
        <v>149.0327727851348</v>
      </c>
      <c r="J359" s="926">
        <f t="shared" si="34"/>
        <v>444.0034084029279</v>
      </c>
      <c r="K359" s="926">
        <f t="shared" si="34"/>
        <v>148.91983893391512</v>
      </c>
    </row>
    <row r="360" spans="1:24">
      <c r="A360" s="922">
        <f t="shared" si="31"/>
        <v>47057</v>
      </c>
      <c r="B360" s="923">
        <f t="shared" si="30"/>
        <v>2029</v>
      </c>
      <c r="C360" s="924"/>
      <c r="D360" s="924"/>
      <c r="E360" s="924"/>
      <c r="F360" s="925">
        <f>IF($A360&lt;DATE(2018,7,1),"-",INDEX('I1 - Universal Data'!$E$16:$V$16, MATCH(YEAR(EOMONTH($A360,6)), 'I1 - Universal Data'!$E$14:$V$14, 0)))</f>
        <v>2.0944596333052568E-2</v>
      </c>
      <c r="G360" s="925">
        <f>IF($A360&lt;DATE(2018,7,1),"-",INDEX('I1 - Universal Data'!$E$15:$V$15, MATCH(YEAR(EOMONTH($A360,6)), 'I1 - Universal Data'!$E$14:$V$14, 0)))</f>
        <v>2.8771944181261722E-2</v>
      </c>
      <c r="H360" s="925">
        <f>IF($A360&lt;DATE(2018,7,1),"-",INDEX('I1 - Universal Data'!$E$17:$V$17, MATCH(YEAR(EOMONTH($A360,6)), 'I1 - Universal Data'!$E$14:$V$14, 0)))</f>
        <v>2.0201725296626893E-2</v>
      </c>
      <c r="I360" s="926">
        <f t="shared" si="34"/>
        <v>149.2904279261746</v>
      </c>
      <c r="J360" s="926">
        <f t="shared" si="34"/>
        <v>445.05419263815594</v>
      </c>
      <c r="K360" s="926">
        <f t="shared" si="34"/>
        <v>149.16825030787297</v>
      </c>
    </row>
    <row r="361" spans="1:24">
      <c r="A361" s="922">
        <f t="shared" si="31"/>
        <v>47087</v>
      </c>
      <c r="B361" s="923">
        <f t="shared" si="30"/>
        <v>2029</v>
      </c>
      <c r="C361" s="924"/>
      <c r="D361" s="924"/>
      <c r="E361" s="924"/>
      <c r="F361" s="925">
        <f>IF($A361&lt;DATE(2018,7,1),"-",INDEX('I1 - Universal Data'!$E$16:$V$16, MATCH(YEAR(EOMONTH($A361,6)), 'I1 - Universal Data'!$E$14:$V$14, 0)))</f>
        <v>2.0944596333052568E-2</v>
      </c>
      <c r="G361" s="925">
        <f>IF($A361&lt;DATE(2018,7,1),"-",INDEX('I1 - Universal Data'!$E$15:$V$15, MATCH(YEAR(EOMONTH($A361,6)), 'I1 - Universal Data'!$E$14:$V$14, 0)))</f>
        <v>2.8771944181261722E-2</v>
      </c>
      <c r="H361" s="925">
        <f>IF($A361&lt;DATE(2018,7,1),"-",INDEX('I1 - Universal Data'!$E$17:$V$17, MATCH(YEAR(EOMONTH($A361,6)), 'I1 - Universal Data'!$E$14:$V$14, 0)))</f>
        <v>2.0201725296626893E-2</v>
      </c>
      <c r="I361" s="926">
        <f t="shared" si="34"/>
        <v>149.54852851401421</v>
      </c>
      <c r="J361" s="926">
        <f t="shared" si="34"/>
        <v>446.10746367300783</v>
      </c>
      <c r="K361" s="926">
        <f t="shared" si="34"/>
        <v>149.41707605382553</v>
      </c>
    </row>
    <row r="362" spans="1:24">
      <c r="A362" s="922">
        <f t="shared" si="31"/>
        <v>47118</v>
      </c>
      <c r="B362" s="923">
        <f t="shared" si="30"/>
        <v>2029</v>
      </c>
      <c r="C362" s="924"/>
      <c r="D362" s="924"/>
      <c r="E362" s="924"/>
      <c r="F362" s="925">
        <f>IF($A362&lt;DATE(2018,7,1),"-",INDEX('I1 - Universal Data'!$E$16:$V$16, MATCH(YEAR(EOMONTH($A362,6)), 'I1 - Universal Data'!$E$14:$V$14, 0)))</f>
        <v>2.0944596333052568E-2</v>
      </c>
      <c r="G362" s="925">
        <f>IF($A362&lt;DATE(2018,7,1),"-",INDEX('I1 - Universal Data'!$E$15:$V$15, MATCH(YEAR(EOMONTH($A362,6)), 'I1 - Universal Data'!$E$14:$V$14, 0)))</f>
        <v>2.8771944181261722E-2</v>
      </c>
      <c r="H362" s="925">
        <f>IF($A362&lt;DATE(2018,7,1),"-",INDEX('I1 - Universal Data'!$E$17:$V$17, MATCH(YEAR(EOMONTH($A362,6)), 'I1 - Universal Data'!$E$14:$V$14, 0)))</f>
        <v>2.0201725296626893E-2</v>
      </c>
      <c r="I362" s="926">
        <f t="shared" si="34"/>
        <v>149.80707531876382</v>
      </c>
      <c r="J362" s="926">
        <f t="shared" si="34"/>
        <v>447.16322739277587</v>
      </c>
      <c r="K362" s="926">
        <f t="shared" si="34"/>
        <v>149.66631686298169</v>
      </c>
    </row>
    <row r="363" spans="1:24">
      <c r="A363" s="922">
        <f t="shared" si="31"/>
        <v>47149</v>
      </c>
      <c r="B363" s="923">
        <f t="shared" si="30"/>
        <v>2029</v>
      </c>
      <c r="C363" s="924"/>
      <c r="D363" s="924"/>
      <c r="E363" s="924"/>
      <c r="F363" s="925">
        <f>IF($A363&lt;DATE(2018,7,1),"-",INDEX('I1 - Universal Data'!$E$16:$V$16, MATCH(YEAR(EOMONTH($A363,6)), 'I1 - Universal Data'!$E$14:$V$14, 0)))</f>
        <v>2.0944596333052568E-2</v>
      </c>
      <c r="G363" s="925">
        <f>IF($A363&lt;DATE(2018,7,1),"-",INDEX('I1 - Universal Data'!$E$15:$V$15, MATCH(YEAR(EOMONTH($A363,6)), 'I1 - Universal Data'!$E$14:$V$14, 0)))</f>
        <v>2.8771944181261722E-2</v>
      </c>
      <c r="H363" s="925">
        <f>IF($A363&lt;DATE(2018,7,1),"-",INDEX('I1 - Universal Data'!$E$17:$V$17, MATCH(YEAR(EOMONTH($A363,6)), 'I1 - Universal Data'!$E$14:$V$14, 0)))</f>
        <v>2.0201725296626893E-2</v>
      </c>
      <c r="I363" s="926">
        <f t="shared" si="34"/>
        <v>150.06606911186506</v>
      </c>
      <c r="J363" s="926">
        <f t="shared" si="34"/>
        <v>448.22148969668058</v>
      </c>
      <c r="K363" s="926">
        <f t="shared" si="34"/>
        <v>149.91597342770334</v>
      </c>
    </row>
    <row r="364" spans="1:24">
      <c r="A364" s="922">
        <f t="shared" si="31"/>
        <v>47177</v>
      </c>
      <c r="B364" s="923">
        <f t="shared" si="30"/>
        <v>2029</v>
      </c>
      <c r="C364" s="924"/>
      <c r="D364" s="924"/>
      <c r="E364" s="924"/>
      <c r="F364" s="925">
        <f>IF($A364&lt;DATE(2018,7,1),"-",INDEX('I1 - Universal Data'!$E$16:$V$16, MATCH(YEAR(EOMONTH($A364,6)), 'I1 - Universal Data'!$E$14:$V$14, 0)))</f>
        <v>2.0944596333052568E-2</v>
      </c>
      <c r="G364" s="925">
        <f>IF($A364&lt;DATE(2018,7,1),"-",INDEX('I1 - Universal Data'!$E$15:$V$15, MATCH(YEAR(EOMONTH($A364,6)), 'I1 - Universal Data'!$E$14:$V$14, 0)))</f>
        <v>2.8771944181261722E-2</v>
      </c>
      <c r="H364" s="925">
        <f>IF($A364&lt;DATE(2018,7,1),"-",INDEX('I1 - Universal Data'!$E$17:$V$17, MATCH(YEAR(EOMONTH($A364,6)), 'I1 - Universal Data'!$E$14:$V$14, 0)))</f>
        <v>2.0201725296626893E-2</v>
      </c>
      <c r="I364" s="926">
        <f t="shared" si="34"/>
        <v>150.32551066609321</v>
      </c>
      <c r="J364" s="926">
        <f t="shared" si="34"/>
        <v>449.28225649790363</v>
      </c>
      <c r="K364" s="926">
        <f t="shared" si="34"/>
        <v>150.16604644150729</v>
      </c>
    </row>
    <row r="365" spans="1:24">
      <c r="A365" s="922">
        <f t="shared" si="31"/>
        <v>47208</v>
      </c>
      <c r="B365" s="923">
        <f t="shared" si="30"/>
        <v>2029</v>
      </c>
      <c r="C365" s="924"/>
      <c r="D365" s="924"/>
      <c r="E365" s="924"/>
      <c r="F365" s="925">
        <f>IF($A365&lt;DATE(2018,7,1),"-",INDEX('I1 - Universal Data'!$E$16:$V$16, MATCH(YEAR(EOMONTH($A365,6)), 'I1 - Universal Data'!$E$14:$V$14, 0)))</f>
        <v>2.0944596333052568E-2</v>
      </c>
      <c r="G365" s="925">
        <f>IF($A365&lt;DATE(2018,7,1),"-",INDEX('I1 - Universal Data'!$E$15:$V$15, MATCH(YEAR(EOMONTH($A365,6)), 'I1 - Universal Data'!$E$14:$V$14, 0)))</f>
        <v>2.8771944181261722E-2</v>
      </c>
      <c r="H365" s="925">
        <f>IF($A365&lt;DATE(2018,7,1),"-",INDEX('I1 - Universal Data'!$E$17:$V$17, MATCH(YEAR(EOMONTH($A365,6)), 'I1 - Universal Data'!$E$14:$V$14, 0)))</f>
        <v>2.0201725296626893E-2</v>
      </c>
      <c r="I365" s="926">
        <f t="shared" si="34"/>
        <v>150.58540075555959</v>
      </c>
      <c r="J365" s="926">
        <f t="shared" si="34"/>
        <v>450.34553372362092</v>
      </c>
      <c r="K365" s="926">
        <f t="shared" si="34"/>
        <v>150.4165365990672</v>
      </c>
    </row>
    <row r="366" spans="1:24">
      <c r="A366" s="922">
        <f t="shared" si="31"/>
        <v>47238</v>
      </c>
      <c r="B366" s="923">
        <f t="shared" si="30"/>
        <v>2030</v>
      </c>
      <c r="C366" s="924"/>
      <c r="D366" s="924"/>
      <c r="E366" s="924"/>
      <c r="F366" s="925">
        <f>IF($A366&lt;DATE(2018,7,1),"-",INDEX('I1 - Universal Data'!$E$16:$V$16, MATCH(YEAR(EOMONTH($A366,6)), 'I1 - Universal Data'!$E$14:$V$14, 0)))</f>
        <v>2.0944596333052568E-2</v>
      </c>
      <c r="G366" s="925">
        <f>IF($A366&lt;DATE(2018,7,1),"-",INDEX('I1 - Universal Data'!$E$15:$V$15, MATCH(YEAR(EOMONTH($A366,6)), 'I1 - Universal Data'!$E$14:$V$14, 0)))</f>
        <v>2.8771944181261722E-2</v>
      </c>
      <c r="H366" s="925">
        <f>IF($A366&lt;DATE(2018,7,1),"-",INDEX('I1 - Universal Data'!$E$17:$V$17, MATCH(YEAR(EOMONTH($A366,6)), 'I1 - Universal Data'!$E$14:$V$14, 0)))</f>
        <v>2.0201725296626893E-2</v>
      </c>
      <c r="I366" s="926">
        <f t="shared" si="34"/>
        <v>150.84574015571386</v>
      </c>
      <c r="J366" s="926">
        <f t="shared" si="34"/>
        <v>451.41132731503563</v>
      </c>
      <c r="K366" s="926">
        <f t="shared" si="34"/>
        <v>150.66744459621549</v>
      </c>
    </row>
    <row r="367" spans="1:24">
      <c r="A367" s="922">
        <f t="shared" si="31"/>
        <v>47269</v>
      </c>
      <c r="B367" s="923">
        <f t="shared" si="30"/>
        <v>2030</v>
      </c>
      <c r="C367" s="924"/>
      <c r="D367" s="924"/>
      <c r="E367" s="924"/>
      <c r="F367" s="925">
        <f>IF($A367&lt;DATE(2018,7,1),"-",INDEX('I1 - Universal Data'!$E$16:$V$16, MATCH(YEAR(EOMONTH($A367,6)), 'I1 - Universal Data'!$E$14:$V$14, 0)))</f>
        <v>2.0944596333052568E-2</v>
      </c>
      <c r="G367" s="925">
        <f>IF($A367&lt;DATE(2018,7,1),"-",INDEX('I1 - Universal Data'!$E$15:$V$15, MATCH(YEAR(EOMONTH($A367,6)), 'I1 - Universal Data'!$E$14:$V$14, 0)))</f>
        <v>2.8771944181261722E-2</v>
      </c>
      <c r="H367" s="925">
        <f>IF($A367&lt;DATE(2018,7,1),"-",INDEX('I1 - Universal Data'!$E$17:$V$17, MATCH(YEAR(EOMONTH($A367,6)), 'I1 - Universal Data'!$E$14:$V$14, 0)))</f>
        <v>2.0201725296626893E-2</v>
      </c>
      <c r="I367" s="926">
        <f t="shared" si="34"/>
        <v>151.10652964334628</v>
      </c>
      <c r="J367" s="926">
        <f t="shared" si="34"/>
        <v>452.4796432274116</v>
      </c>
      <c r="K367" s="926">
        <f t="shared" si="34"/>
        <v>150.9187711299453</v>
      </c>
    </row>
    <row r="368" spans="1:24">
      <c r="A368" s="922">
        <f t="shared" si="31"/>
        <v>47299</v>
      </c>
      <c r="B368" s="923">
        <f t="shared" si="30"/>
        <v>2030</v>
      </c>
      <c r="C368" s="924"/>
      <c r="D368" s="924"/>
      <c r="E368" s="924"/>
      <c r="F368" s="925">
        <f>IF($A368&lt;DATE(2018,7,1),"-",INDEX('I1 - Universal Data'!$E$16:$V$16, MATCH(YEAR(EOMONTH($A368,6)), 'I1 - Universal Data'!$E$14:$V$14, 0)))</f>
        <v>2.0944596333052568E-2</v>
      </c>
      <c r="G368" s="925">
        <f>IF($A368&lt;DATE(2018,7,1),"-",INDEX('I1 - Universal Data'!$E$15:$V$15, MATCH(YEAR(EOMONTH($A368,6)), 'I1 - Universal Data'!$E$14:$V$14, 0)))</f>
        <v>2.8771944181261722E-2</v>
      </c>
      <c r="H368" s="925">
        <f>IF($A368&lt;DATE(2018,7,1),"-",INDEX('I1 - Universal Data'!$E$17:$V$17, MATCH(YEAR(EOMONTH($A368,6)), 'I1 - Universal Data'!$E$14:$V$14, 0)))</f>
        <v>2.0201725296626893E-2</v>
      </c>
      <c r="I368" s="926">
        <f t="shared" si="34"/>
        <v>151.36776999659008</v>
      </c>
      <c r="J368" s="926">
        <f t="shared" si="34"/>
        <v>453.55048743010633</v>
      </c>
      <c r="K368" s="926">
        <f t="shared" si="34"/>
        <v>151.17051689841242</v>
      </c>
    </row>
    <row r="369" spans="1:11">
      <c r="A369" s="922">
        <f t="shared" si="31"/>
        <v>47330</v>
      </c>
      <c r="B369" s="923">
        <f t="shared" si="30"/>
        <v>2030</v>
      </c>
      <c r="C369" s="924"/>
      <c r="D369" s="924"/>
      <c r="E369" s="924"/>
      <c r="F369" s="925">
        <f>IF($A369&lt;DATE(2018,7,1),"-",INDEX('I1 - Universal Data'!$E$16:$V$16, MATCH(YEAR(EOMONTH($A369,6)), 'I1 - Universal Data'!$E$14:$V$14, 0)))</f>
        <v>2.1241236305741262E-2</v>
      </c>
      <c r="G369" s="925">
        <f>IF($A369&lt;DATE(2018,7,1),"-",INDEX('I1 - Universal Data'!$E$15:$V$15, MATCH(YEAR(EOMONTH($A369,6)), 'I1 - Universal Data'!$E$14:$V$14, 0)))</f>
        <v>2.2556534608456635E-2</v>
      </c>
      <c r="H369" s="925">
        <f>IF($A369&lt;DATE(2018,7,1),"-",INDEX('I1 - Universal Data'!$E$17:$V$17, MATCH(YEAR(EOMONTH($A369,6)), 'I1 - Universal Data'!$E$14:$V$14, 0)))</f>
        <v>1.9997326712768881E-2</v>
      </c>
      <c r="I369" s="926">
        <f t="shared" si="34"/>
        <v>151.6331328903868</v>
      </c>
      <c r="J369" s="926">
        <f t="shared" si="34"/>
        <v>454.39434238473723</v>
      </c>
      <c r="K369" s="926">
        <f t="shared" si="34"/>
        <v>151.42015422643362</v>
      </c>
    </row>
    <row r="370" spans="1:11">
      <c r="A370" s="922">
        <f t="shared" si="31"/>
        <v>47361</v>
      </c>
      <c r="B370" s="923">
        <f t="shared" si="30"/>
        <v>2030</v>
      </c>
      <c r="C370" s="924"/>
      <c r="D370" s="924"/>
      <c r="E370" s="924"/>
      <c r="F370" s="925">
        <f>IF($A370&lt;DATE(2018,7,1),"-",INDEX('I1 - Universal Data'!$E$16:$V$16, MATCH(YEAR(EOMONTH($A370,6)), 'I1 - Universal Data'!$E$14:$V$14, 0)))</f>
        <v>2.1241236305741262E-2</v>
      </c>
      <c r="G370" s="925">
        <f>IF($A370&lt;DATE(2018,7,1),"-",INDEX('I1 - Universal Data'!$E$15:$V$15, MATCH(YEAR(EOMONTH($A370,6)), 'I1 - Universal Data'!$E$14:$V$14, 0)))</f>
        <v>2.2556534608456635E-2</v>
      </c>
      <c r="H370" s="925">
        <f>IF($A370&lt;DATE(2018,7,1),"-",INDEX('I1 - Universal Data'!$E$17:$V$17, MATCH(YEAR(EOMONTH($A370,6)), 'I1 - Universal Data'!$E$14:$V$14, 0)))</f>
        <v>1.9997326712768881E-2</v>
      </c>
      <c r="I370" s="926">
        <f t="shared" si="34"/>
        <v>151.89896099197119</v>
      </c>
      <c r="J370" s="926">
        <f t="shared" si="34"/>
        <v>455.23976737667198</v>
      </c>
      <c r="K370" s="926">
        <f t="shared" si="34"/>
        <v>151.67020379618569</v>
      </c>
    </row>
    <row r="371" spans="1:11">
      <c r="A371" s="922">
        <f t="shared" si="31"/>
        <v>47391</v>
      </c>
      <c r="B371" s="923">
        <f t="shared" si="30"/>
        <v>2030</v>
      </c>
      <c r="C371" s="924"/>
      <c r="D371" s="924"/>
      <c r="E371" s="924"/>
      <c r="F371" s="925">
        <f>IF($A371&lt;DATE(2018,7,1),"-",INDEX('I1 - Universal Data'!$E$16:$V$16, MATCH(YEAR(EOMONTH($A371,6)), 'I1 - Universal Data'!$E$14:$V$14, 0)))</f>
        <v>2.1241236305741262E-2</v>
      </c>
      <c r="G371" s="925">
        <f>IF($A371&lt;DATE(2018,7,1),"-",INDEX('I1 - Universal Data'!$E$15:$V$15, MATCH(YEAR(EOMONTH($A371,6)), 'I1 - Universal Data'!$E$14:$V$14, 0)))</f>
        <v>2.2556534608456635E-2</v>
      </c>
      <c r="H371" s="925">
        <f>IF($A371&lt;DATE(2018,7,1),"-",INDEX('I1 - Universal Data'!$E$17:$V$17, MATCH(YEAR(EOMONTH($A371,6)), 'I1 - Universal Data'!$E$14:$V$14, 0)))</f>
        <v>1.9997326712768881E-2</v>
      </c>
      <c r="I371" s="926">
        <f t="shared" si="34"/>
        <v>152.1652551168992</v>
      </c>
      <c r="J371" s="926">
        <f t="shared" si="34"/>
        <v>456.08676532704902</v>
      </c>
      <c r="K371" s="926">
        <f t="shared" si="34"/>
        <v>151.92066628842917</v>
      </c>
    </row>
    <row r="372" spans="1:11">
      <c r="A372" s="922">
        <f t="shared" si="31"/>
        <v>47422</v>
      </c>
      <c r="B372" s="923">
        <f t="shared" si="30"/>
        <v>2030</v>
      </c>
      <c r="C372" s="924"/>
      <c r="D372" s="924"/>
      <c r="E372" s="924"/>
      <c r="F372" s="925">
        <f>IF($A372&lt;DATE(2018,7,1),"-",INDEX('I1 - Universal Data'!$E$16:$V$16, MATCH(YEAR(EOMONTH($A372,6)), 'I1 - Universal Data'!$E$14:$V$14, 0)))</f>
        <v>2.1241236305741262E-2</v>
      </c>
      <c r="G372" s="925">
        <f>IF($A372&lt;DATE(2018,7,1),"-",INDEX('I1 - Universal Data'!$E$15:$V$15, MATCH(YEAR(EOMONTH($A372,6)), 'I1 - Universal Data'!$E$14:$V$14, 0)))</f>
        <v>2.2556534608456635E-2</v>
      </c>
      <c r="H372" s="925">
        <f>IF($A372&lt;DATE(2018,7,1),"-",INDEX('I1 - Universal Data'!$E$17:$V$17, MATCH(YEAR(EOMONTH($A372,6)), 'I1 - Universal Data'!$E$14:$V$14, 0)))</f>
        <v>1.9997326712768881E-2</v>
      </c>
      <c r="I372" s="926">
        <f t="shared" si="34"/>
        <v>152.43201608215651</v>
      </c>
      <c r="J372" s="926">
        <f t="shared" si="34"/>
        <v>456.93533916244172</v>
      </c>
      <c r="K372" s="926">
        <f t="shared" si="34"/>
        <v>152.17154238504878</v>
      </c>
    </row>
    <row r="373" spans="1:11">
      <c r="A373" s="922">
        <f t="shared" si="31"/>
        <v>47452</v>
      </c>
      <c r="B373" s="923">
        <f t="shared" si="30"/>
        <v>2030</v>
      </c>
      <c r="C373" s="924"/>
      <c r="D373" s="924"/>
      <c r="E373" s="924"/>
      <c r="F373" s="925">
        <f>IF($A373&lt;DATE(2018,7,1),"-",INDEX('I1 - Universal Data'!$E$16:$V$16, MATCH(YEAR(EOMONTH($A373,6)), 'I1 - Universal Data'!$E$14:$V$14, 0)))</f>
        <v>2.1241236305741262E-2</v>
      </c>
      <c r="G373" s="925">
        <f>IF($A373&lt;DATE(2018,7,1),"-",INDEX('I1 - Universal Data'!$E$15:$V$15, MATCH(YEAR(EOMONTH($A373,6)), 'I1 - Universal Data'!$E$14:$V$14, 0)))</f>
        <v>2.2556534608456635E-2</v>
      </c>
      <c r="H373" s="925">
        <f>IF($A373&lt;DATE(2018,7,1),"-",INDEX('I1 - Universal Data'!$E$17:$V$17, MATCH(YEAR(EOMONTH($A373,6)), 'I1 - Universal Data'!$E$14:$V$14, 0)))</f>
        <v>1.9997326712768881E-2</v>
      </c>
      <c r="I373" s="926">
        <f t="shared" si="34"/>
        <v>152.6992447061611</v>
      </c>
      <c r="J373" s="926">
        <f t="shared" si="34"/>
        <v>457.78549181486852</v>
      </c>
      <c r="K373" s="926">
        <f t="shared" si="34"/>
        <v>152.4228327690553</v>
      </c>
    </row>
    <row r="374" spans="1:11">
      <c r="A374" s="922">
        <f t="shared" si="31"/>
        <v>47483</v>
      </c>
      <c r="B374" s="923">
        <f t="shared" si="30"/>
        <v>2030</v>
      </c>
      <c r="C374" s="924"/>
      <c r="D374" s="924"/>
      <c r="E374" s="924"/>
      <c r="F374" s="925">
        <f>IF($A374&lt;DATE(2018,7,1),"-",INDEX('I1 - Universal Data'!$E$16:$V$16, MATCH(YEAR(EOMONTH($A374,6)), 'I1 - Universal Data'!$E$14:$V$14, 0)))</f>
        <v>2.1241236305741262E-2</v>
      </c>
      <c r="G374" s="925">
        <f>IF($A374&lt;DATE(2018,7,1),"-",INDEX('I1 - Universal Data'!$E$15:$V$15, MATCH(YEAR(EOMONTH($A374,6)), 'I1 - Universal Data'!$E$14:$V$14, 0)))</f>
        <v>2.2556534608456635E-2</v>
      </c>
      <c r="H374" s="925">
        <f>IF($A374&lt;DATE(2018,7,1),"-",INDEX('I1 - Universal Data'!$E$17:$V$17, MATCH(YEAR(EOMONTH($A374,6)), 'I1 - Universal Data'!$E$14:$V$14, 0)))</f>
        <v>1.9997326712768881E-2</v>
      </c>
      <c r="I374" s="926">
        <f t="shared" si="34"/>
        <v>152.96694180876565</v>
      </c>
      <c r="J374" s="926">
        <f t="shared" si="34"/>
        <v>458.63722622180296</v>
      </c>
      <c r="K374" s="926">
        <f t="shared" si="34"/>
        <v>152.67453812458743</v>
      </c>
    </row>
    <row r="375" spans="1:11">
      <c r="A375" s="922">
        <f t="shared" si="31"/>
        <v>47514</v>
      </c>
      <c r="B375" s="923">
        <f t="shared" si="30"/>
        <v>2030</v>
      </c>
      <c r="C375" s="924"/>
      <c r="D375" s="924"/>
      <c r="E375" s="924"/>
      <c r="F375" s="925">
        <f>IF($A375&lt;DATE(2018,7,1),"-",INDEX('I1 - Universal Data'!$E$16:$V$16, MATCH(YEAR(EOMONTH($A375,6)), 'I1 - Universal Data'!$E$14:$V$14, 0)))</f>
        <v>2.1241236305741262E-2</v>
      </c>
      <c r="G375" s="925">
        <f>IF($A375&lt;DATE(2018,7,1),"-",INDEX('I1 - Universal Data'!$E$15:$V$15, MATCH(YEAR(EOMONTH($A375,6)), 'I1 - Universal Data'!$E$14:$V$14, 0)))</f>
        <v>2.2556534608456635E-2</v>
      </c>
      <c r="H375" s="925">
        <f>IF($A375&lt;DATE(2018,7,1),"-",INDEX('I1 - Universal Data'!$E$17:$V$17, MATCH(YEAR(EOMONTH($A375,6)), 'I1 - Universal Data'!$E$14:$V$14, 0)))</f>
        <v>1.9997326712768881E-2</v>
      </c>
      <c r="I375" s="926">
        <f t="shared" ref="I375:K390" si="35">IF(ISBLANK(C375),I374*((1+F375)^(1/12)),C375)</f>
        <v>153.23510821126021</v>
      </c>
      <c r="J375" s="926">
        <f t="shared" si="35"/>
        <v>459.49054532618396</v>
      </c>
      <c r="K375" s="926">
        <f t="shared" si="35"/>
        <v>152.92665913691357</v>
      </c>
    </row>
    <row r="376" spans="1:11">
      <c r="A376" s="922">
        <f t="shared" si="31"/>
        <v>47542</v>
      </c>
      <c r="B376" s="923">
        <f t="shared" si="30"/>
        <v>2030</v>
      </c>
      <c r="C376" s="924"/>
      <c r="D376" s="924"/>
      <c r="E376" s="924"/>
      <c r="F376" s="925">
        <f>IF($A376&lt;DATE(2018,7,1),"-",INDEX('I1 - Universal Data'!$E$16:$V$16, MATCH(YEAR(EOMONTH($A376,6)), 'I1 - Universal Data'!$E$14:$V$14, 0)))</f>
        <v>2.1241236305741262E-2</v>
      </c>
      <c r="G376" s="925">
        <f>IF($A376&lt;DATE(2018,7,1),"-",INDEX('I1 - Universal Data'!$E$15:$V$15, MATCH(YEAR(EOMONTH($A376,6)), 'I1 - Universal Data'!$E$14:$V$14, 0)))</f>
        <v>2.2556534608456635E-2</v>
      </c>
      <c r="H376" s="925">
        <f>IF($A376&lt;DATE(2018,7,1),"-",INDEX('I1 - Universal Data'!$E$17:$V$17, MATCH(YEAR(EOMONTH($A376,6)), 'I1 - Universal Data'!$E$14:$V$14, 0)))</f>
        <v>1.9997326712768881E-2</v>
      </c>
      <c r="I376" s="926">
        <f t="shared" si="35"/>
        <v>153.50374473637459</v>
      </c>
      <c r="J376" s="926">
        <f t="shared" si="35"/>
        <v>460.34545207642594</v>
      </c>
      <c r="K376" s="926">
        <f t="shared" si="35"/>
        <v>153.17919649243379</v>
      </c>
    </row>
    <row r="377" spans="1:11">
      <c r="A377" s="922">
        <f t="shared" si="31"/>
        <v>47573</v>
      </c>
      <c r="B377" s="923">
        <f t="shared" si="30"/>
        <v>2030</v>
      </c>
      <c r="C377" s="924"/>
      <c r="D377" s="924"/>
      <c r="E377" s="924"/>
      <c r="F377" s="925">
        <f>IF($A377&lt;DATE(2018,7,1),"-",INDEX('I1 - Universal Data'!$E$16:$V$16, MATCH(YEAR(EOMONTH($A377,6)), 'I1 - Universal Data'!$E$14:$V$14, 0)))</f>
        <v>2.1241236305741262E-2</v>
      </c>
      <c r="G377" s="925">
        <f>IF($A377&lt;DATE(2018,7,1),"-",INDEX('I1 - Universal Data'!$E$15:$V$15, MATCH(YEAR(EOMONTH($A377,6)), 'I1 - Universal Data'!$E$14:$V$14, 0)))</f>
        <v>2.2556534608456635E-2</v>
      </c>
      <c r="H377" s="925">
        <f>IF($A377&lt;DATE(2018,7,1),"-",INDEX('I1 - Universal Data'!$E$17:$V$17, MATCH(YEAR(EOMONTH($A377,6)), 'I1 - Universal Data'!$E$14:$V$14, 0)))</f>
        <v>1.9997326712768881E-2</v>
      </c>
      <c r="I377" s="926">
        <f t="shared" si="35"/>
        <v>153.77285220828088</v>
      </c>
      <c r="J377" s="926">
        <f t="shared" si="35"/>
        <v>461.201949426429</v>
      </c>
      <c r="K377" s="926">
        <f t="shared" si="35"/>
        <v>153.43215087868163</v>
      </c>
    </row>
    <row r="378" spans="1:11">
      <c r="A378" s="922">
        <f t="shared" si="31"/>
        <v>47603</v>
      </c>
      <c r="B378" s="923">
        <f t="shared" si="30"/>
        <v>2031</v>
      </c>
      <c r="C378" s="924"/>
      <c r="D378" s="924"/>
      <c r="E378" s="924"/>
      <c r="F378" s="925">
        <f>IF($A378&lt;DATE(2018,7,1),"-",INDEX('I1 - Universal Data'!$E$16:$V$16, MATCH(YEAR(EOMONTH($A378,6)), 'I1 - Universal Data'!$E$14:$V$14, 0)))</f>
        <v>2.1241236305741262E-2</v>
      </c>
      <c r="G378" s="925">
        <f>IF($A378&lt;DATE(2018,7,1),"-",INDEX('I1 - Universal Data'!$E$15:$V$15, MATCH(YEAR(EOMONTH($A378,6)), 'I1 - Universal Data'!$E$14:$V$14, 0)))</f>
        <v>2.2556534608456635E-2</v>
      </c>
      <c r="H378" s="925">
        <f>IF($A378&lt;DATE(2018,7,1),"-",INDEX('I1 - Universal Data'!$E$17:$V$17, MATCH(YEAR(EOMONTH($A378,6)), 'I1 - Universal Data'!$E$14:$V$14, 0)))</f>
        <v>1.9997326712768881E-2</v>
      </c>
      <c r="I378" s="926">
        <f t="shared" si="35"/>
        <v>154.04243145259613</v>
      </c>
      <c r="J378" s="926">
        <f t="shared" si="35"/>
        <v>462.06004033558912</v>
      </c>
      <c r="K378" s="926">
        <f t="shared" si="35"/>
        <v>153.68552298432601</v>
      </c>
    </row>
    <row r="379" spans="1:11">
      <c r="A379" s="922">
        <f t="shared" si="31"/>
        <v>47634</v>
      </c>
      <c r="B379" s="923">
        <f t="shared" si="30"/>
        <v>2031</v>
      </c>
      <c r="C379" s="924"/>
      <c r="D379" s="924"/>
      <c r="E379" s="924"/>
      <c r="F379" s="925">
        <f>IF($A379&lt;DATE(2018,7,1),"-",INDEX('I1 - Universal Data'!$E$16:$V$16, MATCH(YEAR(EOMONTH($A379,6)), 'I1 - Universal Data'!$E$14:$V$14, 0)))</f>
        <v>2.1241236305741262E-2</v>
      </c>
      <c r="G379" s="925">
        <f>IF($A379&lt;DATE(2018,7,1),"-",INDEX('I1 - Universal Data'!$E$15:$V$15, MATCH(YEAR(EOMONTH($A379,6)), 'I1 - Universal Data'!$E$14:$V$14, 0)))</f>
        <v>2.2556534608456635E-2</v>
      </c>
      <c r="H379" s="925">
        <f>IF($A379&lt;DATE(2018,7,1),"-",INDEX('I1 - Universal Data'!$E$17:$V$17, MATCH(YEAR(EOMONTH($A379,6)), 'I1 - Universal Data'!$E$14:$V$14, 0)))</f>
        <v>1.9997326712768881E-2</v>
      </c>
      <c r="I379" s="926">
        <f t="shared" si="35"/>
        <v>154.3124832963847</v>
      </c>
      <c r="J379" s="926">
        <f t="shared" si="35"/>
        <v>462.9197277688084</v>
      </c>
      <c r="K379" s="926">
        <f t="shared" si="35"/>
        <v>153.9393134991731</v>
      </c>
    </row>
    <row r="380" spans="1:11">
      <c r="A380" s="922">
        <f t="shared" si="31"/>
        <v>47664</v>
      </c>
      <c r="B380" s="923">
        <f t="shared" si="30"/>
        <v>2031</v>
      </c>
      <c r="C380" s="924"/>
      <c r="D380" s="924"/>
      <c r="E380" s="924"/>
      <c r="F380" s="925">
        <f>IF($A380&lt;DATE(2018,7,1),"-",INDEX('I1 - Universal Data'!$E$16:$V$16, MATCH(YEAR(EOMONTH($A380,6)), 'I1 - Universal Data'!$E$14:$V$14, 0)))</f>
        <v>2.1241236305741262E-2</v>
      </c>
      <c r="G380" s="925">
        <f>IF($A380&lt;DATE(2018,7,1),"-",INDEX('I1 - Universal Data'!$E$15:$V$15, MATCH(YEAR(EOMONTH($A380,6)), 'I1 - Universal Data'!$E$14:$V$14, 0)))</f>
        <v>2.2556534608456635E-2</v>
      </c>
      <c r="H380" s="925">
        <f>IF($A380&lt;DATE(2018,7,1),"-",INDEX('I1 - Universal Data'!$E$17:$V$17, MATCH(YEAR(EOMONTH($A380,6)), 'I1 - Universal Data'!$E$14:$V$14, 0)))</f>
        <v>1.9997326712768881E-2</v>
      </c>
      <c r="I380" s="926">
        <f t="shared" si="35"/>
        <v>154.58300856816092</v>
      </c>
      <c r="J380" s="926">
        <f t="shared" si="35"/>
        <v>463.78101469650528</v>
      </c>
      <c r="K380" s="926">
        <f t="shared" si="35"/>
        <v>154.19352311416816</v>
      </c>
    </row>
    <row r="381" spans="1:11">
      <c r="A381" s="922">
        <f t="shared" si="31"/>
        <v>47695</v>
      </c>
      <c r="B381" s="923">
        <f t="shared" si="30"/>
        <v>2031</v>
      </c>
      <c r="C381" s="924"/>
      <c r="D381" s="924"/>
      <c r="E381" s="924"/>
      <c r="F381" s="925">
        <f>IF($A381&lt;DATE(2018,7,1),"-",INDEX('I1 - Universal Data'!$E$16:$V$16, MATCH(YEAR(EOMONTH($A381,6)), 'I1 - Universal Data'!$E$14:$V$14, 0)))</f>
        <v>0.02</v>
      </c>
      <c r="G381" s="925">
        <f>IF($A381&lt;DATE(2018,7,1),"-",INDEX('I1 - Universal Data'!$E$15:$V$15, MATCH(YEAR(EOMONTH($A381,6)), 'I1 - Universal Data'!$E$14:$V$14, 0)))</f>
        <v>0.03</v>
      </c>
      <c r="H381" s="925">
        <f>IF($A381&lt;DATE(2018,7,1),"-",INDEX('I1 - Universal Data'!$E$17:$V$17, MATCH(YEAR(EOMONTH($A381,6)), 'I1 - Universal Data'!$E$14:$V$14, 0)))</f>
        <v>1.9997326712768881E-2</v>
      </c>
      <c r="I381" s="926">
        <f t="shared" si="35"/>
        <v>154.83831497470666</v>
      </c>
      <c r="J381" s="926">
        <f t="shared" si="35"/>
        <v>464.92482379401963</v>
      </c>
      <c r="K381" s="926">
        <f t="shared" si="35"/>
        <v>154.4481525213975</v>
      </c>
    </row>
    <row r="382" spans="1:11">
      <c r="A382" s="922">
        <f t="shared" si="31"/>
        <v>47726</v>
      </c>
      <c r="B382" s="923">
        <f t="shared" si="30"/>
        <v>2031</v>
      </c>
      <c r="C382" s="924"/>
      <c r="D382" s="924"/>
      <c r="E382" s="924"/>
      <c r="F382" s="925">
        <f>IF($A382&lt;DATE(2018,7,1),"-",INDEX('I1 - Universal Data'!$E$16:$V$16, MATCH(YEAR(EOMONTH($A382,6)), 'I1 - Universal Data'!$E$14:$V$14, 0)))</f>
        <v>0.02</v>
      </c>
      <c r="G382" s="925">
        <f>IF($A382&lt;DATE(2018,7,1),"-",INDEX('I1 - Universal Data'!$E$15:$V$15, MATCH(YEAR(EOMONTH($A382,6)), 'I1 - Universal Data'!$E$14:$V$14, 0)))</f>
        <v>0.03</v>
      </c>
      <c r="H382" s="925">
        <f>IF($A382&lt;DATE(2018,7,1),"-",INDEX('I1 - Universal Data'!$E$17:$V$17, MATCH(YEAR(EOMONTH($A382,6)), 'I1 - Universal Data'!$E$14:$V$14, 0)))</f>
        <v>1.9997326712768881E-2</v>
      </c>
      <c r="I382" s="926">
        <f t="shared" si="35"/>
        <v>155.09404304053973</v>
      </c>
      <c r="J382" s="926">
        <f t="shared" si="35"/>
        <v>466.07145383333642</v>
      </c>
      <c r="K382" s="926">
        <f t="shared" si="35"/>
        <v>154.70320241409027</v>
      </c>
    </row>
    <row r="383" spans="1:11">
      <c r="A383" s="922">
        <f t="shared" si="31"/>
        <v>47756</v>
      </c>
      <c r="B383" s="923">
        <f t="shared" si="30"/>
        <v>2031</v>
      </c>
      <c r="C383" s="924"/>
      <c r="D383" s="924"/>
      <c r="E383" s="924"/>
      <c r="F383" s="925">
        <f>IF($A383&lt;DATE(2018,7,1),"-",INDEX('I1 - Universal Data'!$E$16:$V$16, MATCH(YEAR(EOMONTH($A383,6)), 'I1 - Universal Data'!$E$14:$V$14, 0)))</f>
        <v>0.02</v>
      </c>
      <c r="G383" s="925">
        <f>IF($A383&lt;DATE(2018,7,1),"-",INDEX('I1 - Universal Data'!$E$15:$V$15, MATCH(YEAR(EOMONTH($A383,6)), 'I1 - Universal Data'!$E$14:$V$14, 0)))</f>
        <v>0.03</v>
      </c>
      <c r="H383" s="925">
        <f>IF($A383&lt;DATE(2018,7,1),"-",INDEX('I1 - Universal Data'!$E$17:$V$17, MATCH(YEAR(EOMONTH($A383,6)), 'I1 - Universal Data'!$E$14:$V$14, 0)))</f>
        <v>1.9997326712768881E-2</v>
      </c>
      <c r="I383" s="926">
        <f t="shared" si="35"/>
        <v>155.35019346206471</v>
      </c>
      <c r="J383" s="926">
        <f t="shared" si="35"/>
        <v>467.22091177165919</v>
      </c>
      <c r="K383" s="926">
        <f t="shared" si="35"/>
        <v>154.95867348662043</v>
      </c>
    </row>
    <row r="384" spans="1:11">
      <c r="A384" s="922">
        <f t="shared" si="31"/>
        <v>47787</v>
      </c>
      <c r="B384" s="923">
        <f t="shared" si="30"/>
        <v>2031</v>
      </c>
      <c r="C384" s="924"/>
      <c r="D384" s="924"/>
      <c r="E384" s="924"/>
      <c r="F384" s="925">
        <f>IF($A384&lt;DATE(2018,7,1),"-",INDEX('I1 - Universal Data'!$E$16:$V$16, MATCH(YEAR(EOMONTH($A384,6)), 'I1 - Universal Data'!$E$14:$V$14, 0)))</f>
        <v>0.02</v>
      </c>
      <c r="G384" s="925">
        <f>IF($A384&lt;DATE(2018,7,1),"-",INDEX('I1 - Universal Data'!$E$15:$V$15, MATCH(YEAR(EOMONTH($A384,6)), 'I1 - Universal Data'!$E$14:$V$14, 0)))</f>
        <v>0.03</v>
      </c>
      <c r="H384" s="925">
        <f>IF($A384&lt;DATE(2018,7,1),"-",INDEX('I1 - Universal Data'!$E$17:$V$17, MATCH(YEAR(EOMONTH($A384,6)), 'I1 - Universal Data'!$E$14:$V$14, 0)))</f>
        <v>1.9997326712768881E-2</v>
      </c>
      <c r="I384" s="926">
        <f t="shared" si="35"/>
        <v>155.60676693683635</v>
      </c>
      <c r="J384" s="926">
        <f t="shared" si="35"/>
        <v>468.37320458334978</v>
      </c>
      <c r="K384" s="926">
        <f t="shared" si="35"/>
        <v>155.21456643450858</v>
      </c>
    </row>
    <row r="385" spans="1:11">
      <c r="A385" s="922">
        <f t="shared" si="31"/>
        <v>47817</v>
      </c>
      <c r="B385" s="923">
        <f t="shared" si="30"/>
        <v>2031</v>
      </c>
      <c r="C385" s="924"/>
      <c r="D385" s="924"/>
      <c r="E385" s="924"/>
      <c r="F385" s="925">
        <f>IF($A385&lt;DATE(2018,7,1),"-",INDEX('I1 - Universal Data'!$E$16:$V$16, MATCH(YEAR(EOMONTH($A385,6)), 'I1 - Universal Data'!$E$14:$V$14, 0)))</f>
        <v>0.02</v>
      </c>
      <c r="G385" s="925">
        <f>IF($A385&lt;DATE(2018,7,1),"-",INDEX('I1 - Universal Data'!$E$15:$V$15, MATCH(YEAR(EOMONTH($A385,6)), 'I1 - Universal Data'!$E$14:$V$14, 0)))</f>
        <v>0.03</v>
      </c>
      <c r="H385" s="925">
        <f>IF($A385&lt;DATE(2018,7,1),"-",INDEX('I1 - Universal Data'!$E$17:$V$17, MATCH(YEAR(EOMONTH($A385,6)), 'I1 - Universal Data'!$E$14:$V$14, 0)))</f>
        <v>1.9997326712768881E-2</v>
      </c>
      <c r="I385" s="926">
        <f t="shared" si="35"/>
        <v>155.86376416356148</v>
      </c>
      <c r="J385" s="926">
        <f t="shared" si="35"/>
        <v>469.52833925997072</v>
      </c>
      <c r="K385" s="926">
        <f t="shared" si="35"/>
        <v>155.47088195442387</v>
      </c>
    </row>
    <row r="386" spans="1:11">
      <c r="A386" s="922">
        <f t="shared" si="31"/>
        <v>47848</v>
      </c>
      <c r="B386" s="923">
        <f t="shared" si="30"/>
        <v>2031</v>
      </c>
      <c r="C386" s="924"/>
      <c r="D386" s="924"/>
      <c r="E386" s="924"/>
      <c r="F386" s="925">
        <f>IF($A386&lt;DATE(2018,7,1),"-",INDEX('I1 - Universal Data'!$E$16:$V$16, MATCH(YEAR(EOMONTH($A386,6)), 'I1 - Universal Data'!$E$14:$V$14, 0)))</f>
        <v>0.02</v>
      </c>
      <c r="G386" s="925">
        <f>IF($A386&lt;DATE(2018,7,1),"-",INDEX('I1 - Universal Data'!$E$15:$V$15, MATCH(YEAR(EOMONTH($A386,6)), 'I1 - Universal Data'!$E$14:$V$14, 0)))</f>
        <v>0.03</v>
      </c>
      <c r="H386" s="925">
        <f>IF($A386&lt;DATE(2018,7,1),"-",INDEX('I1 - Universal Data'!$E$17:$V$17, MATCH(YEAR(EOMONTH($A386,6)), 'I1 - Universal Data'!$E$14:$V$14, 0)))</f>
        <v>1.9997326712768881E-2</v>
      </c>
      <c r="I386" s="926">
        <f t="shared" si="35"/>
        <v>156.12118584210091</v>
      </c>
      <c r="J386" s="926">
        <f t="shared" si="35"/>
        <v>470.68632281032751</v>
      </c>
      <c r="K386" s="926">
        <f t="shared" si="35"/>
        <v>155.72762074418591</v>
      </c>
    </row>
    <row r="387" spans="1:11">
      <c r="A387" s="922">
        <f t="shared" si="31"/>
        <v>47879</v>
      </c>
      <c r="B387" s="923">
        <f t="shared" si="30"/>
        <v>2031</v>
      </c>
      <c r="C387" s="924"/>
      <c r="D387" s="924"/>
      <c r="E387" s="924"/>
      <c r="F387" s="925">
        <f>IF($A387&lt;DATE(2018,7,1),"-",INDEX('I1 - Universal Data'!$E$16:$V$16, MATCH(YEAR(EOMONTH($A387,6)), 'I1 - Universal Data'!$E$14:$V$14, 0)))</f>
        <v>0.02</v>
      </c>
      <c r="G387" s="925">
        <f>IF($A387&lt;DATE(2018,7,1),"-",INDEX('I1 - Universal Data'!$E$15:$V$15, MATCH(YEAR(EOMONTH($A387,6)), 'I1 - Universal Data'!$E$14:$V$14, 0)))</f>
        <v>0.03</v>
      </c>
      <c r="H387" s="925">
        <f>IF($A387&lt;DATE(2018,7,1),"-",INDEX('I1 - Universal Data'!$E$17:$V$17, MATCH(YEAR(EOMONTH($A387,6)), 'I1 - Universal Data'!$E$14:$V$14, 0)))</f>
        <v>1.9997326712768881E-2</v>
      </c>
      <c r="I387" s="926">
        <f t="shared" si="35"/>
        <v>156.37903267347133</v>
      </c>
      <c r="J387" s="926">
        <f t="shared" si="35"/>
        <v>471.84716226051137</v>
      </c>
      <c r="K387" s="926">
        <f t="shared" si="35"/>
        <v>155.98478350276667</v>
      </c>
    </row>
    <row r="388" spans="1:11">
      <c r="A388" s="922">
        <f t="shared" si="31"/>
        <v>47907</v>
      </c>
      <c r="B388" s="923">
        <f t="shared" si="30"/>
        <v>2031</v>
      </c>
      <c r="C388" s="924"/>
      <c r="D388" s="924"/>
      <c r="E388" s="924"/>
      <c r="F388" s="925">
        <f>IF($A388&lt;DATE(2018,7,1),"-",INDEX('I1 - Universal Data'!$E$16:$V$16, MATCH(YEAR(EOMONTH($A388,6)), 'I1 - Universal Data'!$E$14:$V$14, 0)))</f>
        <v>0.02</v>
      </c>
      <c r="G388" s="925">
        <f>IF($A388&lt;DATE(2018,7,1),"-",INDEX('I1 - Universal Data'!$E$15:$V$15, MATCH(YEAR(EOMONTH($A388,6)), 'I1 - Universal Data'!$E$14:$V$14, 0)))</f>
        <v>0.03</v>
      </c>
      <c r="H388" s="925">
        <f>IF($A388&lt;DATE(2018,7,1),"-",INDEX('I1 - Universal Data'!$E$17:$V$17, MATCH(YEAR(EOMONTH($A388,6)), 'I1 - Universal Data'!$E$14:$V$14, 0)))</f>
        <v>1.9997326712768881E-2</v>
      </c>
      <c r="I388" s="926">
        <f t="shared" si="35"/>
        <v>156.6373053598472</v>
      </c>
      <c r="J388" s="926">
        <f t="shared" si="35"/>
        <v>473.01086465394172</v>
      </c>
      <c r="K388" s="926">
        <f t="shared" si="35"/>
        <v>156.2423709302924</v>
      </c>
    </row>
    <row r="389" spans="1:11">
      <c r="A389" s="922">
        <f t="shared" si="31"/>
        <v>47938</v>
      </c>
      <c r="B389" s="923">
        <f t="shared" si="30"/>
        <v>2031</v>
      </c>
      <c r="C389" s="924"/>
      <c r="D389" s="924"/>
      <c r="E389" s="924"/>
      <c r="F389" s="925">
        <f>IF($A389&lt;DATE(2018,7,1),"-",INDEX('I1 - Universal Data'!$E$16:$V$16, MATCH(YEAR(EOMONTH($A389,6)), 'I1 - Universal Data'!$E$14:$V$14, 0)))</f>
        <v>0.02</v>
      </c>
      <c r="G389" s="925">
        <f>IF($A389&lt;DATE(2018,7,1),"-",INDEX('I1 - Universal Data'!$E$15:$V$15, MATCH(YEAR(EOMONTH($A389,6)), 'I1 - Universal Data'!$E$14:$V$14, 0)))</f>
        <v>0.03</v>
      </c>
      <c r="H389" s="925">
        <f>IF($A389&lt;DATE(2018,7,1),"-",INDEX('I1 - Universal Data'!$E$17:$V$17, MATCH(YEAR(EOMONTH($A389,6)), 'I1 - Universal Data'!$E$14:$V$14, 0)))</f>
        <v>1.9997326712768881E-2</v>
      </c>
      <c r="I389" s="926">
        <f t="shared" si="35"/>
        <v>156.89600460456271</v>
      </c>
      <c r="J389" s="926">
        <f t="shared" si="35"/>
        <v>474.17743705140896</v>
      </c>
      <c r="K389" s="926">
        <f t="shared" si="35"/>
        <v>156.50038372804545</v>
      </c>
    </row>
    <row r="390" spans="1:11">
      <c r="A390" s="922">
        <f t="shared" si="31"/>
        <v>47968</v>
      </c>
      <c r="B390" s="923">
        <f t="shared" ref="B390:B413" si="36">IF(MONTH(A390)&gt;=4,YEAR(A390)+1,YEAR(A390))</f>
        <v>2032</v>
      </c>
      <c r="C390" s="924"/>
      <c r="D390" s="924"/>
      <c r="E390" s="924"/>
      <c r="F390" s="925">
        <f>IF($A390&lt;DATE(2018,7,1),"-",INDEX('I1 - Universal Data'!$E$16:$V$16, MATCH(YEAR(EOMONTH($A390,6)), 'I1 - Universal Data'!$E$14:$V$14, 0)))</f>
        <v>0.02</v>
      </c>
      <c r="G390" s="925">
        <f>IF($A390&lt;DATE(2018,7,1),"-",INDEX('I1 - Universal Data'!$E$15:$V$15, MATCH(YEAR(EOMONTH($A390,6)), 'I1 - Universal Data'!$E$14:$V$14, 0)))</f>
        <v>0.03</v>
      </c>
      <c r="H390" s="925">
        <f>IF($A390&lt;DATE(2018,7,1),"-",INDEX('I1 - Universal Data'!$E$17:$V$17, MATCH(YEAR(EOMONTH($A390,6)), 'I1 - Universal Data'!$E$14:$V$14, 0)))</f>
        <v>1.9997326712768881E-2</v>
      </c>
      <c r="I390" s="926">
        <f t="shared" si="35"/>
        <v>157.15513111211359</v>
      </c>
      <c r="J390" s="926">
        <f t="shared" si="35"/>
        <v>475.34688653111726</v>
      </c>
      <c r="K390" s="926">
        <f t="shared" si="35"/>
        <v>156.75882259846631</v>
      </c>
    </row>
    <row r="391" spans="1:11">
      <c r="A391" s="922">
        <f t="shared" ref="A391:A413" si="37">IF(MONTH(A390) = 12, EOMONTH(DATE(YEAR(A390) + 1, 1, 1), 0), EOMONTH(DATE(YEAR(A390), MONTH(A390) + 1, 1), 0))</f>
        <v>47999</v>
      </c>
      <c r="B391" s="923">
        <f t="shared" si="36"/>
        <v>2032</v>
      </c>
      <c r="C391" s="924"/>
      <c r="D391" s="924"/>
      <c r="E391" s="924"/>
      <c r="F391" s="925">
        <f>IF($A391&lt;DATE(2018,7,1),"-",INDEX('I1 - Universal Data'!$E$16:$V$16, MATCH(YEAR(EOMONTH($A391,6)), 'I1 - Universal Data'!$E$14:$V$14, 0)))</f>
        <v>0.02</v>
      </c>
      <c r="G391" s="925">
        <f>IF($A391&lt;DATE(2018,7,1),"-",INDEX('I1 - Universal Data'!$E$15:$V$15, MATCH(YEAR(EOMONTH($A391,6)), 'I1 - Universal Data'!$E$14:$V$14, 0)))</f>
        <v>0.03</v>
      </c>
      <c r="H391" s="925">
        <f>IF($A391&lt;DATE(2018,7,1),"-",INDEX('I1 - Universal Data'!$E$17:$V$17, MATCH(YEAR(EOMONTH($A391,6)), 'I1 - Universal Data'!$E$14:$V$14, 0)))</f>
        <v>1.9997326712768881E-2</v>
      </c>
      <c r="I391" s="926">
        <f t="shared" ref="I391:K406" si="38">IF(ISBLANK(C391),I390*((1+F391)^(1/12)),C391)</f>
        <v>157.41468558815919</v>
      </c>
      <c r="J391" s="926">
        <f t="shared" si="38"/>
        <v>476.51922018872762</v>
      </c>
      <c r="K391" s="926">
        <f t="shared" si="38"/>
        <v>157.0176882451554</v>
      </c>
    </row>
    <row r="392" spans="1:11">
      <c r="A392" s="922">
        <f t="shared" si="37"/>
        <v>48029</v>
      </c>
      <c r="B392" s="923">
        <f t="shared" si="36"/>
        <v>2032</v>
      </c>
      <c r="C392" s="924"/>
      <c r="D392" s="924"/>
      <c r="E392" s="924"/>
      <c r="F392" s="925">
        <f>IF($A392&lt;DATE(2018,7,1),"-",INDEX('I1 - Universal Data'!$E$16:$V$16, MATCH(YEAR(EOMONTH($A392,6)), 'I1 - Universal Data'!$E$14:$V$14, 0)))</f>
        <v>0.02</v>
      </c>
      <c r="G392" s="925">
        <f>IF($A392&lt;DATE(2018,7,1),"-",INDEX('I1 - Universal Data'!$E$15:$V$15, MATCH(YEAR(EOMONTH($A392,6)), 'I1 - Universal Data'!$E$14:$V$14, 0)))</f>
        <v>0.03</v>
      </c>
      <c r="H392" s="925">
        <f>IF($A392&lt;DATE(2018,7,1),"-",INDEX('I1 - Universal Data'!$E$17:$V$17, MATCH(YEAR(EOMONTH($A392,6)), 'I1 - Universal Data'!$E$14:$V$14, 0)))</f>
        <v>1.9997326712768881E-2</v>
      </c>
      <c r="I392" s="926">
        <f t="shared" si="38"/>
        <v>157.67466873952424</v>
      </c>
      <c r="J392" s="926">
        <f t="shared" si="38"/>
        <v>477.69444513740081</v>
      </c>
      <c r="K392" s="926">
        <f t="shared" si="38"/>
        <v>157.27698137287504</v>
      </c>
    </row>
    <row r="393" spans="1:11">
      <c r="A393" s="922">
        <f t="shared" si="37"/>
        <v>48060</v>
      </c>
      <c r="B393" s="923">
        <f t="shared" si="36"/>
        <v>2032</v>
      </c>
      <c r="C393" s="924"/>
      <c r="D393" s="924"/>
      <c r="E393" s="924"/>
      <c r="F393" s="925">
        <f>IF($A393&lt;DATE(2018,7,1),"-",INDEX('I1 - Universal Data'!$E$16:$V$16, MATCH(YEAR(EOMONTH($A393,6)), 'I1 - Universal Data'!$E$14:$V$14, 0)))</f>
        <v>0.02</v>
      </c>
      <c r="G393" s="925">
        <f>IF($A393&lt;DATE(2018,7,1),"-",INDEX('I1 - Universal Data'!$E$15:$V$15, MATCH(YEAR(EOMONTH($A393,6)), 'I1 - Universal Data'!$E$14:$V$14, 0)))</f>
        <v>0.03</v>
      </c>
      <c r="H393" s="925">
        <f>IF($A393&lt;DATE(2018,7,1),"-",INDEX('I1 - Universal Data'!$E$17:$V$17, MATCH(YEAR(EOMONTH($A393,6)), 'I1 - Universal Data'!$E$14:$V$14, 0)))</f>
        <v>1.9997326712768881E-2</v>
      </c>
      <c r="I393" s="926">
        <f t="shared" si="38"/>
        <v>157.93508127420091</v>
      </c>
      <c r="J393" s="926">
        <f t="shared" si="38"/>
        <v>478.87256850784058</v>
      </c>
      <c r="K393" s="926">
        <f t="shared" si="38"/>
        <v>157.53670268755144</v>
      </c>
    </row>
    <row r="394" spans="1:11">
      <c r="A394" s="922">
        <f t="shared" si="37"/>
        <v>48091</v>
      </c>
      <c r="B394" s="923">
        <f t="shared" si="36"/>
        <v>2032</v>
      </c>
      <c r="C394" s="924"/>
      <c r="D394" s="924"/>
      <c r="E394" s="924"/>
      <c r="F394" s="925">
        <f>IF($A394&lt;DATE(2018,7,1),"-",INDEX('I1 - Universal Data'!$E$16:$V$16, MATCH(YEAR(EOMONTH($A394,6)), 'I1 - Universal Data'!$E$14:$V$14, 0)))</f>
        <v>0.02</v>
      </c>
      <c r="G394" s="925">
        <f>IF($A394&lt;DATE(2018,7,1),"-",INDEX('I1 - Universal Data'!$E$15:$V$15, MATCH(YEAR(EOMONTH($A394,6)), 'I1 - Universal Data'!$E$14:$V$14, 0)))</f>
        <v>0.03</v>
      </c>
      <c r="H394" s="925">
        <f>IF($A394&lt;DATE(2018,7,1),"-",INDEX('I1 - Universal Data'!$E$17:$V$17, MATCH(YEAR(EOMONTH($A394,6)), 'I1 - Universal Data'!$E$14:$V$14, 0)))</f>
        <v>1.9997326712768881E-2</v>
      </c>
      <c r="I394" s="926">
        <f t="shared" si="38"/>
        <v>158.19592390135062</v>
      </c>
      <c r="J394" s="926">
        <f t="shared" si="38"/>
        <v>480.05359744833692</v>
      </c>
      <c r="K394" s="926">
        <f t="shared" si="38"/>
        <v>157.79685289627645</v>
      </c>
    </row>
    <row r="395" spans="1:11">
      <c r="A395" s="922">
        <f t="shared" si="37"/>
        <v>48121</v>
      </c>
      <c r="B395" s="923">
        <f t="shared" si="36"/>
        <v>2032</v>
      </c>
      <c r="C395" s="924"/>
      <c r="D395" s="924"/>
      <c r="E395" s="924"/>
      <c r="F395" s="925">
        <f>IF($A395&lt;DATE(2018,7,1),"-",INDEX('I1 - Universal Data'!$E$16:$V$16, MATCH(YEAR(EOMONTH($A395,6)), 'I1 - Universal Data'!$E$14:$V$14, 0)))</f>
        <v>0.02</v>
      </c>
      <c r="G395" s="925">
        <f>IF($A395&lt;DATE(2018,7,1),"-",INDEX('I1 - Universal Data'!$E$15:$V$15, MATCH(YEAR(EOMONTH($A395,6)), 'I1 - Universal Data'!$E$14:$V$14, 0)))</f>
        <v>0.03</v>
      </c>
      <c r="H395" s="925">
        <f>IF($A395&lt;DATE(2018,7,1),"-",INDEX('I1 - Universal Data'!$E$17:$V$17, MATCH(YEAR(EOMONTH($A395,6)), 'I1 - Universal Data'!$E$14:$V$14, 0)))</f>
        <v>1.9997326712768881E-2</v>
      </c>
      <c r="I395" s="926">
        <f t="shared" si="38"/>
        <v>158.45719733130608</v>
      </c>
      <c r="J395" s="926">
        <f t="shared" si="38"/>
        <v>481.23753912480942</v>
      </c>
      <c r="K395" s="926">
        <f t="shared" si="38"/>
        <v>158.05743270730966</v>
      </c>
    </row>
    <row r="396" spans="1:11">
      <c r="A396" s="922">
        <f t="shared" si="37"/>
        <v>48152</v>
      </c>
      <c r="B396" s="923">
        <f t="shared" si="36"/>
        <v>2032</v>
      </c>
      <c r="C396" s="924"/>
      <c r="D396" s="924"/>
      <c r="E396" s="924"/>
      <c r="F396" s="925">
        <f>IF($A396&lt;DATE(2018,7,1),"-",INDEX('I1 - Universal Data'!$E$16:$V$16, MATCH(YEAR(EOMONTH($A396,6)), 'I1 - Universal Data'!$E$14:$V$14, 0)))</f>
        <v>0.02</v>
      </c>
      <c r="G396" s="925">
        <f>IF($A396&lt;DATE(2018,7,1),"-",INDEX('I1 - Universal Data'!$E$15:$V$15, MATCH(YEAR(EOMONTH($A396,6)), 'I1 - Universal Data'!$E$14:$V$14, 0)))</f>
        <v>0.03</v>
      </c>
      <c r="H396" s="925">
        <f>IF($A396&lt;DATE(2018,7,1),"-",INDEX('I1 - Universal Data'!$E$17:$V$17, MATCH(YEAR(EOMONTH($A396,6)), 'I1 - Universal Data'!$E$14:$V$14, 0)))</f>
        <v>1.9997326712768881E-2</v>
      </c>
      <c r="I396" s="926">
        <f t="shared" si="38"/>
        <v>158.71890227557316</v>
      </c>
      <c r="J396" s="926">
        <f t="shared" si="38"/>
        <v>482.42440072085077</v>
      </c>
      <c r="K396" s="926">
        <f t="shared" si="38"/>
        <v>158.31844283008022</v>
      </c>
    </row>
    <row r="397" spans="1:11">
      <c r="A397" s="922">
        <f t="shared" si="37"/>
        <v>48182</v>
      </c>
      <c r="B397" s="923">
        <f t="shared" si="36"/>
        <v>2032</v>
      </c>
      <c r="C397" s="924"/>
      <c r="D397" s="924"/>
      <c r="E397" s="924"/>
      <c r="F397" s="925">
        <f>IF($A397&lt;DATE(2018,7,1),"-",INDEX('I1 - Universal Data'!$E$16:$V$16, MATCH(YEAR(EOMONTH($A397,6)), 'I1 - Universal Data'!$E$14:$V$14, 0)))</f>
        <v>0.02</v>
      </c>
      <c r="G397" s="925">
        <f>IF($A397&lt;DATE(2018,7,1),"-",INDEX('I1 - Universal Data'!$E$15:$V$15, MATCH(YEAR(EOMONTH($A397,6)), 'I1 - Universal Data'!$E$14:$V$14, 0)))</f>
        <v>0.03</v>
      </c>
      <c r="H397" s="925">
        <f>IF($A397&lt;DATE(2018,7,1),"-",INDEX('I1 - Universal Data'!$E$17:$V$17, MATCH(YEAR(EOMONTH($A397,6)), 'I1 - Universal Data'!$E$14:$V$14, 0)))</f>
        <v>1.9997326712768881E-2</v>
      </c>
      <c r="I397" s="926">
        <f t="shared" si="38"/>
        <v>158.9810394468328</v>
      </c>
      <c r="J397" s="926">
        <f t="shared" si="38"/>
        <v>483.61418943777034</v>
      </c>
      <c r="K397" s="926">
        <f t="shared" si="38"/>
        <v>158.57988397518881</v>
      </c>
    </row>
    <row r="398" spans="1:11">
      <c r="A398" s="922">
        <f t="shared" si="37"/>
        <v>48213</v>
      </c>
      <c r="B398" s="923">
        <f t="shared" si="36"/>
        <v>2032</v>
      </c>
      <c r="C398" s="924"/>
      <c r="D398" s="924"/>
      <c r="E398" s="924"/>
      <c r="F398" s="925">
        <f>IF($A398&lt;DATE(2018,7,1),"-",INDEX('I1 - Universal Data'!$E$16:$V$16, MATCH(YEAR(EOMONTH($A398,6)), 'I1 - Universal Data'!$E$14:$V$14, 0)))</f>
        <v>0.02</v>
      </c>
      <c r="G398" s="925">
        <f>IF($A398&lt;DATE(2018,7,1),"-",INDEX('I1 - Universal Data'!$E$15:$V$15, MATCH(YEAR(EOMONTH($A398,6)), 'I1 - Universal Data'!$E$14:$V$14, 0)))</f>
        <v>0.03</v>
      </c>
      <c r="H398" s="925">
        <f>IF($A398&lt;DATE(2018,7,1),"-",INDEX('I1 - Universal Data'!$E$17:$V$17, MATCH(YEAR(EOMONTH($A398,6)), 'I1 - Universal Data'!$E$14:$V$14, 0)))</f>
        <v>1.9997326712768881E-2</v>
      </c>
      <c r="I398" s="926">
        <f t="shared" si="38"/>
        <v>159.24360955894304</v>
      </c>
      <c r="J398" s="926">
        <f t="shared" si="38"/>
        <v>484.80691249463786</v>
      </c>
      <c r="K398" s="926">
        <f t="shared" si="38"/>
        <v>158.84175685440957</v>
      </c>
    </row>
    <row r="399" spans="1:11">
      <c r="A399" s="922">
        <f t="shared" si="37"/>
        <v>48244</v>
      </c>
      <c r="B399" s="923">
        <f t="shared" si="36"/>
        <v>2032</v>
      </c>
      <c r="C399" s="924"/>
      <c r="D399" s="924"/>
      <c r="E399" s="924"/>
      <c r="F399" s="925">
        <f>IF($A399&lt;DATE(2018,7,1),"-",INDEX('I1 - Universal Data'!$E$16:$V$16, MATCH(YEAR(EOMONTH($A399,6)), 'I1 - Universal Data'!$E$14:$V$14, 0)))</f>
        <v>0.02</v>
      </c>
      <c r="G399" s="925">
        <f>IF($A399&lt;DATE(2018,7,1),"-",INDEX('I1 - Universal Data'!$E$15:$V$15, MATCH(YEAR(EOMONTH($A399,6)), 'I1 - Universal Data'!$E$14:$V$14, 0)))</f>
        <v>0.03</v>
      </c>
      <c r="H399" s="925">
        <f>IF($A399&lt;DATE(2018,7,1),"-",INDEX('I1 - Universal Data'!$E$17:$V$17, MATCH(YEAR(EOMONTH($A399,6)), 'I1 - Universal Data'!$E$14:$V$14, 0)))</f>
        <v>1.9997326712768881E-2</v>
      </c>
      <c r="I399" s="926">
        <f t="shared" si="38"/>
        <v>159.50661332694088</v>
      </c>
      <c r="J399" s="926">
        <f t="shared" si="38"/>
        <v>486.00257712832723</v>
      </c>
      <c r="K399" s="926">
        <f t="shared" si="38"/>
        <v>159.10406218069204</v>
      </c>
    </row>
    <row r="400" spans="1:11">
      <c r="A400" s="922">
        <f t="shared" si="37"/>
        <v>48273</v>
      </c>
      <c r="B400" s="923">
        <f t="shared" si="36"/>
        <v>2032</v>
      </c>
      <c r="C400" s="924"/>
      <c r="D400" s="924"/>
      <c r="E400" s="924"/>
      <c r="F400" s="925">
        <f>IF($A400&lt;DATE(2018,7,1),"-",INDEX('I1 - Universal Data'!$E$16:$V$16, MATCH(YEAR(EOMONTH($A400,6)), 'I1 - Universal Data'!$E$14:$V$14, 0)))</f>
        <v>0.02</v>
      </c>
      <c r="G400" s="925">
        <f>IF($A400&lt;DATE(2018,7,1),"-",INDEX('I1 - Universal Data'!$E$15:$V$15, MATCH(YEAR(EOMONTH($A400,6)), 'I1 - Universal Data'!$E$14:$V$14, 0)))</f>
        <v>0.03</v>
      </c>
      <c r="H400" s="925">
        <f>IF($A400&lt;DATE(2018,7,1),"-",INDEX('I1 - Universal Data'!$E$17:$V$17, MATCH(YEAR(EOMONTH($A400,6)), 'I1 - Universal Data'!$E$14:$V$14, 0)))</f>
        <v>1.9997326712768881E-2</v>
      </c>
      <c r="I400" s="926">
        <f t="shared" si="38"/>
        <v>159.77005146704428</v>
      </c>
      <c r="J400" s="926">
        <f t="shared" si="38"/>
        <v>487.20119059356051</v>
      </c>
      <c r="K400" s="926">
        <f t="shared" si="38"/>
        <v>159.36680066816311</v>
      </c>
    </row>
    <row r="401" spans="1:11">
      <c r="A401" s="922">
        <f t="shared" si="37"/>
        <v>48304</v>
      </c>
      <c r="B401" s="923">
        <f t="shared" si="36"/>
        <v>2032</v>
      </c>
      <c r="C401" s="924"/>
      <c r="D401" s="924"/>
      <c r="E401" s="924"/>
      <c r="F401" s="925">
        <f>IF($A401&lt;DATE(2018,7,1),"-",INDEX('I1 - Universal Data'!$E$16:$V$16, MATCH(YEAR(EOMONTH($A401,6)), 'I1 - Universal Data'!$E$14:$V$14, 0)))</f>
        <v>0.02</v>
      </c>
      <c r="G401" s="925">
        <f>IF($A401&lt;DATE(2018,7,1),"-",INDEX('I1 - Universal Data'!$E$15:$V$15, MATCH(YEAR(EOMONTH($A401,6)), 'I1 - Universal Data'!$E$14:$V$14, 0)))</f>
        <v>0.03</v>
      </c>
      <c r="H401" s="925">
        <f>IF($A401&lt;DATE(2018,7,1),"-",INDEX('I1 - Universal Data'!$E$17:$V$17, MATCH(YEAR(EOMONTH($A401,6)), 'I1 - Universal Data'!$E$14:$V$14, 0)))</f>
        <v>1.9997326712768881E-2</v>
      </c>
      <c r="I401" s="926">
        <f t="shared" si="38"/>
        <v>160.03392469665408</v>
      </c>
      <c r="J401" s="926">
        <f t="shared" si="38"/>
        <v>488.40276016295178</v>
      </c>
      <c r="K401" s="926">
        <f t="shared" si="38"/>
        <v>159.6299730321289</v>
      </c>
    </row>
    <row r="402" spans="1:11">
      <c r="A402" s="922">
        <f t="shared" si="37"/>
        <v>48334</v>
      </c>
      <c r="B402" s="923">
        <f t="shared" si="36"/>
        <v>2033</v>
      </c>
      <c r="C402" s="924"/>
      <c r="D402" s="924"/>
      <c r="E402" s="924"/>
      <c r="F402" s="925">
        <f>IF($A402&lt;DATE(2018,7,1),"-",INDEX('I1 - Universal Data'!$E$16:$V$16, MATCH(YEAR(EOMONTH($A402,6)), 'I1 - Universal Data'!$E$14:$V$14, 0)))</f>
        <v>0.02</v>
      </c>
      <c r="G402" s="925">
        <f>IF($A402&lt;DATE(2018,7,1),"-",INDEX('I1 - Universal Data'!$E$15:$V$15, MATCH(YEAR(EOMONTH($A402,6)), 'I1 - Universal Data'!$E$14:$V$14, 0)))</f>
        <v>0.03</v>
      </c>
      <c r="H402" s="925">
        <f>IF($A402&lt;DATE(2018,7,1),"-",INDEX('I1 - Universal Data'!$E$17:$V$17, MATCH(YEAR(EOMONTH($A402,6)), 'I1 - Universal Data'!$E$14:$V$14, 0)))</f>
        <v>1.9997326712768881E-2</v>
      </c>
      <c r="I402" s="926">
        <f t="shared" si="38"/>
        <v>160.29823373435599</v>
      </c>
      <c r="J402" s="926">
        <f t="shared" si="38"/>
        <v>489.60729312705138</v>
      </c>
      <c r="K402" s="926">
        <f t="shared" si="38"/>
        <v>159.89357998907684</v>
      </c>
    </row>
    <row r="403" spans="1:11">
      <c r="A403" s="922">
        <f t="shared" si="37"/>
        <v>48365</v>
      </c>
      <c r="B403" s="923">
        <f t="shared" si="36"/>
        <v>2033</v>
      </c>
      <c r="C403" s="924"/>
      <c r="D403" s="924"/>
      <c r="E403" s="924"/>
      <c r="F403" s="925">
        <f>IF($A403&lt;DATE(2018,7,1),"-",INDEX('I1 - Universal Data'!$E$16:$V$16, MATCH(YEAR(EOMONTH($A403,6)), 'I1 - Universal Data'!$E$14:$V$14, 0)))</f>
        <v>0.02</v>
      </c>
      <c r="G403" s="925">
        <f>IF($A403&lt;DATE(2018,7,1),"-",INDEX('I1 - Universal Data'!$E$15:$V$15, MATCH(YEAR(EOMONTH($A403,6)), 'I1 - Universal Data'!$E$14:$V$14, 0)))</f>
        <v>0.03</v>
      </c>
      <c r="H403" s="925">
        <f>IF($A403&lt;DATE(2018,7,1),"-",INDEX('I1 - Universal Data'!$E$17:$V$17, MATCH(YEAR(EOMONTH($A403,6)), 'I1 - Universal Data'!$E$14:$V$14, 0)))</f>
        <v>1.9997326712768881E-2</v>
      </c>
      <c r="I403" s="926">
        <f t="shared" si="38"/>
        <v>160.56297929992249</v>
      </c>
      <c r="J403" s="926">
        <f t="shared" si="38"/>
        <v>490.81479679439008</v>
      </c>
      <c r="K403" s="926">
        <f t="shared" si="38"/>
        <v>160.15762225667748</v>
      </c>
    </row>
    <row r="404" spans="1:11">
      <c r="A404" s="922">
        <f t="shared" si="37"/>
        <v>48395</v>
      </c>
      <c r="B404" s="923">
        <f t="shared" si="36"/>
        <v>2033</v>
      </c>
      <c r="C404" s="924"/>
      <c r="D404" s="924"/>
      <c r="E404" s="924"/>
      <c r="F404" s="925">
        <f>IF($A404&lt;DATE(2018,7,1),"-",INDEX('I1 - Universal Data'!$E$16:$V$16, MATCH(YEAR(EOMONTH($A404,6)), 'I1 - Universal Data'!$E$14:$V$14, 0)))</f>
        <v>0.02</v>
      </c>
      <c r="G404" s="925">
        <f>IF($A404&lt;DATE(2018,7,1),"-",INDEX('I1 - Universal Data'!$E$15:$V$15, MATCH(YEAR(EOMONTH($A404,6)), 'I1 - Universal Data'!$E$14:$V$14, 0)))</f>
        <v>0.03</v>
      </c>
      <c r="H404" s="925">
        <f>IF($A404&lt;DATE(2018,7,1),"-",INDEX('I1 - Universal Data'!$E$17:$V$17, MATCH(YEAR(EOMONTH($A404,6)), 'I1 - Universal Data'!$E$14:$V$14, 0)))</f>
        <v>1.9997326712768881E-2</v>
      </c>
      <c r="I404" s="926">
        <f t="shared" si="38"/>
        <v>160.82816211431484</v>
      </c>
      <c r="J404" s="926">
        <f t="shared" si="38"/>
        <v>492.02527849152347</v>
      </c>
      <c r="K404" s="926">
        <f t="shared" si="38"/>
        <v>160.42210055378652</v>
      </c>
    </row>
    <row r="405" spans="1:11">
      <c r="A405" s="922">
        <f t="shared" si="37"/>
        <v>48426</v>
      </c>
      <c r="B405" s="923">
        <f t="shared" si="36"/>
        <v>2033</v>
      </c>
      <c r="C405" s="924"/>
      <c r="D405" s="924"/>
      <c r="E405" s="924"/>
      <c r="F405" s="925">
        <f>IF($A405&lt;DATE(2018,7,1),"-",INDEX('I1 - Universal Data'!$E$16:$V$16, MATCH(YEAR(EOMONTH($A405,6)), 'I1 - Universal Data'!$E$14:$V$14, 0)))</f>
        <v>0.02</v>
      </c>
      <c r="G405" s="925">
        <f>IF($A405&lt;DATE(2018,7,1),"-",INDEX('I1 - Universal Data'!$E$15:$V$15, MATCH(YEAR(EOMONTH($A405,6)), 'I1 - Universal Data'!$E$14:$V$14, 0)))</f>
        <v>0.03</v>
      </c>
      <c r="H405" s="925">
        <f>IF($A405&lt;DATE(2018,7,1),"-",INDEX('I1 - Universal Data'!$E$17:$V$17, MATCH(YEAR(EOMONTH($A405,6)), 'I1 - Universal Data'!$E$14:$V$14, 0)))</f>
        <v>1.9997326712768881E-2</v>
      </c>
      <c r="I405" s="926">
        <f t="shared" si="38"/>
        <v>161.09378289968504</v>
      </c>
      <c r="J405" s="926">
        <f t="shared" si="38"/>
        <v>493.23874556307641</v>
      </c>
      <c r="K405" s="926">
        <f t="shared" si="38"/>
        <v>160.68701560044676</v>
      </c>
    </row>
    <row r="406" spans="1:11">
      <c r="A406" s="922">
        <f t="shared" si="37"/>
        <v>48457</v>
      </c>
      <c r="B406" s="923">
        <f t="shared" si="36"/>
        <v>2033</v>
      </c>
      <c r="C406" s="924"/>
      <c r="D406" s="924"/>
      <c r="E406" s="924"/>
      <c r="F406" s="925">
        <f>IF($A406&lt;DATE(2018,7,1),"-",INDEX('I1 - Universal Data'!$E$16:$V$16, MATCH(YEAR(EOMONTH($A406,6)), 'I1 - Universal Data'!$E$14:$V$14, 0)))</f>
        <v>0.02</v>
      </c>
      <c r="G406" s="925">
        <f>IF($A406&lt;DATE(2018,7,1),"-",INDEX('I1 - Universal Data'!$E$15:$V$15, MATCH(YEAR(EOMONTH($A406,6)), 'I1 - Universal Data'!$E$14:$V$14, 0)))</f>
        <v>0.03</v>
      </c>
      <c r="H406" s="925">
        <f>IF($A406&lt;DATE(2018,7,1),"-",INDEX('I1 - Universal Data'!$E$17:$V$17, MATCH(YEAR(EOMONTH($A406,6)), 'I1 - Universal Data'!$E$14:$V$14, 0)))</f>
        <v>1.9997326712768881E-2</v>
      </c>
      <c r="I406" s="926">
        <f t="shared" si="38"/>
        <v>161.35984237937777</v>
      </c>
      <c r="J406" s="926">
        <f t="shared" si="38"/>
        <v>494.4552053717876</v>
      </c>
      <c r="K406" s="926">
        <f t="shared" si="38"/>
        <v>160.95236811789005</v>
      </c>
    </row>
    <row r="407" spans="1:11">
      <c r="A407" s="922">
        <f t="shared" si="37"/>
        <v>48487</v>
      </c>
      <c r="B407" s="923">
        <f t="shared" si="36"/>
        <v>2033</v>
      </c>
      <c r="C407" s="924"/>
      <c r="D407" s="924"/>
      <c r="E407" s="924"/>
      <c r="F407" s="925">
        <f>IF($A407&lt;DATE(2018,7,1),"-",INDEX('I1 - Universal Data'!$E$16:$V$16, MATCH(YEAR(EOMONTH($A407,6)), 'I1 - Universal Data'!$E$14:$V$14, 0)))</f>
        <v>0.02</v>
      </c>
      <c r="G407" s="925">
        <f>IF($A407&lt;DATE(2018,7,1),"-",INDEX('I1 - Universal Data'!$E$15:$V$15, MATCH(YEAR(EOMONTH($A407,6)), 'I1 - Universal Data'!$E$14:$V$14, 0)))</f>
        <v>0.03</v>
      </c>
      <c r="H407" s="925">
        <f>IF($A407&lt;DATE(2018,7,1),"-",INDEX('I1 - Universal Data'!$E$17:$V$17, MATCH(YEAR(EOMONTH($A407,6)), 'I1 - Universal Data'!$E$14:$V$14, 0)))</f>
        <v>1.9997326712768881E-2</v>
      </c>
      <c r="I407" s="926">
        <f t="shared" ref="I407:K413" si="39">IF(ISBLANK(C407),I406*((1+F407)^(1/12)),C407)</f>
        <v>161.62634127793234</v>
      </c>
      <c r="J407" s="926">
        <f t="shared" si="39"/>
        <v>495.67466529855426</v>
      </c>
      <c r="K407" s="926">
        <f t="shared" si="39"/>
        <v>161.21815882853923</v>
      </c>
    </row>
    <row r="408" spans="1:11">
      <c r="A408" s="922">
        <f t="shared" si="37"/>
        <v>48518</v>
      </c>
      <c r="B408" s="923">
        <f t="shared" si="36"/>
        <v>2033</v>
      </c>
      <c r="C408" s="924"/>
      <c r="D408" s="924"/>
      <c r="E408" s="924"/>
      <c r="F408" s="925">
        <f>IF($A408&lt;DATE(2018,7,1),"-",INDEX('I1 - Universal Data'!$E$16:$V$16, MATCH(YEAR(EOMONTH($A408,6)), 'I1 - Universal Data'!$E$14:$V$14, 0)))</f>
        <v>0.02</v>
      </c>
      <c r="G408" s="925">
        <f>IF($A408&lt;DATE(2018,7,1),"-",INDEX('I1 - Universal Data'!$E$15:$V$15, MATCH(YEAR(EOMONTH($A408,6)), 'I1 - Universal Data'!$E$14:$V$14, 0)))</f>
        <v>0.03</v>
      </c>
      <c r="H408" s="925">
        <f>IF($A408&lt;DATE(2018,7,1),"-",INDEX('I1 - Universal Data'!$E$17:$V$17, MATCH(YEAR(EOMONTH($A408,6)), 'I1 - Universal Data'!$E$14:$V$14, 0)))</f>
        <v>1.9997326712768881E-2</v>
      </c>
      <c r="I408" s="926">
        <f t="shared" si="39"/>
        <v>161.89328032108475</v>
      </c>
      <c r="J408" s="926">
        <f t="shared" si="39"/>
        <v>496.89713274247686</v>
      </c>
      <c r="K408" s="926">
        <f t="shared" si="39"/>
        <v>161.48438845601018</v>
      </c>
    </row>
    <row r="409" spans="1:11">
      <c r="A409" s="922">
        <f t="shared" si="37"/>
        <v>48548</v>
      </c>
      <c r="B409" s="923">
        <f t="shared" si="36"/>
        <v>2033</v>
      </c>
      <c r="C409" s="924"/>
      <c r="D409" s="924"/>
      <c r="E409" s="924"/>
      <c r="F409" s="925">
        <f>IF($A409&lt;DATE(2018,7,1),"-",INDEX('I1 - Universal Data'!$E$16:$V$16, MATCH(YEAR(EOMONTH($A409,6)), 'I1 - Universal Data'!$E$14:$V$14, 0)))</f>
        <v>0.02</v>
      </c>
      <c r="G409" s="925">
        <f>IF($A409&lt;DATE(2018,7,1),"-",INDEX('I1 - Universal Data'!$E$15:$V$15, MATCH(YEAR(EOMONTH($A409,6)), 'I1 - Universal Data'!$E$14:$V$14, 0)))</f>
        <v>0.03</v>
      </c>
      <c r="H409" s="925">
        <f>IF($A409&lt;DATE(2018,7,1),"-",INDEX('I1 - Universal Data'!$E$17:$V$17, MATCH(YEAR(EOMONTH($A409,6)), 'I1 - Universal Data'!$E$14:$V$14, 0)))</f>
        <v>1.9997326712768881E-2</v>
      </c>
      <c r="I409" s="926">
        <f t="shared" si="39"/>
        <v>162.16066023576957</v>
      </c>
      <c r="J409" s="926">
        <f t="shared" si="39"/>
        <v>498.12261512090402</v>
      </c>
      <c r="K409" s="926">
        <f t="shared" si="39"/>
        <v>161.75105772511367</v>
      </c>
    </row>
    <row r="410" spans="1:11">
      <c r="A410" s="922">
        <f t="shared" si="37"/>
        <v>48579</v>
      </c>
      <c r="B410" s="923">
        <f t="shared" si="36"/>
        <v>2033</v>
      </c>
      <c r="C410" s="924"/>
      <c r="D410" s="924"/>
      <c r="E410" s="924"/>
      <c r="F410" s="925">
        <f>IF($A410&lt;DATE(2018,7,1),"-",INDEX('I1 - Universal Data'!$E$16:$V$16, MATCH(YEAR(EOMONTH($A410,6)), 'I1 - Universal Data'!$E$14:$V$14, 0)))</f>
        <v>0.02</v>
      </c>
      <c r="G410" s="925">
        <f>IF($A410&lt;DATE(2018,7,1),"-",INDEX('I1 - Universal Data'!$E$15:$V$15, MATCH(YEAR(EOMONTH($A410,6)), 'I1 - Universal Data'!$E$14:$V$14, 0)))</f>
        <v>0.03</v>
      </c>
      <c r="H410" s="925">
        <f>IF($A410&lt;DATE(2018,7,1),"-",INDEX('I1 - Universal Data'!$E$17:$V$17, MATCH(YEAR(EOMONTH($A410,6)), 'I1 - Universal Data'!$E$14:$V$14, 0)))</f>
        <v>1.9997326712768881E-2</v>
      </c>
      <c r="I410" s="926">
        <f t="shared" si="39"/>
        <v>162.42848175012202</v>
      </c>
      <c r="J410" s="926">
        <f t="shared" si="39"/>
        <v>499.35111986947754</v>
      </c>
      <c r="K410" s="926">
        <f t="shared" si="39"/>
        <v>162.01816736185742</v>
      </c>
    </row>
    <row r="411" spans="1:11">
      <c r="A411" s="922">
        <f t="shared" si="37"/>
        <v>48610</v>
      </c>
      <c r="B411" s="923">
        <f t="shared" si="36"/>
        <v>2033</v>
      </c>
      <c r="C411" s="924"/>
      <c r="D411" s="924"/>
      <c r="E411" s="924"/>
      <c r="F411" s="925">
        <f>IF($A411&lt;DATE(2018,7,1),"-",INDEX('I1 - Universal Data'!$E$16:$V$16, MATCH(YEAR(EOMONTH($A411,6)), 'I1 - Universal Data'!$E$14:$V$14, 0)))</f>
        <v>0.02</v>
      </c>
      <c r="G411" s="925">
        <f>IF($A411&lt;DATE(2018,7,1),"-",INDEX('I1 - Universal Data'!$E$15:$V$15, MATCH(YEAR(EOMONTH($A411,6)), 'I1 - Universal Data'!$E$14:$V$14, 0)))</f>
        <v>0.03</v>
      </c>
      <c r="H411" s="925">
        <f>IF($A411&lt;DATE(2018,7,1),"-",INDEX('I1 - Universal Data'!$E$17:$V$17, MATCH(YEAR(EOMONTH($A411,6)), 'I1 - Universal Data'!$E$14:$V$14, 0)))</f>
        <v>1.9997326712768881E-2</v>
      </c>
      <c r="I411" s="926">
        <f t="shared" si="39"/>
        <v>162.69674559347982</v>
      </c>
      <c r="J411" s="926">
        <f t="shared" si="39"/>
        <v>500.58265444217761</v>
      </c>
      <c r="K411" s="926">
        <f t="shared" si="39"/>
        <v>162.28571809344805</v>
      </c>
    </row>
    <row r="412" spans="1:11">
      <c r="A412" s="922">
        <f t="shared" si="37"/>
        <v>48638</v>
      </c>
      <c r="B412" s="923">
        <f t="shared" si="36"/>
        <v>2033</v>
      </c>
      <c r="C412" s="931"/>
      <c r="D412" s="931"/>
      <c r="E412" s="931"/>
      <c r="F412" s="925">
        <f>IF($A412&lt;DATE(2018,7,1),"-",INDEX('I1 - Universal Data'!$E$16:$V$16, MATCH(YEAR(EOMONTH($A412,6)), 'I1 - Universal Data'!$E$14:$V$14, 0)))</f>
        <v>0.02</v>
      </c>
      <c r="G412" s="925">
        <f>IF($A412&lt;DATE(2018,7,1),"-",INDEX('I1 - Universal Data'!$E$15:$V$15, MATCH(YEAR(EOMONTH($A412,6)), 'I1 - Universal Data'!$E$14:$V$14, 0)))</f>
        <v>0.03</v>
      </c>
      <c r="H412" s="925">
        <f>IF($A412&lt;DATE(2018,7,1),"-",INDEX('I1 - Universal Data'!$E$17:$V$17, MATCH(YEAR(EOMONTH($A412,6)), 'I1 - Universal Data'!$E$14:$V$14, 0)))</f>
        <v>1.9997326712768881E-2</v>
      </c>
      <c r="I412" s="926">
        <f t="shared" si="39"/>
        <v>162.96545249638527</v>
      </c>
      <c r="J412" s="926">
        <f t="shared" si="39"/>
        <v>501.8172263113679</v>
      </c>
      <c r="K412" s="926">
        <f t="shared" si="39"/>
        <v>162.55371064829308</v>
      </c>
    </row>
    <row r="413" spans="1:11">
      <c r="A413" s="922">
        <f t="shared" si="37"/>
        <v>48669</v>
      </c>
      <c r="B413" s="923">
        <f t="shared" si="36"/>
        <v>2033</v>
      </c>
      <c r="C413" s="931"/>
      <c r="D413" s="931"/>
      <c r="E413" s="931"/>
      <c r="F413" s="925">
        <f>IF($A413&lt;DATE(2018,7,1),"-",INDEX('I1 - Universal Data'!$E$16:$V$16, MATCH(YEAR(EOMONTH($A413,6)), 'I1 - Universal Data'!$E$14:$V$14, 0)))</f>
        <v>0.02</v>
      </c>
      <c r="G413" s="925">
        <f>IF($A413&lt;DATE(2018,7,1),"-",INDEX('I1 - Universal Data'!$E$15:$V$15, MATCH(YEAR(EOMONTH($A413,6)), 'I1 - Universal Data'!$E$14:$V$14, 0)))</f>
        <v>0.03</v>
      </c>
      <c r="H413" s="925">
        <f>IF($A413&lt;DATE(2018,7,1),"-",INDEX('I1 - Universal Data'!$E$17:$V$17, MATCH(YEAR(EOMONTH($A413,6)), 'I1 - Universal Data'!$E$14:$V$14, 0)))</f>
        <v>1.9997326712768881E-2</v>
      </c>
      <c r="I413" s="926">
        <f t="shared" si="39"/>
        <v>163.23460319058728</v>
      </c>
      <c r="J413" s="926">
        <f t="shared" si="39"/>
        <v>503.0548429678409</v>
      </c>
      <c r="K413" s="926">
        <f t="shared" si="39"/>
        <v>162.82214575600287</v>
      </c>
    </row>
    <row r="414" spans="1:11">
      <c r="A414" s="932"/>
    </row>
    <row r="415" spans="1:11">
      <c r="A415" s="932"/>
    </row>
    <row r="416" spans="1:11" hidden="1">
      <c r="A416" s="932"/>
    </row>
    <row r="417" spans="1:1" hidden="1">
      <c r="A417" s="932"/>
    </row>
    <row r="418" spans="1:1" hidden="1">
      <c r="A418" s="932"/>
    </row>
    <row r="419" spans="1:1" hidden="1">
      <c r="A419" s="932"/>
    </row>
    <row r="420" spans="1:1" hidden="1">
      <c r="A420" s="932"/>
    </row>
    <row r="421" spans="1:1" hidden="1">
      <c r="A421" s="932"/>
    </row>
    <row r="422" spans="1:1" hidden="1">
      <c r="A422" s="932"/>
    </row>
    <row r="423" spans="1:1" hidden="1">
      <c r="A423" s="932"/>
    </row>
    <row r="424" spans="1:1" hidden="1">
      <c r="A424" s="932"/>
    </row>
    <row r="425" spans="1:1" hidden="1">
      <c r="A425" s="932"/>
    </row>
    <row r="426" spans="1:1" hidden="1">
      <c r="A426" s="932"/>
    </row>
    <row r="427" spans="1:1" hidden="1">
      <c r="A427" s="932"/>
    </row>
    <row r="428" spans="1:1" hidden="1">
      <c r="A428" s="932"/>
    </row>
    <row r="429" spans="1:1"/>
  </sheetData>
  <sheetProtection insertRows="0" sort="0" autoFilter="0" pivotTables="0"/>
  <pageMargins left="0.7" right="0.7" top="0.75" bottom="0.75" header="0.3" footer="0.3"/>
  <pageSetup orientation="portrait" r:id="rId1"/>
  <headerFooter>
    <oddHeader>&amp;C&amp;"Verdana,Regular"&amp;10&amp;K000000Internal Only</oddHeader>
    <oddFooter>&amp;C&amp;"Verdana,Regular"&amp;10&amp;K000000Internal Only_x000D_&amp;1#&amp;"Calibri"&amp;10&amp;K000000 OFFICIAL-InternalOnly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64</vt:i4>
      </vt:variant>
    </vt:vector>
  </HeadingPairs>
  <TitlesOfParts>
    <vt:vector size="80" baseType="lpstr">
      <vt:lpstr>RFPR cover</vt:lpstr>
      <vt:lpstr>Data</vt:lpstr>
      <vt:lpstr>Content &amp; Version Control</vt:lpstr>
      <vt:lpstr>Change log</vt:lpstr>
      <vt:lpstr>R1 - RoRE</vt:lpstr>
      <vt:lpstr>R2 - Rec to Revenue and Profit</vt:lpstr>
      <vt:lpstr>R3 - Totex - Reconciliation</vt:lpstr>
      <vt:lpstr>R4 - Incentives and Other Rev</vt:lpstr>
      <vt:lpstr>R5 - Financing</vt:lpstr>
      <vt:lpstr>R6 - Net Debt</vt:lpstr>
      <vt:lpstr>R7 - RAV</vt:lpstr>
      <vt:lpstr>R8 - Tax</vt:lpstr>
      <vt:lpstr>R9 - Corporate Governance</vt:lpstr>
      <vt:lpstr>R10 - Pensions &amp; Oth Activities</vt:lpstr>
      <vt:lpstr>I1 - Universal Data</vt:lpstr>
      <vt:lpstr>I2 - Monthly Inflation</vt:lpstr>
      <vt:lpstr>Adjusted_regulated_tax_liability</vt:lpstr>
      <vt:lpstr>Adjusted_regulated_tax_liability__Reporting_Year</vt:lpstr>
      <vt:lpstr>Business_Plan_Incentive</vt:lpstr>
      <vt:lpstr>calendar_year</vt:lpstr>
      <vt:lpstr>Combined_real_to_nominal_prices_conversion_factor__financial_year_end</vt:lpstr>
      <vt:lpstr>Corporate_Tax</vt:lpstr>
      <vt:lpstr>Cost_of_Equity</vt:lpstr>
      <vt:lpstr>Debt_performance___at_notional_gearing</vt:lpstr>
      <vt:lpstr>Debt_performance___impact_of_actual_gearing</vt:lpstr>
      <vt:lpstr>Equity_RAV_based_on_actual_gearing</vt:lpstr>
      <vt:lpstr>Equity_Return_on_the_RAV</vt:lpstr>
      <vt:lpstr>Licensee</vt:lpstr>
      <vt:lpstr>materiality_threshold</vt:lpstr>
      <vt:lpstr>N_A</vt:lpstr>
      <vt:lpstr>Navigate</vt:lpstr>
      <vt:lpstr>Notional_Gearing</vt:lpstr>
      <vt:lpstr>NPV_neutral_equity_element_of_RAV</vt:lpstr>
      <vt:lpstr>ODI_1</vt:lpstr>
      <vt:lpstr>ODI_2</vt:lpstr>
      <vt:lpstr>ODI_3</vt:lpstr>
      <vt:lpstr>ODI_4</vt:lpstr>
      <vt:lpstr>ODI_5</vt:lpstr>
      <vt:lpstr>ODI_6</vt:lpstr>
      <vt:lpstr>ODI_7</vt:lpstr>
      <vt:lpstr>ODI_8</vt:lpstr>
      <vt:lpstr>ORA_1</vt:lpstr>
      <vt:lpstr>ORA_2</vt:lpstr>
      <vt:lpstr>ORA_3</vt:lpstr>
      <vt:lpstr>ORA_4</vt:lpstr>
      <vt:lpstr>ORA_5</vt:lpstr>
      <vt:lpstr>ORA_6</vt:lpstr>
      <vt:lpstr>ORA_7</vt:lpstr>
      <vt:lpstr>ORA_8</vt:lpstr>
      <vt:lpstr>Penalties_and_fines</vt:lpstr>
      <vt:lpstr>Price_basis</vt:lpstr>
      <vt:lpstr>'Change log'!Print_Area</vt:lpstr>
      <vt:lpstr>'Content &amp; Version Control'!Print_Area</vt:lpstr>
      <vt:lpstr>'R1 - RoRE'!Print_Area</vt:lpstr>
      <vt:lpstr>'R10 - Pensions &amp; Oth Activities'!Print_Area</vt:lpstr>
      <vt:lpstr>'R2 - Rec to Revenue and Profit'!Print_Area</vt:lpstr>
      <vt:lpstr>'R3 - Totex - Reconciliation'!Print_Area</vt:lpstr>
      <vt:lpstr>'R4 - Incentives and Other Rev'!Print_Area</vt:lpstr>
      <vt:lpstr>'R5 - Financing'!Print_Area</vt:lpstr>
      <vt:lpstr>'R6 - Net Debt'!Print_Area</vt:lpstr>
      <vt:lpstr>'R7 - RAV'!Print_Area</vt:lpstr>
      <vt:lpstr>'R8 - Tax'!Print_Area</vt:lpstr>
      <vt:lpstr>'R9 - Corporate Governance'!Print_Area</vt:lpstr>
      <vt:lpstr>'RFPR cover'!Print_Area</vt:lpstr>
      <vt:lpstr>real_to_nominal_CF</vt:lpstr>
      <vt:lpstr>Reporting_Year</vt:lpstr>
      <vt:lpstr>RIIO_2_start_date</vt:lpstr>
      <vt:lpstr>RoRE___including_financing_and_tax</vt:lpstr>
      <vt:lpstr>RoRE___Operational_performance</vt:lpstr>
      <vt:lpstr>Sector</vt:lpstr>
      <vt:lpstr>SectorCov</vt:lpstr>
      <vt:lpstr>Sharing_Factor</vt:lpstr>
      <vt:lpstr>Submitted_Date</vt:lpstr>
      <vt:lpstr>Tax_liability_per_latest_submitted_CT600____Reporting_Year</vt:lpstr>
      <vt:lpstr>Tax_performance___at_notional_gearing</vt:lpstr>
      <vt:lpstr>Tax_performance___impact_of_actual_gearing</vt:lpstr>
      <vt:lpstr>Totex_outperformance</vt:lpstr>
      <vt:lpstr>Version__Number</vt:lpstr>
      <vt:lpstr>YEFactor</vt:lpstr>
      <vt:lpstr>YEFactor_change</vt:lpstr>
    </vt:vector>
  </TitlesOfParts>
  <Company>National Grid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Saira Rashid</dc:creator>
  <cp:lastModifiedBy>Saira Rashid</cp:lastModifiedBy>
  <dcterms:created xsi:type="dcterms:W3CDTF">2026-10-20T15:55:35Z</dcterms:created>
  <dcterms:modified xsi:type="dcterms:W3CDTF">2026-10-20T15:57:03Z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MSIP_Label_f3d2b2bd-d80d-46d9-a8ad-6eca3b55f93a_Removed">
    <vt:lpwstr>False</vt:lpwstr>
  </property>
  <property fmtid="{D5CDD505-2E9C-101B-9397-08002B2CF9AE}" pid="3" name="MSIP_Label_f3d2b2bd-d80d-46d9-a8ad-6eca3b55f93a_ActionId">
    <vt:lpwstr>66943da8-f125-4a96-a54a-778c7e10758d</vt:lpwstr>
  </property>
  <property fmtid="{D5CDD505-2E9C-101B-9397-08002B2CF9AE}" pid="4" name="MSIP_Label_f3d2b2bd-d80d-46d9-a8ad-6eca3b55f93a_Name">
    <vt:lpwstr>Strictly Confidential</vt:lpwstr>
  </property>
  <property fmtid="{D5CDD505-2E9C-101B-9397-08002B2CF9AE}" pid="5" name="MSIP_Label_f3d2b2bd-d80d-46d9-a8ad-6eca3b55f93a_SetDate">
    <vt:lpwstr>2026-10-20T15:58:23Z</vt:lpwstr>
  </property>
  <property fmtid="{D5CDD505-2E9C-101B-9397-08002B2CF9AE}" pid="6" name="MSIP_Label_f3d2b2bd-d80d-46d9-a8ad-6eca3b55f93a_SiteId">
    <vt:lpwstr>f98a6a53-25f3-4212-901c-c7787fcd3495</vt:lpwstr>
  </property>
  <property fmtid="{D5CDD505-2E9C-101B-9397-08002B2CF9AE}" pid="7" name="MSIP_Label_f3d2b2bd-d80d-46d9-a8ad-6eca3b55f93a_Enabled">
    <vt:lpwstr>True</vt:lpwstr>
  </property>
  <property fmtid="{D5CDD505-2E9C-101B-9397-08002B2CF9AE}" pid="8" name="MSIP_Label_f3d2b2bd-d80d-46d9-a8ad-6eca3b55f93a_Extended_MSFT_Method">
    <vt:lpwstr>Standard</vt:lpwstr>
  </property>
  <property fmtid="{D5CDD505-2E9C-101B-9397-08002B2CF9AE}" pid="9" name="Sensitivity">
    <vt:lpwstr>Strictly Confidential</vt:lpwstr>
  </property>
</Properties>
</file>