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oveld1\Documents\ESS Studies\ESS Order\RFP\FINAL FINAL FINAL Docs\"/>
    </mc:Choice>
  </mc:AlternateContent>
  <xr:revisionPtr revIDLastSave="0" documentId="13_ncr:1_{FFE403C0-1D4B-4AD7-96C0-C1DF2C545086}" xr6:coauthVersionLast="36" xr6:coauthVersionMax="36" xr10:uidLastSave="{00000000-0000-0000-0000-000000000000}"/>
  <bookViews>
    <workbookView xWindow="0" yWindow="0" windowWidth="21600" windowHeight="10095" tabRatio="835" firstSheet="3" activeTab="6" xr2:uid="{00000000-000D-0000-FFFF-FFFF00000000}"/>
  </bookViews>
  <sheets>
    <sheet name="All_Fields" sheetId="10" state="hidden" r:id="rId1"/>
    <sheet name="Lists" sheetId="1" state="hidden" r:id="rId2"/>
    <sheet name="Validation" sheetId="3" state="hidden" r:id="rId3"/>
    <sheet name="Instructions" sheetId="2" r:id="rId4"/>
    <sheet name="Bidder Information" sheetId="4" r:id="rId5"/>
    <sheet name="Project Information" sheetId="5" r:id="rId6"/>
    <sheet name="Operating Information" sheetId="11" r:id="rId7"/>
    <sheet name="Project Cost And Offer Price" sheetId="12" r:id="rId8"/>
  </sheets>
  <externalReferences>
    <externalReference r:id="rId9"/>
    <externalReference r:id="rId10"/>
  </externalReferences>
  <definedNames>
    <definedName name="ACCEPT">[1]Sheet3!$A$10:$A$14</definedName>
    <definedName name="COMP">[1]Sheet3!$A$1:$A$6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I_as_ascnonspin">#REF!</definedName>
    <definedName name="OI_as_ascreg">#REF!</definedName>
    <definedName name="OI_as_ascspin">#REF!</definedName>
    <definedName name="OI_as_belnonspin">#REF!</definedName>
    <definedName name="OI_as_belreg">#REF!</definedName>
    <definedName name="OI_as_belspin">#REF!</definedName>
    <definedName name="OI_as_errspin">#REF!</definedName>
    <definedName name="OI_as_maxornonspin">#REF!</definedName>
    <definedName name="OI_as_maxorreg">#REF!</definedName>
    <definedName name="OI_as_maxorspin">#REF!</definedName>
    <definedName name="OI_as_minornonspin">#REF!</definedName>
    <definedName name="OI_as_minorreg">#REF!</definedName>
    <definedName name="OI_as_minorspin">#REF!</definedName>
    <definedName name="OI_as_rrnonspin">#REF!</definedName>
    <definedName name="OI_as_rrreg">#REF!</definedName>
    <definedName name="OI_as_rrspin">#REF!</definedName>
    <definedName name="OI_cl_maxac">#REF!</definedName>
    <definedName name="OI_cl_maxdc">#REF!</definedName>
    <definedName name="OI_cl_maxlc">#REF!</definedName>
    <definedName name="OI_cl_maxmc">#REF!</definedName>
    <definedName name="OI_dtl_dtrcpmin">#REF!</definedName>
    <definedName name="OI_dtl_dtrdpmin">#REF!</definedName>
    <definedName name="OI_dtl_nst">#REF!</definedName>
    <definedName name="OI_dtl_rtcpmin">#REF!</definedName>
    <definedName name="OI_dtl_rtdpmin">#REF!</definedName>
    <definedName name="OI_dtl_tuds">#REF!</definedName>
    <definedName name="OI_param_aacd">#REF!</definedName>
    <definedName name="OI_param_acr">#REF!</definedName>
    <definedName name="OI_param_acr_Apr">#REF!</definedName>
    <definedName name="OI_param_acr_Aug">#REF!</definedName>
    <definedName name="OI_param_acr_Dec">#REF!</definedName>
    <definedName name="OI_param_acr_Feb">#REF!</definedName>
    <definedName name="OI_param_acr_Jan">#REF!</definedName>
    <definedName name="OI_param_acr_Jul">#REF!</definedName>
    <definedName name="OI_param_acr_Jun">#REF!</definedName>
    <definedName name="OI_param_acr_Mar">#REF!</definedName>
    <definedName name="OI_param_acr_May">#REF!</definedName>
    <definedName name="OI_param_acr_Nov">#REF!</definedName>
    <definedName name="OI_param_acr_Oct">#REF!</definedName>
    <definedName name="OI_param_acr_Sep">#REF!</definedName>
    <definedName name="OI_param_acr_var">#REF!</definedName>
    <definedName name="OI_param_adr">#REF!</definedName>
    <definedName name="OI_param_adr_Apr">#REF!</definedName>
    <definedName name="OI_param_adr_Aug">#REF!</definedName>
    <definedName name="OI_param_adr_Dec">#REF!</definedName>
    <definedName name="OI_param_adr_Feb">#REF!</definedName>
    <definedName name="OI_param_adr_Jan">#REF!</definedName>
    <definedName name="OI_param_adr_Jul">#REF!</definedName>
    <definedName name="OI_param_adr_Jun">#REF!</definedName>
    <definedName name="OI_param_adr_Mar">#REF!</definedName>
    <definedName name="OI_param_adr_May">#REF!</definedName>
    <definedName name="OI_param_adr_Nov">#REF!</definedName>
    <definedName name="OI_param_adr_Oct">#REF!</definedName>
    <definedName name="OI_param_adr_Sep">#REF!</definedName>
    <definedName name="OI_param_adr_var">#REF!</definedName>
    <definedName name="OI_param_clmax">#REF!</definedName>
    <definedName name="OI_param_clmax_Apr">#REF!</definedName>
    <definedName name="OI_param_clmax_Aug">#REF!</definedName>
    <definedName name="OI_param_clmax_Dec">#REF!</definedName>
    <definedName name="OI_param_clmax_Feb">#REF!</definedName>
    <definedName name="OI_param_clmax_Jan">#REF!</definedName>
    <definedName name="OI_param_clmax_Jul">#REF!</definedName>
    <definedName name="OI_param_clmax_Jun">#REF!</definedName>
    <definedName name="OI_param_clmax_Mar">#REF!</definedName>
    <definedName name="OI_param_clmax_May">#REF!</definedName>
    <definedName name="OI_param_clmax_Nov">#REF!</definedName>
    <definedName name="OI_param_clmax_Oct">#REF!</definedName>
    <definedName name="OI_param_clmax_Sep">#REF!</definedName>
    <definedName name="OI_param_clmax_var">#REF!</definedName>
    <definedName name="OI_param_clmin">#REF!</definedName>
    <definedName name="OI_param_clmin_Apr">#REF!</definedName>
    <definedName name="OI_param_clmin_Aug">#REF!</definedName>
    <definedName name="OI_param_clmin_Dec">#REF!</definedName>
    <definedName name="OI_param_clmin_Feb">#REF!</definedName>
    <definedName name="OI_param_clmin_Jan">#REF!</definedName>
    <definedName name="OI_param_clmin_Jul">#REF!</definedName>
    <definedName name="OI_param_clmin_Jun">#REF!</definedName>
    <definedName name="OI_param_clmin_Mar">#REF!</definedName>
    <definedName name="OI_param_clmin_May">#REF!</definedName>
    <definedName name="OI_param_clmin_Nov">#REF!</definedName>
    <definedName name="OI_param_clmin_Oct">#REF!</definedName>
    <definedName name="OI_param_clmin_Sep">#REF!</definedName>
    <definedName name="OI_param_clmin_var">#REF!</definedName>
    <definedName name="OI_param_dlmax">#REF!</definedName>
    <definedName name="OI_param_dlmax_Apr">#REF!</definedName>
    <definedName name="OI_param_dlmax_Aug">#REF!</definedName>
    <definedName name="OI_param_dlmax_Dec">#REF!</definedName>
    <definedName name="OI_param_dlmax_Feb">#REF!</definedName>
    <definedName name="OI_param_dlmax_Jan">#REF!</definedName>
    <definedName name="OI_param_dlmax_Jul">#REF!</definedName>
    <definedName name="OI_param_dlmax_Jun">#REF!</definedName>
    <definedName name="OI_param_dlmax_Mar">#REF!</definedName>
    <definedName name="OI_param_dlmax_May">#REF!</definedName>
    <definedName name="OI_param_dlmax_Nov">#REF!</definedName>
    <definedName name="OI_param_dlmax_Oct">#REF!</definedName>
    <definedName name="OI_param_dlmax_Sep">#REF!</definedName>
    <definedName name="OI_param_dlmax_var">#REF!</definedName>
    <definedName name="OI_param_dlmin">#REF!</definedName>
    <definedName name="OI_param_dlmin_Apr">#REF!</definedName>
    <definedName name="OI_param_dlmin_Aug">#REF!</definedName>
    <definedName name="OI_param_dlmin_Dec">#REF!</definedName>
    <definedName name="OI_param_dlmin_Feb">#REF!</definedName>
    <definedName name="OI_param_dlmin_Jan">#REF!</definedName>
    <definedName name="OI_param_dlmin_Jul">#REF!</definedName>
    <definedName name="OI_param_dlmin_Jun">#REF!</definedName>
    <definedName name="OI_param_dlmin_Mar">#REF!</definedName>
    <definedName name="OI_param_dlmin_May">#REF!</definedName>
    <definedName name="OI_param_dlmin_Nov">#REF!</definedName>
    <definedName name="OI_param_dlmin_Oct">#REF!</definedName>
    <definedName name="OI_param_dlmin_Sep">#REF!</definedName>
    <definedName name="OI_param_dlmin_var">#REF!</definedName>
    <definedName name="OI_param_il">#REF!</definedName>
    <definedName name="OI_param_il_Apr">#REF!</definedName>
    <definedName name="OI_param_il_Aug">#REF!</definedName>
    <definedName name="OI_param_il_Dec">#REF!</definedName>
    <definedName name="OI_param_il_Feb">#REF!</definedName>
    <definedName name="OI_param_il_Jan">#REF!</definedName>
    <definedName name="OI_param_il_Jul">#REF!</definedName>
    <definedName name="OI_param_il_Jun">#REF!</definedName>
    <definedName name="OI_param_il_Mar">#REF!</definedName>
    <definedName name="OI_param_il_May">#REF!</definedName>
    <definedName name="OI_param_il_Nov">#REF!</definedName>
    <definedName name="OI_param_il_Oct">#REF!</definedName>
    <definedName name="OI_param_il_Sep">#REF!</definedName>
    <definedName name="OI_param_il_var">#REF!</definedName>
    <definedName name="OI_param_maxsoc">#REF!</definedName>
    <definedName name="OI_param_maxsoc_Apr">#REF!</definedName>
    <definedName name="OI_param_maxsoc_Aug">#REF!</definedName>
    <definedName name="OI_param_maxsoc_Dec">#REF!</definedName>
    <definedName name="OI_param_maxsoc_Feb">#REF!</definedName>
    <definedName name="OI_param_maxsoc_Jan">#REF!</definedName>
    <definedName name="OI_param_maxsoc_Jul">#REF!</definedName>
    <definedName name="OI_param_maxsoc_Jun">#REF!</definedName>
    <definedName name="OI_param_maxsoc_Mar">#REF!</definedName>
    <definedName name="OI_param_maxsoc_May">#REF!</definedName>
    <definedName name="OI_param_maxsoc_Nov">#REF!</definedName>
    <definedName name="OI_param_maxsoc_Oct">#REF!</definedName>
    <definedName name="OI_param_maxsoc_Sep">#REF!</definedName>
    <definedName name="OI_param_maxsoc_var">#REF!</definedName>
    <definedName name="OI_param_mdfc">#REF!</definedName>
    <definedName name="OI_param_mdfc_Apr">#REF!</definedName>
    <definedName name="OI_param_mdfc_Aug">#REF!</definedName>
    <definedName name="OI_param_mdfc_Dec">#REF!</definedName>
    <definedName name="OI_param_mdfc_Feb">#REF!</definedName>
    <definedName name="OI_param_mdfc_Jan">#REF!</definedName>
    <definedName name="OI_param_mdfc_Jul">#REF!</definedName>
    <definedName name="OI_param_mdfc_Jun">#REF!</definedName>
    <definedName name="OI_param_mdfc_Mar">#REF!</definedName>
    <definedName name="OI_param_mdfc_May">#REF!</definedName>
    <definedName name="OI_param_mdfc_Nov">#REF!</definedName>
    <definedName name="OI_param_mdfc_Oct">#REF!</definedName>
    <definedName name="OI_param_mdfc_Sep">#REF!</definedName>
    <definedName name="OI_param_mdfc_var">#REF!</definedName>
    <definedName name="OI_param_mdfd">#REF!</definedName>
    <definedName name="OI_param_mdfd_Apr">#REF!</definedName>
    <definedName name="OI_param_mdfd_Aug">#REF!</definedName>
    <definedName name="OI_param_mdfd_Dec">#REF!</definedName>
    <definedName name="OI_param_mdfd_Feb">#REF!</definedName>
    <definedName name="OI_param_mdfd_Jan">#REF!</definedName>
    <definedName name="OI_param_mdfd_Jul">#REF!</definedName>
    <definedName name="OI_param_mdfd_Jun">#REF!</definedName>
    <definedName name="OI_param_mdfd_Mar">#REF!</definedName>
    <definedName name="OI_param_mdfd_May">#REF!</definedName>
    <definedName name="OI_param_mdfd_Nov">#REF!</definedName>
    <definedName name="OI_param_mdfd_Oct">#REF!</definedName>
    <definedName name="OI_param_mdfd_Sep">#REF!</definedName>
    <definedName name="OI_param_mdfd_var">#REF!</definedName>
    <definedName name="OI_param_minsoc">#REF!</definedName>
    <definedName name="OI_param_minsoc_Apr">#REF!</definedName>
    <definedName name="OI_param_minsoc_Aug">#REF!</definedName>
    <definedName name="OI_param_minsoc_Dec">#REF!</definedName>
    <definedName name="OI_param_minsoc_Feb">#REF!</definedName>
    <definedName name="OI_param_minsoc_Jan">#REF!</definedName>
    <definedName name="OI_param_minsoc_Jul">#REF!</definedName>
    <definedName name="OI_param_minsoc_Jun">#REF!</definedName>
    <definedName name="OI_param_minsoc_Mar">#REF!</definedName>
    <definedName name="OI_param_minsoc_May">#REF!</definedName>
    <definedName name="OI_param_minsoc_Nov">#REF!</definedName>
    <definedName name="OI_param_minsoc_Oct">#REF!</definedName>
    <definedName name="OI_param_minsoc_Sep">#REF!</definedName>
    <definedName name="OI_param_minsoc_var">#REF!</definedName>
    <definedName name="OI_param_srte">#REF!</definedName>
    <definedName name="OI_param_ssd">#REF!</definedName>
    <definedName name="OI_param_tec">#REF!</definedName>
    <definedName name="OI_param_tec_Apr">#REF!</definedName>
    <definedName name="OI_param_tec_Aug">#REF!</definedName>
    <definedName name="OI_param_tec_Dec">#REF!</definedName>
    <definedName name="OI_param_tec_Feb">#REF!</definedName>
    <definedName name="OI_param_tec_Jan">#REF!</definedName>
    <definedName name="OI_param_tec_Jul">#REF!</definedName>
    <definedName name="OI_param_tec_Jun">#REF!</definedName>
    <definedName name="OI_param_tec_Mar">#REF!</definedName>
    <definedName name="OI_param_tec_May">#REF!</definedName>
    <definedName name="OI_param_tec_Nov">#REF!</definedName>
    <definedName name="OI_param_tec_Oct">#REF!</definedName>
    <definedName name="OI_param_tec_Sep">#REF!</definedName>
    <definedName name="OI_param_tec_var">#REF!</definedName>
    <definedName name="OI_param_tpc">#REF!</definedName>
    <definedName name="OI_param_tpc_Apr">#REF!</definedName>
    <definedName name="OI_param_tpc_Aug">#REF!</definedName>
    <definedName name="OI_param_tpc_Dec">#REF!</definedName>
    <definedName name="OI_param_tpc_Feb">#REF!</definedName>
    <definedName name="OI_param_tpc_Jan">#REF!</definedName>
    <definedName name="OI_param_tpc_Jul">#REF!</definedName>
    <definedName name="OI_param_tpc_Jun">#REF!</definedName>
    <definedName name="OI_param_tpc_Mar">#REF!</definedName>
    <definedName name="OI_param_tpc_May">#REF!</definedName>
    <definedName name="OI_param_tpc_Nov">#REF!</definedName>
    <definedName name="OI_param_tpc_Oct">#REF!</definedName>
    <definedName name="OI_param_tpc_Sep">#REF!</definedName>
    <definedName name="OI_param_tpc_var">#REF!</definedName>
    <definedName name="OI_param_tuc">#REF!</definedName>
    <definedName name="OI_param_tuc_Apr">#REF!</definedName>
    <definedName name="OI_param_tuc_Aug">#REF!</definedName>
    <definedName name="OI_param_tuc_Dec">#REF!</definedName>
    <definedName name="OI_param_tuc_Feb">#REF!</definedName>
    <definedName name="OI_param_tuc_Jan">#REF!</definedName>
    <definedName name="OI_param_tuc_Jul">#REF!</definedName>
    <definedName name="OI_param_tuc_Jun">#REF!</definedName>
    <definedName name="OI_param_tuc_Mar">#REF!</definedName>
    <definedName name="OI_param_tuc_May">#REF!</definedName>
    <definedName name="OI_param_tuc_Nov">#REF!</definedName>
    <definedName name="OI_param_tuc_Oct">#REF!</definedName>
    <definedName name="OI_param_tuc_Sep">#REF!</definedName>
    <definedName name="OI_param_tuc_var">#REF!</definedName>
    <definedName name="OI_param_tue">#REF!</definedName>
    <definedName name="OI_param_tue_var">#REF!</definedName>
    <definedName name="OI_param_tue_var_Apr">#REF!</definedName>
    <definedName name="OI_param_tue_var_Aug">#REF!</definedName>
    <definedName name="OI_param_tue_var_Dec">#REF!</definedName>
    <definedName name="OI_param_tue_var_Feb">#REF!</definedName>
    <definedName name="OI_param_tue_var_Jan">#REF!</definedName>
    <definedName name="OI_param_tue_var_Jul">#REF!</definedName>
    <definedName name="OI_param_tue_var_Jun">#REF!</definedName>
    <definedName name="OI_param_tue_var_Mar">#REF!</definedName>
    <definedName name="OI_param_tue_var_May">#REF!</definedName>
    <definedName name="OI_param_tue_var_Nov">#REF!</definedName>
    <definedName name="OI_param_tue_var_Oct">#REF!</definedName>
    <definedName name="OI_param_tue_var_Sep">#REF!</definedName>
    <definedName name="OI_rr_ctc">#REF!</definedName>
    <definedName name="OI_rr_ctcrate">#REF!</definedName>
    <definedName name="OI_rr_dtd">#REF!</definedName>
    <definedName name="OI_rr_dtdrate">#REF!</definedName>
    <definedName name="OI_rr_rrrhighavg">#REF!</definedName>
    <definedName name="OI_rr_rrrhighlimit">#REF!</definedName>
    <definedName name="OI_rr_rrrhighmax">#REF!</definedName>
    <definedName name="OI_rr_rrrhighmin">#REF!</definedName>
    <definedName name="OI_rr_rrrlowavg">#REF!</definedName>
    <definedName name="OI_rr_rrrlowlimit">#REF!</definedName>
    <definedName name="OI_rr_rrrlowmax">#REF!</definedName>
    <definedName name="OI_rr_rrrlowmin">#REF!</definedName>
    <definedName name="Part_own_1">'Bidder Information'!$B$36</definedName>
    <definedName name="Part_own_10">'Bidder Information'!$B$39</definedName>
    <definedName name="Part_own_11">'Bidder Information'!$D$39</definedName>
    <definedName name="Part_own_12">'Bidder Information'!$E$39</definedName>
    <definedName name="Part_own_2">'Bidder Information'!$D$36</definedName>
    <definedName name="Part_own_3">'Bidder Information'!$E$36</definedName>
    <definedName name="Part_own_4">'Bidder Information'!$B$37</definedName>
    <definedName name="Part_own_5">'Bidder Information'!$D$37</definedName>
    <definedName name="Part_own_6">'Bidder Information'!$E$37</definedName>
    <definedName name="Part_own_7">'Bidder Information'!$B$38</definedName>
    <definedName name="Part_own_8">'Bidder Information'!$D$38</definedName>
    <definedName name="Part_own_9">'Bidder Information'!$E$38</definedName>
    <definedName name="Part_part_1">'Bidder Information'!#REF!</definedName>
    <definedName name="Part_part_2">'Bidder Information'!#REF!</definedName>
    <definedName name="Part_part_3">'Bidder Information'!#REF!</definedName>
    <definedName name="Part_pd_1">'Bidder Information'!$C$25</definedName>
    <definedName name="Part_pd_2">'Bidder Information'!$C$26</definedName>
    <definedName name="Part_pd_3">'Bidder Information'!$C$27</definedName>
    <definedName name="Part_pd_4">'Bidder Information'!$C$28</definedName>
    <definedName name="Part_pd_5">'Bidder Information'!$C$29</definedName>
    <definedName name="Part_pd_6">'Bidder Information'!$C$30</definedName>
    <definedName name="Part_pd_7">'Bidder Information'!$E$31</definedName>
    <definedName name="Part_pd_8">'Bidder Information'!$E$28</definedName>
    <definedName name="Part_pi_1">'Bidder Information'!$C$8</definedName>
    <definedName name="Part_pi_10">'Bidder Information'!$C$17</definedName>
    <definedName name="Part_pi_11">'Bidder Information'!$C$18</definedName>
    <definedName name="Part_pi_12">'Bidder Information'!$C$19</definedName>
    <definedName name="Part_pi_13">'Bidder Information'!$C$20</definedName>
    <definedName name="Part_pi_14">'Bidder Information'!$C$21</definedName>
    <definedName name="Part_pi_15">'Bidder Information'!$G$16</definedName>
    <definedName name="Part_pi_16">'Bidder Information'!$G$17</definedName>
    <definedName name="Part_pi_17">'Bidder Information'!$G$18</definedName>
    <definedName name="Part_pi_18">'Bidder Information'!$G$19</definedName>
    <definedName name="Part_pi_19">'Bidder Information'!$G$20</definedName>
    <definedName name="Part_pi_2">'Bidder Information'!$C$9</definedName>
    <definedName name="Part_pi_20">'Bidder Information'!$G$21</definedName>
    <definedName name="Part_pi_3">'Bidder Information'!$C$10</definedName>
    <definedName name="Part_pi_4">'Bidder Information'!$C$11</definedName>
    <definedName name="Part_pi_5">'Bidder Information'!$C$12</definedName>
    <definedName name="Part_pi_6">'Bidder Information'!$C$13</definedName>
    <definedName name="Part_pi_7">'Bidder Information'!$E$11</definedName>
    <definedName name="Part_pi_8">'Bidder Information'!$E$14</definedName>
    <definedName name="Part_pi_9">'Bidder Information'!$C$16</definedName>
    <definedName name="Part_sig_1">'Bidder Information'!#REF!</definedName>
    <definedName name="Part_sig_2">'Bidder Information'!#REF!</definedName>
    <definedName name="Part_sig_3">'Bidder Information'!#REF!</definedName>
    <definedName name="Part_sig_4">'Bidder Information'!#REF!</definedName>
    <definedName name="Part_sig_5">'Bidder Information'!#REF!</definedName>
    <definedName name="Part_sig_6">'Bidder Information'!#REF!</definedName>
    <definedName name="Part_sig_7">'Bidder Information'!#REF!</definedName>
    <definedName name="Part_sig_8">'Bidder Information'!#REF!</definedName>
    <definedName name="Part_sig_9">'Bidder Information'!#REF!</definedName>
    <definedName name="PCOP_anncharges">#REF!</definedName>
    <definedName name="PCOP_bos">#REF!</definedName>
    <definedName name="PCOP_eic">#REF!</definedName>
    <definedName name="PCOP_eicp">#REF!</definedName>
    <definedName name="PCOP_epc">#REF!</definedName>
    <definedName name="PCOP_epcp">#REF!</definedName>
    <definedName name="PCOP_fom">#REF!</definedName>
    <definedName name="PCOP_pcs">#REF!</definedName>
    <definedName name="PCOP_ps">#REF!</definedName>
    <definedName name="PCOP_psp">#REF!</definedName>
    <definedName name="PCOP_sm">#REF!</definedName>
    <definedName name="PCOP_tot">#REF!</definedName>
    <definedName name="PCOP_totp">#REF!</definedName>
    <definedName name="PCOP_trf">#REF!</definedName>
    <definedName name="PCOP_vom">#REF!</definedName>
    <definedName name="PCOP_y1pay">#REF!</definedName>
    <definedName name="PCOP_y27pay">#REF!</definedName>
    <definedName name="_xlnm.Print_Area" localSheetId="7">'Project Cost And Offer Price'!$B$4:$D$50</definedName>
    <definedName name="Proj_es_1">'Project Information'!$C$36</definedName>
    <definedName name="Proj_es_10">'Project Information'!$C$42</definedName>
    <definedName name="Proj_es_11">'Project Information'!$G$42</definedName>
    <definedName name="Proj_es_12">'Project Information'!$C$43</definedName>
    <definedName name="Proj_es_13">'Project Information'!$C$44</definedName>
    <definedName name="Proj_es_14">'Project Information'!$G$44</definedName>
    <definedName name="Proj_es_15">'Project Information'!$C$45</definedName>
    <definedName name="Proj_es_16">'Project Information'!$C$46</definedName>
    <definedName name="Proj_es_17">'Project Information'!$G$46</definedName>
    <definedName name="Proj_es_18">'Project Information'!$C$47</definedName>
    <definedName name="Proj_es_19">'Project Information'!$C$48</definedName>
    <definedName name="Proj_es_2">'Project Information'!$G$36</definedName>
    <definedName name="Proj_es_20">'Project Information'!$G$48</definedName>
    <definedName name="Proj_es_3">'Project Information'!$C$37</definedName>
    <definedName name="Proj_es_4">'Project Information'!$G$37</definedName>
    <definedName name="Proj_es_5">'Project Information'!$C$38</definedName>
    <definedName name="Proj_es_6">'Project Information'!$G$38</definedName>
    <definedName name="Proj_es_7">'Project Information'!$C$39</definedName>
    <definedName name="Proj_es_8">'Project Information'!$G$39</definedName>
    <definedName name="Proj_es_9">'Project Information'!$C$41</definedName>
    <definedName name="Proj_pi_1">'Project Information'!$C$7</definedName>
    <definedName name="Proj_pi_10">'Project Information'!$C$19</definedName>
    <definedName name="Proj_pi_11">'Project Information'!$C$20</definedName>
    <definedName name="Proj_pi_12">'Project Information'!$C$21</definedName>
    <definedName name="Proj_pi_2">'Project Information'!$C$8</definedName>
    <definedName name="Proj_pi_3">'Project Information'!$C$9</definedName>
    <definedName name="Proj_pi_4">'Project Information'!$C$10</definedName>
    <definedName name="Proj_pi_5">'Project Information'!$C$11</definedName>
    <definedName name="Proj_pi_6">'Project Information'!$G$10</definedName>
    <definedName name="Proj_pi_7">'Project Information'!$G$11</definedName>
    <definedName name="Proj_pi_8">'Project Information'!#REF!</definedName>
    <definedName name="Proj_pi_9">'Project Information'!$C$18</definedName>
    <definedName name="Proj_pi_iqn">'Project Information'!$C$15</definedName>
    <definedName name="Proj_pi_iv">'Project Information'!$C$14</definedName>
    <definedName name="Proj_pi_loadarea">'Project Information'!$C$16</definedName>
    <definedName name="Proj_pi_poi">'Project Information'!$C$13</definedName>
    <definedName name="Proj_pi_subzonal">'Project Information'!#REF!</definedName>
    <definedName name="Proj_ss_1">'Project Information'!#REF!</definedName>
    <definedName name="Proj_ss_2">'Project Information'!#REF!</definedName>
    <definedName name="Proj_ts_1">'Project Information'!$C$26</definedName>
    <definedName name="Proj_ts_10">'Project Information'!$C$31</definedName>
    <definedName name="Proj_ts_11">'Project Information'!#REF!</definedName>
    <definedName name="Proj_ts_12">'Project Information'!$C$32</definedName>
    <definedName name="Proj_ts_13">'Project Information'!$C$33</definedName>
    <definedName name="Proj_ts_2">'Project Information'!$C$27</definedName>
    <definedName name="Proj_ts_3">'Project Information'!$C$28</definedName>
    <definedName name="Proj_ts_4">'Project Information'!#REF!</definedName>
    <definedName name="Proj_ts_5">'Project Information'!$G$26</definedName>
    <definedName name="Proj_ts_6">'Project Information'!$G$27</definedName>
    <definedName name="Proj_ts_7">'Project Information'!$G$28</definedName>
    <definedName name="Proj_ts_8">'Project Information'!#REF!</definedName>
    <definedName name="Proj_ts_9">'Project Information'!$C$30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1" l="1"/>
  <c r="C11" i="11"/>
  <c r="C47" i="12" l="1"/>
  <c r="C34" i="12"/>
  <c r="C26" i="12"/>
  <c r="C17" i="12"/>
  <c r="D120" i="10"/>
  <c r="D119" i="10"/>
  <c r="D69" i="10"/>
  <c r="E69" i="10" s="1"/>
  <c r="D68" i="10"/>
  <c r="E68" i="10" s="1"/>
  <c r="D67" i="10"/>
  <c r="E67" i="10" s="1"/>
  <c r="D347" i="10"/>
  <c r="E347" i="10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D66" i="10"/>
  <c r="D346" i="10"/>
  <c r="E346" i="10"/>
  <c r="D345" i="10"/>
  <c r="E345" i="10"/>
  <c r="D344" i="10"/>
  <c r="E344" i="10"/>
  <c r="D343" i="10"/>
  <c r="E343" i="10"/>
  <c r="D342" i="10"/>
  <c r="E342" i="10"/>
  <c r="D341" i="10"/>
  <c r="E341" i="10"/>
  <c r="D340" i="10"/>
  <c r="E340" i="10"/>
  <c r="D339" i="10"/>
  <c r="E339" i="10"/>
  <c r="D338" i="10"/>
  <c r="E338" i="10"/>
  <c r="D337" i="10"/>
  <c r="E337" i="10"/>
  <c r="D336" i="10"/>
  <c r="E336" i="10"/>
  <c r="D335" i="10"/>
  <c r="E335" i="10"/>
  <c r="D334" i="10"/>
  <c r="E334" i="10"/>
  <c r="D333" i="10"/>
  <c r="E333" i="10"/>
  <c r="D332" i="10"/>
  <c r="E332" i="10"/>
  <c r="D331" i="10"/>
  <c r="E331" i="10"/>
  <c r="D330" i="10"/>
  <c r="E330" i="10"/>
  <c r="D329" i="10"/>
  <c r="E329" i="10"/>
  <c r="D328" i="10"/>
  <c r="E328" i="10"/>
  <c r="D327" i="10"/>
  <c r="E327" i="10"/>
  <c r="D326" i="10"/>
  <c r="E326" i="10"/>
  <c r="D325" i="10"/>
  <c r="E325" i="10"/>
  <c r="D324" i="10"/>
  <c r="E324" i="10"/>
  <c r="D323" i="10"/>
  <c r="E323" i="10"/>
  <c r="D322" i="10"/>
  <c r="E322" i="10"/>
  <c r="D321" i="10"/>
  <c r="E321" i="10"/>
  <c r="D320" i="10"/>
  <c r="E320" i="10"/>
  <c r="D319" i="10"/>
  <c r="E319" i="10"/>
  <c r="D318" i="10"/>
  <c r="E318" i="10"/>
  <c r="D317" i="10"/>
  <c r="E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E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E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E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E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E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E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E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E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E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E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E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E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E136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E122" i="10"/>
  <c r="D116" i="10"/>
  <c r="E116" i="10"/>
  <c r="D111" i="10"/>
  <c r="E111" i="10"/>
  <c r="D110" i="10"/>
  <c r="E110" i="10"/>
  <c r="D109" i="10"/>
  <c r="E109" i="10"/>
  <c r="D107" i="10"/>
  <c r="E107" i="10"/>
  <c r="D106" i="10"/>
  <c r="E106" i="10"/>
  <c r="D105" i="10"/>
  <c r="E105" i="10"/>
  <c r="D104" i="10"/>
  <c r="E104" i="10"/>
  <c r="D103" i="10"/>
  <c r="E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E90" i="10"/>
  <c r="D89" i="10"/>
  <c r="E89" i="10"/>
  <c r="D88" i="10"/>
  <c r="E88" i="10"/>
  <c r="D87" i="10"/>
  <c r="E87" i="10"/>
  <c r="D86" i="10"/>
  <c r="E86" i="10"/>
  <c r="D85" i="10"/>
  <c r="E85" i="10"/>
  <c r="D84" i="10"/>
  <c r="E84" i="10"/>
  <c r="D83" i="10"/>
  <c r="E83" i="10"/>
  <c r="D82" i="10"/>
  <c r="E82" i="10"/>
  <c r="D81" i="10"/>
  <c r="E81" i="10"/>
  <c r="D80" i="10"/>
  <c r="E80" i="10"/>
  <c r="D79" i="10"/>
  <c r="E79" i="10"/>
  <c r="D78" i="10"/>
  <c r="E78" i="10"/>
  <c r="D77" i="10"/>
  <c r="D76" i="10"/>
  <c r="D75" i="10"/>
  <c r="D74" i="10"/>
  <c r="D73" i="10"/>
  <c r="E73" i="10"/>
  <c r="D72" i="10"/>
  <c r="E72" i="10"/>
  <c r="D71" i="10"/>
  <c r="E71" i="10"/>
  <c r="D70" i="10"/>
  <c r="E70" i="10"/>
  <c r="D65" i="10"/>
  <c r="E65" i="10"/>
  <c r="D64" i="10"/>
  <c r="E64" i="10"/>
  <c r="D63" i="10"/>
  <c r="E63" i="10"/>
  <c r="D62" i="10"/>
  <c r="E62" i="10"/>
  <c r="D61" i="10"/>
  <c r="E61" i="10"/>
  <c r="D60" i="10"/>
  <c r="E60" i="10"/>
  <c r="D59" i="10"/>
  <c r="E59" i="10"/>
  <c r="D58" i="10"/>
  <c r="E58" i="10"/>
  <c r="D57" i="10"/>
  <c r="E57" i="10"/>
  <c r="D56" i="10"/>
  <c r="E56" i="10"/>
  <c r="D55" i="10"/>
  <c r="E55" i="10"/>
  <c r="D54" i="10"/>
  <c r="E54" i="10"/>
  <c r="D53" i="10"/>
  <c r="E53" i="10"/>
  <c r="D52" i="10"/>
  <c r="E52" i="10"/>
  <c r="D51" i="10"/>
  <c r="D50" i="10"/>
  <c r="E50" i="10"/>
  <c r="D49" i="10"/>
  <c r="E49" i="10"/>
  <c r="D48" i="10"/>
  <c r="D47" i="10"/>
  <c r="E47" i="10"/>
  <c r="D46" i="10"/>
  <c r="E46" i="10"/>
  <c r="D45" i="10"/>
  <c r="D44" i="10"/>
  <c r="D43" i="10"/>
  <c r="D42" i="10"/>
  <c r="D41" i="10"/>
  <c r="D40" i="10"/>
  <c r="D39" i="10"/>
  <c r="D38" i="10"/>
  <c r="D37" i="10"/>
  <c r="D36" i="10"/>
  <c r="D35" i="10"/>
  <c r="E35" i="10"/>
  <c r="D34" i="10"/>
  <c r="E34" i="10"/>
  <c r="D33" i="10"/>
  <c r="E33" i="10"/>
  <c r="D32" i="10"/>
  <c r="E32" i="10"/>
  <c r="D31" i="10"/>
  <c r="E31" i="10"/>
  <c r="D30" i="10"/>
  <c r="E30" i="10"/>
  <c r="D29" i="10"/>
  <c r="E29" i="10"/>
  <c r="D28" i="10"/>
  <c r="E28" i="10"/>
  <c r="D27" i="10"/>
  <c r="E27" i="10"/>
  <c r="D26" i="10"/>
  <c r="E26" i="10"/>
  <c r="D25" i="10"/>
  <c r="E25" i="10"/>
  <c r="D24" i="10"/>
  <c r="E24" i="10"/>
  <c r="D23" i="10"/>
  <c r="E23" i="10"/>
  <c r="D22" i="10"/>
  <c r="E22" i="10"/>
  <c r="D21" i="10"/>
  <c r="E21" i="10"/>
  <c r="D20" i="10"/>
  <c r="E20" i="10"/>
  <c r="D19" i="10"/>
  <c r="E19" i="10"/>
  <c r="D18" i="10"/>
  <c r="E18" i="10"/>
  <c r="D17" i="10"/>
  <c r="E17" i="10"/>
  <c r="D16" i="10"/>
  <c r="E16" i="10"/>
  <c r="D15" i="10"/>
  <c r="E15" i="10"/>
  <c r="D14" i="10"/>
  <c r="E14" i="10"/>
  <c r="D13" i="10"/>
  <c r="E13" i="10"/>
  <c r="D12" i="10"/>
  <c r="E12" i="10"/>
  <c r="D11" i="10"/>
  <c r="E11" i="10"/>
  <c r="D10" i="10"/>
  <c r="E10" i="10"/>
  <c r="D9" i="10"/>
  <c r="E9" i="10"/>
  <c r="D8" i="10"/>
  <c r="E8" i="10"/>
  <c r="D7" i="10"/>
  <c r="E7" i="10"/>
  <c r="D6" i="10"/>
  <c r="E6" i="10"/>
  <c r="D5" i="10"/>
  <c r="E5" i="10"/>
  <c r="D4" i="10"/>
  <c r="E4" i="10"/>
  <c r="D3" i="10"/>
  <c r="E3" i="10"/>
  <c r="D2" i="10"/>
  <c r="E2" i="10"/>
  <c r="E49" i="1"/>
  <c r="C63" i="1"/>
  <c r="C62" i="1"/>
  <c r="C61" i="1"/>
  <c r="C60" i="1"/>
  <c r="C59" i="1"/>
  <c r="C58" i="1"/>
  <c r="D108" i="10"/>
  <c r="E108" i="10"/>
  <c r="D115" i="10"/>
  <c r="D114" i="10"/>
  <c r="D113" i="10"/>
  <c r="D121" i="10"/>
  <c r="D135" i="10"/>
  <c r="D117" i="10"/>
  <c r="E117" i="10"/>
  <c r="C57" i="1"/>
  <c r="C54" i="1"/>
  <c r="C53" i="1"/>
  <c r="C52" i="1"/>
  <c r="C51" i="1"/>
  <c r="C50" i="1"/>
  <c r="C46" i="1"/>
  <c r="C45" i="1"/>
  <c r="C44" i="1"/>
  <c r="C43" i="1"/>
  <c r="C42" i="1"/>
  <c r="C41" i="1"/>
  <c r="C40" i="1"/>
  <c r="E40" i="4"/>
  <c r="D40" i="4"/>
  <c r="D118" i="10"/>
  <c r="E118" i="10"/>
  <c r="D112" i="10"/>
  <c r="C4" i="3" l="1"/>
  <c r="D6" i="3"/>
  <c r="C49" i="12"/>
  <c r="D4" i="3"/>
  <c r="E4" i="3" s="1"/>
  <c r="B4" i="5" s="1"/>
  <c r="D3" i="3"/>
  <c r="C3" i="3"/>
  <c r="C6" i="3"/>
  <c r="D5" i="3"/>
  <c r="C5" i="3"/>
  <c r="E6" i="3" l="1"/>
  <c r="E5" i="3"/>
  <c r="E3" i="3"/>
  <c r="B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Chandler Miller</author>
  </authors>
  <commentList>
    <comment ref="C13" authorId="0" shapeId="0" xr:uid="{00000000-0006-0000-0300-000001000000}">
      <text>
        <r>
          <rPr>
            <sz val="9"/>
            <color indexed="81"/>
            <rFont val="Tahoma"/>
            <family val="2"/>
          </rPr>
          <t>Notes shown when hovering over cell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Chandler Miller</author>
  </authors>
  <commentList>
    <comment ref="B40" authorId="0" shapeId="0" xr:uid="{00000000-0006-0000-0500-000002000000}">
      <text>
        <r>
          <rPr>
            <sz val="9"/>
            <color indexed="81"/>
            <rFont val="Tahoma"/>
            <family val="2"/>
          </rPr>
          <t xml:space="preserve">Please provide additional equipment  information for key balance of systems components, including thermal management, enclosures, and reclosers.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Chandler Miller</author>
    <author>B. Yung</author>
    <author>Lovelady, David</author>
  </authors>
  <commentList>
    <comment ref="B11" authorId="0" shapeId="0" xr:uid="{F0B3B9D6-1C63-4608-88C7-C7867E8B07B4}">
      <text>
        <r>
          <rPr>
            <sz val="9"/>
            <color indexed="81"/>
            <rFont val="Tahoma"/>
            <family val="2"/>
          </rPr>
          <t>Matches value in "Project Information" tab</t>
        </r>
      </text>
    </comment>
    <comment ref="B12" authorId="0" shapeId="0" xr:uid="{32D7F186-A71C-4E3F-97DE-79151949375F}">
      <text>
        <r>
          <rPr>
            <sz val="9"/>
            <color indexed="81"/>
            <rFont val="Tahoma"/>
            <family val="2"/>
          </rPr>
          <t>Matches value in "Project Information" tab</t>
        </r>
      </text>
    </comment>
    <comment ref="B13" authorId="1" shapeId="0" xr:uid="{DFA96AFD-F117-48C3-8288-5F510E847CBB}">
      <text>
        <r>
          <rPr>
            <sz val="9"/>
            <color indexed="81"/>
            <rFont val="Tahoma"/>
            <family val="2"/>
          </rPr>
          <t>Nameplate MVA rating of Project</t>
        </r>
      </text>
    </comment>
    <comment ref="B14" authorId="1" shapeId="0" xr:uid="{CAA2DE29-60FC-4FB4-9900-0B7F41A508FA}">
      <text>
        <r>
          <rPr>
            <sz val="9"/>
            <color indexed="81"/>
            <rFont val="Tahoma"/>
            <family val="2"/>
          </rPr>
          <t>The MWs that can be continuously dispatched by the storage system and measured as described in the Storage Rating Test Exhibit to the Energy Storage Services Agreement.</t>
        </r>
      </text>
    </comment>
    <comment ref="B15" authorId="0" shapeId="0" xr:uid="{ADD4DDCC-9215-454A-AEE1-E440362B9D24}">
      <text>
        <r>
          <rPr>
            <sz val="9"/>
            <color indexed="81"/>
            <rFont val="Tahoma"/>
            <family val="2"/>
          </rPr>
          <t>As defined in the Energy Storage Services Agreement</t>
        </r>
      </text>
    </comment>
    <comment ref="B16" authorId="0" shapeId="0" xr:uid="{FAD01E25-E702-48A5-AADD-F98C04DDB0E7}">
      <text>
        <r>
          <rPr>
            <sz val="9"/>
            <color indexed="81"/>
            <rFont val="Tahoma"/>
            <family val="2"/>
          </rPr>
          <t>As defined in the Energy Storage Services Agreement</t>
        </r>
      </text>
    </comment>
    <comment ref="B17" authorId="2" shapeId="0" xr:uid="{DF8611A1-224B-431C-A0AC-04A36980E9AD}">
      <text>
        <r>
          <rPr>
            <sz val="9"/>
            <color indexed="81"/>
            <rFont val="Tahoma"/>
            <family val="2"/>
          </rPr>
          <t>Ideal RSoC when storage is not dispatched</t>
        </r>
      </text>
    </comment>
    <comment ref="B18" authorId="2" shapeId="0" xr:uid="{2AF0B88D-F236-405A-83B9-9DF270552430}">
      <text>
        <r>
          <rPr>
            <sz val="9"/>
            <color indexed="81"/>
            <rFont val="Tahoma"/>
            <family val="2"/>
          </rPr>
          <t>Ideal operating point when dispatching storage</t>
        </r>
      </text>
    </comment>
    <comment ref="B20" authorId="0" shapeId="0" xr:uid="{AFCA8C1D-72D2-4A1B-8E5E-B511B3B38E85}">
      <text>
        <r>
          <rPr>
            <sz val="9"/>
            <color indexed="81"/>
            <rFont val="Tahoma"/>
            <family val="2"/>
          </rPr>
          <t>Represents the maximum MW quantity that a resource using the participation model for electric storage resources can inject into the grid. Bidders shall provide a full dispatch power capability curve.</t>
        </r>
      </text>
    </comment>
    <comment ref="B21" authorId="0" shapeId="0" xr:uid="{9D8E6813-C7FA-4F80-B76A-18EC3A81150A}">
      <text>
        <r>
          <rPr>
            <sz val="9"/>
            <color indexed="81"/>
            <rFont val="Tahoma"/>
            <family val="2"/>
          </rPr>
          <t>The minimum MW output level that a resource using the participation model for electric storage resources can inject onto the grid. Bidders shall provide a full dispatch power capability curve.</t>
        </r>
      </text>
    </comment>
    <comment ref="B22" authorId="0" shapeId="0" xr:uid="{F6EE790E-2315-4904-B8E8-D9B787C08B60}">
      <text>
        <r>
          <rPr>
            <sz val="9"/>
            <color indexed="81"/>
            <rFont val="Tahoma"/>
            <family val="2"/>
          </rPr>
          <t>Represents the maximum MVAR quantity that a resource using the participation model for electric storage resources can inject (Capacitive) into the grid. Bidders shall provide a full dispatch power capability curve.</t>
        </r>
      </text>
    </comment>
    <comment ref="B23" authorId="0" shapeId="0" xr:uid="{A12788CA-9025-463B-B529-DA6EE67D74E7}">
      <text>
        <r>
          <rPr>
            <sz val="9"/>
            <color indexed="81"/>
            <rFont val="Tahoma"/>
            <family val="2"/>
          </rPr>
          <t>The minimum MVAR output level that a resource using the participation model for electric storage resources can inject (Capacitive) onto the grid. Bidders shall provide a full dispatch power capability curve.</t>
        </r>
      </text>
    </comment>
    <comment ref="B24" authorId="1" shapeId="0" xr:uid="{97A39B3A-9183-4E3D-8903-B6D368445B7B}">
      <text>
        <r>
          <rPr>
            <sz val="9"/>
            <color indexed="81"/>
            <rFont val="Tahoma"/>
            <family val="2"/>
          </rPr>
          <t>Based on Dmax_q. If no limit, specify "999"</t>
        </r>
      </text>
    </comment>
    <comment ref="B26" authorId="2" shapeId="0" xr:uid="{1894F5C7-3CBC-42C8-B4ED-E745E38F2481}">
      <text>
        <r>
          <rPr>
            <b/>
            <sz val="9"/>
            <color indexed="81"/>
            <rFont val="Tahoma"/>
            <family val="2"/>
          </rPr>
          <t>Lovelady, David:</t>
        </r>
        <r>
          <rPr>
            <sz val="9"/>
            <color indexed="81"/>
            <rFont val="Tahoma"/>
            <family val="2"/>
          </rPr>
          <t xml:space="preserve">
available at the storage terminals </t>
        </r>
      </text>
    </comment>
    <comment ref="B29" authorId="0" shapeId="0" xr:uid="{C0817636-218C-4744-B8D6-13C392D8B322}">
      <text>
        <r>
          <rPr>
            <sz val="9"/>
            <color indexed="81"/>
            <rFont val="Tahoma"/>
            <family val="2"/>
          </rPr>
          <t>Represents the maximum MW quantity of electric energy that a resource using the participation model for electric storage resources can receive from the grid.</t>
        </r>
      </text>
    </comment>
    <comment ref="B30" authorId="1" shapeId="0" xr:uid="{12B4C0FC-8A1D-45E4-8D01-4499A0624F01}">
      <text>
        <r>
          <rPr>
            <sz val="9"/>
            <color indexed="81"/>
            <rFont val="Tahoma"/>
            <family val="2"/>
          </rPr>
          <t>The minimum MW output level that a resource using the participation model for electric storage resources can receive from the grid.</t>
        </r>
      </text>
    </comment>
    <comment ref="B31" authorId="0" shapeId="0" xr:uid="{9A74D866-F745-4C92-8A6E-52C39AA75C27}">
      <text>
        <r>
          <rPr>
            <sz val="9"/>
            <color indexed="81"/>
            <rFont val="Tahoma"/>
            <family val="2"/>
          </rPr>
          <t>Represents the maximum MVAR quantity that a resource using the participation model for electric storage resources can receive (Inductive) from the grid</t>
        </r>
      </text>
    </comment>
    <comment ref="B32" authorId="0" shapeId="0" xr:uid="{09CC973F-B042-4A93-A8D9-F0BA5E9D731B}">
      <text>
        <r>
          <rPr>
            <sz val="9"/>
            <color indexed="81"/>
            <rFont val="Tahoma"/>
            <family val="2"/>
          </rPr>
          <t>The minimum MVAR output level that a resource using the participation model for electric storage resources can receive (Inductive) from the grid.</t>
        </r>
      </text>
    </comment>
    <comment ref="B33" authorId="1" shapeId="0" xr:uid="{34D66FBE-E732-42C8-96C3-700A895F7D8F}">
      <text>
        <r>
          <rPr>
            <sz val="9"/>
            <color indexed="81"/>
            <rFont val="Tahoma"/>
            <family val="2"/>
          </rPr>
          <t xml:space="preserve">Based on Cmax_q. If no limit, specify "999"
</t>
        </r>
      </text>
    </comment>
    <comment ref="B34" authorId="1" shapeId="0" xr:uid="{CEFC7E52-F47C-4C6B-B674-93F3D6878B26}">
      <text>
        <r>
          <rPr>
            <sz val="9"/>
            <color indexed="81"/>
            <rFont val="Tahoma"/>
            <family val="2"/>
          </rPr>
          <t xml:space="preserve">Bidders are to provide a curve showing the SOC vs time for a full charge including any curtailment of charging rate
</t>
        </r>
      </text>
    </comment>
    <comment ref="B37" authorId="1" shapeId="0" xr:uid="{5881DD83-5ED9-4773-89D0-80FECFE47C0C}">
      <text>
        <r>
          <rPr>
            <sz val="9"/>
            <color indexed="81"/>
            <rFont val="Tahoma"/>
            <family val="2"/>
          </rPr>
          <t>As defined in Energy Storage Services Agreement</t>
        </r>
      </text>
    </comment>
    <comment ref="B38" authorId="1" shapeId="0" xr:uid="{81105EE6-3A33-4220-8CD0-895EB0B7FCDA}">
      <text>
        <r>
          <rPr>
            <sz val="9"/>
            <color indexed="81"/>
            <rFont val="Tahoma"/>
            <family val="2"/>
          </rPr>
          <t>As defined in Energy Storage Services Agreement</t>
        </r>
      </text>
    </comment>
    <comment ref="B40" authorId="0" shapeId="0" xr:uid="{0B07C422-A154-4543-BD79-441F6BD14712}">
      <text>
        <r>
          <rPr>
            <sz val="9"/>
            <color indexed="81"/>
            <rFont val="Tahoma"/>
            <family val="2"/>
          </rPr>
          <t>As defined in Exhibit M "Storage Rating Test" of the Energy Storage Services Agreement</t>
        </r>
      </text>
    </comment>
    <comment ref="B42" authorId="2" shapeId="0" xr:uid="{664489AA-9D59-4336-93D1-BEB259D5707A}">
      <text>
        <r>
          <rPr>
            <sz val="9"/>
            <color indexed="81"/>
            <rFont val="Tahoma"/>
            <family val="2"/>
          </rPr>
          <t>including and not including planned outages</t>
        </r>
      </text>
    </comment>
    <comment ref="B55" authorId="0" shapeId="0" xr:uid="{6628B6C3-7463-46FD-9280-8D127A264F27}">
      <text>
        <r>
          <rPr>
            <sz val="9"/>
            <color indexed="81"/>
            <rFont val="Tahoma"/>
            <family val="2"/>
          </rPr>
          <t>The speed at which a resource using the participation model for electric storage resources can move from zero output to its Maximum Discharge Limit.</t>
        </r>
      </text>
    </comment>
    <comment ref="B58" authorId="0" shapeId="0" xr:uid="{52657C1E-D8AE-4F37-B0A4-F0A586D8E956}">
      <text>
        <r>
          <rPr>
            <sz val="9"/>
            <color indexed="81"/>
            <rFont val="Tahoma"/>
            <family val="2"/>
          </rPr>
          <t>The speed at which a resource using the participation model for electric storage resources can move from zero output to its Maximum Charge Limit.</t>
        </r>
      </text>
    </comment>
    <comment ref="B59" authorId="0" shapeId="0" xr:uid="{53797911-B956-4E45-8B59-7E9C899914E8}">
      <text>
        <r>
          <rPr>
            <sz val="9"/>
            <color indexed="81"/>
            <rFont val="Tahoma"/>
            <family val="2"/>
          </rPr>
          <t>The speed at which a resource using the participation model for electric storage resources can move from zero output to its Maximum Reactive Power Injection Limit.</t>
        </r>
      </text>
    </comment>
    <comment ref="B62" authorId="0" shapeId="0" xr:uid="{F145BF97-ED1F-4233-9B9F-91182176FCF3}">
      <text>
        <r>
          <rPr>
            <sz val="9"/>
            <color indexed="81"/>
            <rFont val="Tahoma"/>
            <family val="2"/>
          </rPr>
          <t>The speed at which a resource using the participation model for electric storage resources can move from zero output to its Maximum Reactive Power Withdraw Limit.</t>
        </r>
      </text>
    </comment>
    <comment ref="B66" authorId="1" shapeId="0" xr:uid="{0CE3DBB9-9538-4384-AC0E-FCB83BB65A36}">
      <text>
        <r>
          <rPr>
            <sz val="9"/>
            <color indexed="81"/>
            <rFont val="Tahoma"/>
            <family val="2"/>
          </rPr>
          <t>The sequence of injecting electric energy into a storage system then withdrawing electric energy from a storage system, where one cycle is the charge and discharge of a storage system's total useable energy storage capability</t>
        </r>
      </text>
    </comment>
    <comment ref="B82" authorId="0" shapeId="0" xr:uid="{893212F6-B741-4614-859F-711BCCC792F3}">
      <text>
        <r>
          <rPr>
            <sz val="9"/>
            <color indexed="81"/>
            <rFont val="Tahoma"/>
            <family val="2"/>
          </rPr>
          <t>The total amount of energy (in MWh) stored by the Energy Storage Resource at the beginning of the Day-Ahead Market day or a Real-Time Market interval.</t>
        </r>
      </text>
    </comment>
  </commentList>
</comments>
</file>

<file path=xl/sharedStrings.xml><?xml version="1.0" encoding="utf-8"?>
<sst xmlns="http://schemas.openxmlformats.org/spreadsheetml/2006/main" count="1773" uniqueCount="1088">
  <si>
    <t>Section</t>
  </si>
  <si>
    <t>Field</t>
  </si>
  <si>
    <t>Cell Name</t>
  </si>
  <si>
    <t>Value</t>
  </si>
  <si>
    <t>Status</t>
  </si>
  <si>
    <t>Bidder Information</t>
  </si>
  <si>
    <t>Bidder Counterparty/ Legal Entity Name</t>
  </si>
  <si>
    <t>Part_pi_1</t>
  </si>
  <si>
    <t>Bidder Street Address</t>
  </si>
  <si>
    <t>Part_pi_2</t>
  </si>
  <si>
    <t>Bidder City</t>
  </si>
  <si>
    <t>Part_pi_3</t>
  </si>
  <si>
    <t>Bidder State</t>
  </si>
  <si>
    <t>Part_pi_4</t>
  </si>
  <si>
    <t>Bidder Country</t>
  </si>
  <si>
    <t>Part_pi_5</t>
  </si>
  <si>
    <t>Bidder Website</t>
  </si>
  <si>
    <t>Part_pi_6</t>
  </si>
  <si>
    <t>Bidder Zip Code</t>
  </si>
  <si>
    <t>Part_pi_7</t>
  </si>
  <si>
    <t>Pre-exisiting contract with utility or affiliates?</t>
  </si>
  <si>
    <t>Part_pi_8</t>
  </si>
  <si>
    <t xml:space="preserve">Contact 1 - First Name </t>
  </si>
  <si>
    <t>Part_pi_9</t>
  </si>
  <si>
    <t xml:space="preserve">Contact 1 - Last Name </t>
  </si>
  <si>
    <t>Part_pi_10</t>
  </si>
  <si>
    <t xml:space="preserve">Contact 1 - Title </t>
  </si>
  <si>
    <t>Part_pi_11</t>
  </si>
  <si>
    <t xml:space="preserve">Contact 1 - Phone 1 </t>
  </si>
  <si>
    <t>Part_pi_12</t>
  </si>
  <si>
    <t xml:space="preserve">Contact 1 - Phone 2 </t>
  </si>
  <si>
    <t>Part_pi_13</t>
  </si>
  <si>
    <t xml:space="preserve">Contact 1 - Email </t>
  </si>
  <si>
    <t>Part_pi_14</t>
  </si>
  <si>
    <t xml:space="preserve">Contact 2 - First Name </t>
  </si>
  <si>
    <t>Part_pi_15</t>
  </si>
  <si>
    <t xml:space="preserve">Contact 2 - Last Name </t>
  </si>
  <si>
    <t>Part_pi_16</t>
  </si>
  <si>
    <t xml:space="preserve">Contact 2 - Title </t>
  </si>
  <si>
    <t>Part_pi_17</t>
  </si>
  <si>
    <t xml:space="preserve">Contact 2 - Phone 1 </t>
  </si>
  <si>
    <t>Part_pi_18</t>
  </si>
  <si>
    <t xml:space="preserve">Contact 2 - Phone 2 </t>
  </si>
  <si>
    <t>Part_pi_19</t>
  </si>
  <si>
    <t xml:space="preserve">Contact 2 - Email </t>
  </si>
  <si>
    <t>Part_pi_20</t>
  </si>
  <si>
    <t>Developer Name</t>
  </si>
  <si>
    <t>Part_pd_1</t>
  </si>
  <si>
    <t>Developer Street Address</t>
  </si>
  <si>
    <t>Part_pd_2</t>
  </si>
  <si>
    <t>Developer City</t>
  </si>
  <si>
    <t>Part_pd_3</t>
  </si>
  <si>
    <t>Developer State</t>
  </si>
  <si>
    <t>Part_pd_4</t>
  </si>
  <si>
    <t>Developer Country</t>
  </si>
  <si>
    <t>Part_pd_5</t>
  </si>
  <si>
    <t>Developer Website</t>
  </si>
  <si>
    <t>Part_pd_6</t>
  </si>
  <si>
    <t>Part_pd_7</t>
  </si>
  <si>
    <t>Developer Zip Code</t>
  </si>
  <si>
    <t>Part_pd_8</t>
  </si>
  <si>
    <t>Consolidated Edison, Inc ownership</t>
  </si>
  <si>
    <t>Part_part_1</t>
  </si>
  <si>
    <t>NYSERDA ownership</t>
  </si>
  <si>
    <t>Part_part_2</t>
  </si>
  <si>
    <t>Affiliates of any of the above</t>
  </si>
  <si>
    <t>Part_part_3</t>
  </si>
  <si>
    <t>Owner of Bidder Entity Name 1</t>
  </si>
  <si>
    <t>Part_own_1</t>
  </si>
  <si>
    <t>Owner of Bidder Entity Ownership 1</t>
  </si>
  <si>
    <t>Part_own_2</t>
  </si>
  <si>
    <t>Owner of Bidder Entity URL 1</t>
  </si>
  <si>
    <t>Part_own_3</t>
  </si>
  <si>
    <t>Owner of Bidder Entity Name 2</t>
  </si>
  <si>
    <t>Part_own_4</t>
  </si>
  <si>
    <t>Owner of Bidder Entity Ownership 2</t>
  </si>
  <si>
    <t>Part_own_5</t>
  </si>
  <si>
    <t>Owner of Bidder Entity URL 2</t>
  </si>
  <si>
    <t>Part_own_6</t>
  </si>
  <si>
    <t>Owner of Bidder Entity Name 3</t>
  </si>
  <si>
    <t>Part_own_7</t>
  </si>
  <si>
    <t>Owner of Bidder Entity Ownership 3</t>
  </si>
  <si>
    <t>Part_own_8</t>
  </si>
  <si>
    <t>Owner of Bidder Entity URL 3</t>
  </si>
  <si>
    <t>Part_own_9</t>
  </si>
  <si>
    <t>Part_own_10</t>
  </si>
  <si>
    <t>Part_own_11</t>
  </si>
  <si>
    <t>Part_own_12</t>
  </si>
  <si>
    <t>Electronic Signature Acknowledgment</t>
  </si>
  <si>
    <t>Part_sig_1</t>
  </si>
  <si>
    <t>Title Acknowledgment</t>
  </si>
  <si>
    <t>Part_sig_2</t>
  </si>
  <si>
    <t>Confirmation Acknowledgment</t>
  </si>
  <si>
    <t>Part_sig_3</t>
  </si>
  <si>
    <t>Electronic Signature Authorization</t>
  </si>
  <si>
    <t>Part_sig_4</t>
  </si>
  <si>
    <t>Title Authorization</t>
  </si>
  <si>
    <t>Part_sig_5</t>
  </si>
  <si>
    <t>Confirmation Authorization</t>
  </si>
  <si>
    <t>Part_sig_6</t>
  </si>
  <si>
    <t>Electronic Signature Attestation</t>
  </si>
  <si>
    <t>Part_sig_7</t>
  </si>
  <si>
    <t>Title Attestation</t>
  </si>
  <si>
    <t>Part_sig_8</t>
  </si>
  <si>
    <t>Confirmation Attestation</t>
  </si>
  <si>
    <t>Part_sig_9</t>
  </si>
  <si>
    <t>Project Information</t>
  </si>
  <si>
    <t>Legal Project Name</t>
  </si>
  <si>
    <t>Proj_pi_1</t>
  </si>
  <si>
    <t>Project Street Address</t>
  </si>
  <si>
    <t>Proj_pi_2</t>
  </si>
  <si>
    <t>Project State</t>
  </si>
  <si>
    <t>Proj_pi_3</t>
  </si>
  <si>
    <t>Project City</t>
  </si>
  <si>
    <t>Proj_pi_4</t>
  </si>
  <si>
    <t>Project Latitude</t>
  </si>
  <si>
    <t>Proj_pi_5</t>
  </si>
  <si>
    <t>Project Zip Code</t>
  </si>
  <si>
    <t>Proj_pi_6</t>
  </si>
  <si>
    <t>Project Longitude</t>
  </si>
  <si>
    <t>Proj_pi_7</t>
  </si>
  <si>
    <t>Scheduling and Dispatch Rights Owner</t>
  </si>
  <si>
    <t>Proj_pi_8</t>
  </si>
  <si>
    <t>Site Control</t>
  </si>
  <si>
    <t>Proj_pi_9</t>
  </si>
  <si>
    <t>Is project to be co-located with existing generation?</t>
  </si>
  <si>
    <t>Proj_pi_10</t>
  </si>
  <si>
    <t>Permitting</t>
  </si>
  <si>
    <t>Proj_pi_11</t>
  </si>
  <si>
    <t>Expected Commercial Operations Date (COD)</t>
  </si>
  <si>
    <t>Proj_pi_12</t>
  </si>
  <si>
    <t>Load Area</t>
  </si>
  <si>
    <t>Proj_pi_loadarea</t>
  </si>
  <si>
    <t>Point of Interconnection</t>
  </si>
  <si>
    <t>Proj_pi_poi</t>
  </si>
  <si>
    <t>Interconnection Voltage (kV)</t>
  </si>
  <si>
    <t>Proj_pi_iv</t>
  </si>
  <si>
    <t>Interconnection Queue Number</t>
  </si>
  <si>
    <t>Proj_pi_iqn</t>
  </si>
  <si>
    <t>Storage Method</t>
  </si>
  <si>
    <t>Proj_ts_1</t>
  </si>
  <si>
    <t>Storage Technology</t>
  </si>
  <si>
    <t>Proj_ts_2</t>
  </si>
  <si>
    <t>Specific Storage Technology</t>
  </si>
  <si>
    <t>Proj_ts_3</t>
  </si>
  <si>
    <t>Lithium-Ion Battery Chemistry</t>
  </si>
  <si>
    <t>Proj_ts_4</t>
  </si>
  <si>
    <t>Other Method</t>
  </si>
  <si>
    <t>Proj_ts_5</t>
  </si>
  <si>
    <t>Other Technology</t>
  </si>
  <si>
    <t>Proj_ts_6</t>
  </si>
  <si>
    <t>Other Sub-Technology</t>
  </si>
  <si>
    <t>Proj_ts_7</t>
  </si>
  <si>
    <t>Other Chemistry</t>
  </si>
  <si>
    <t>Proj_ts_8</t>
  </si>
  <si>
    <t>Nameplate Capacity (MW)</t>
  </si>
  <si>
    <t>Proj_ts_9</t>
  </si>
  <si>
    <t>Nameplate Capacity (MWh)</t>
  </si>
  <si>
    <t>Proj_ts_10</t>
  </si>
  <si>
    <t>Cycle Life (Cycles)</t>
  </si>
  <si>
    <t>Proj_ts_11</t>
  </si>
  <si>
    <t>Expected Capacity Degradation per Year (% of MW)</t>
  </si>
  <si>
    <t>Proj_ts_12</t>
  </si>
  <si>
    <t>Expected Capacity Degradation per Year (% of MWh)</t>
  </si>
  <si>
    <t>Proj_ts_13</t>
  </si>
  <si>
    <t>Storage Manufacturer</t>
  </si>
  <si>
    <t>Proj_es_1</t>
  </si>
  <si>
    <t>Storage Model</t>
  </si>
  <si>
    <t>Proj_es_2</t>
  </si>
  <si>
    <t>Inverter Manufacturer</t>
  </si>
  <si>
    <t>Proj_es_3</t>
  </si>
  <si>
    <t>Inverter Model</t>
  </si>
  <si>
    <t>Proj_es_4</t>
  </si>
  <si>
    <t>RGM Manufacturer</t>
  </si>
  <si>
    <t>Proj_es_5</t>
  </si>
  <si>
    <t>RGM Model</t>
  </si>
  <si>
    <t>Proj_es_6</t>
  </si>
  <si>
    <t>Controller Manufacturer</t>
  </si>
  <si>
    <t>Proj_es_7</t>
  </si>
  <si>
    <t>Controller Model</t>
  </si>
  <si>
    <t>Proj_es_8</t>
  </si>
  <si>
    <t>Equipment 1</t>
  </si>
  <si>
    <t>Proj_es_9</t>
  </si>
  <si>
    <t>Manufacturer 1</t>
  </si>
  <si>
    <t>Proj_es_10</t>
  </si>
  <si>
    <t>Model 1</t>
  </si>
  <si>
    <t>Proj_es_11</t>
  </si>
  <si>
    <t>Equipment 2</t>
  </si>
  <si>
    <t>Proj_es_12</t>
  </si>
  <si>
    <t>Manufacturer 2</t>
  </si>
  <si>
    <t>Proj_es_13</t>
  </si>
  <si>
    <t>Model 2</t>
  </si>
  <si>
    <t>Proj_es_14</t>
  </si>
  <si>
    <t>Equipment 3</t>
  </si>
  <si>
    <t>Proj_es_15</t>
  </si>
  <si>
    <t>Manufacturer 3</t>
  </si>
  <si>
    <t>Proj_es_16</t>
  </si>
  <si>
    <t>Model 3</t>
  </si>
  <si>
    <t>Proj_es_17</t>
  </si>
  <si>
    <t>Equipment 4</t>
  </si>
  <si>
    <t>Proj_es_18</t>
  </si>
  <si>
    <t>Manufacturer 4</t>
  </si>
  <si>
    <t>Proj_es_19</t>
  </si>
  <si>
    <t>Model 4</t>
  </si>
  <si>
    <t>Proj_es_20</t>
  </si>
  <si>
    <t>Project Development Security ($)</t>
  </si>
  <si>
    <t>Proj_ss_1</t>
  </si>
  <si>
    <t>Delivery Term Security Offered ($)</t>
  </si>
  <si>
    <t>Proj_ss_2</t>
  </si>
  <si>
    <t>Project Cost and Offer Price</t>
  </si>
  <si>
    <t>Storage Module ($)</t>
  </si>
  <si>
    <t>PCOP_sm</t>
  </si>
  <si>
    <t>Power Conversion System ($)</t>
  </si>
  <si>
    <t>PCOP_pcs</t>
  </si>
  <si>
    <t>Balance of System ($)</t>
  </si>
  <si>
    <t>PCOP_bos</t>
  </si>
  <si>
    <t>TOTAL Hardware Cost ($)</t>
  </si>
  <si>
    <t>PCOP_tot</t>
  </si>
  <si>
    <t>Engineering, Procurement, Construction ($)</t>
  </si>
  <si>
    <t>PCOP_epc</t>
  </si>
  <si>
    <t>Permitting and Siting ($)</t>
  </si>
  <si>
    <t>PCOP_ps</t>
  </si>
  <si>
    <t>Estimated Interconnection Cost ($)</t>
  </si>
  <si>
    <t>PCOP_eic</t>
  </si>
  <si>
    <t>Hardware Percent of Total(%)</t>
  </si>
  <si>
    <t>PCOP_totp</t>
  </si>
  <si>
    <t>EPC Percent of Total (%)</t>
  </si>
  <si>
    <t>PCOP_epcp</t>
  </si>
  <si>
    <t>Permitting and Siting Percent of Total (%)</t>
  </si>
  <si>
    <t>PCOP_psp</t>
  </si>
  <si>
    <t>Interconnection Percent of Total (%)</t>
  </si>
  <si>
    <t>PCOP_eicp</t>
  </si>
  <si>
    <t>Total Required Funding ($)</t>
  </si>
  <si>
    <t>PCOP_trf</t>
  </si>
  <si>
    <t>Year 1 (upfront) Payment ($)</t>
  </si>
  <si>
    <t>PCOP_y1pay</t>
  </si>
  <si>
    <t>Years 2-7 Payments ($)</t>
  </si>
  <si>
    <t>PCOP_y27pay</t>
  </si>
  <si>
    <t>Annual O&amp;M (Avg. $/year)</t>
  </si>
  <si>
    <t>PCOP_fom</t>
  </si>
  <si>
    <t>Anticipated Utility Charges (Avg. $/Year)</t>
  </si>
  <si>
    <t>PCOP_anncharges</t>
  </si>
  <si>
    <t>Operating Information</t>
  </si>
  <si>
    <t>Total Power Capacity</t>
  </si>
  <si>
    <t>OI_param_tpc</t>
  </si>
  <si>
    <t>Total Power Capacity Seasonal Variation</t>
  </si>
  <si>
    <t>OI_param_tpc_var</t>
  </si>
  <si>
    <t>Total Power Capacity Jan</t>
  </si>
  <si>
    <t>OI_param_tpc_Jan</t>
  </si>
  <si>
    <t>Total Power Capacity Feb</t>
  </si>
  <si>
    <t>OI_param_tpc_Feb</t>
  </si>
  <si>
    <t>Total Power Capacity Mar</t>
  </si>
  <si>
    <t>OI_param_tpc_Mar</t>
  </si>
  <si>
    <t>Total Power Capacity Apr</t>
  </si>
  <si>
    <t>OI_param_tpc_Apr</t>
  </si>
  <si>
    <t>Total Power Capacity May</t>
  </si>
  <si>
    <t>OI_param_tpc_May</t>
  </si>
  <si>
    <t>Total Power Capacity Jun</t>
  </si>
  <si>
    <t>OI_param_tpc_Jun</t>
  </si>
  <si>
    <t>Total Power Capacity Jul</t>
  </si>
  <si>
    <t>OI_param_tpc_Jul</t>
  </si>
  <si>
    <t>Total Power Capacity Aug</t>
  </si>
  <si>
    <t>OI_param_tpc_Aug</t>
  </si>
  <si>
    <t>Total Power Capacity Sep</t>
  </si>
  <si>
    <t>OI_param_tpc_Sep</t>
  </si>
  <si>
    <t>Total Power Capacity Oct</t>
  </si>
  <si>
    <t>OI_param_tpc_Oct</t>
  </si>
  <si>
    <t>Total Power Capacity Nov</t>
  </si>
  <si>
    <t>OI_param_tpc_Nov</t>
  </si>
  <si>
    <t>Total Power Capacity Dec</t>
  </si>
  <si>
    <t>OI_param_tpc_Dec</t>
  </si>
  <si>
    <t>Total Energy Capacity</t>
  </si>
  <si>
    <t>OI_param_tec</t>
  </si>
  <si>
    <t>Total Energy Capacity Seasonal Variation</t>
  </si>
  <si>
    <t>OI_param_tec_var</t>
  </si>
  <si>
    <t>Total Energy Capacity Jan</t>
  </si>
  <si>
    <t>OI_param_tec_Jan</t>
  </si>
  <si>
    <t>Total Energy Capacity Feb</t>
  </si>
  <si>
    <t>OI_param_tec_Feb</t>
  </si>
  <si>
    <t>Total Energy Capacity Mar</t>
  </si>
  <si>
    <t>OI_param_tec_Mar</t>
  </si>
  <si>
    <t>Total Energy Capacity Apr</t>
  </si>
  <si>
    <t>OI_param_tec_Apr</t>
  </si>
  <si>
    <t>Total Energy Capacity May</t>
  </si>
  <si>
    <t>OI_param_tec_May</t>
  </si>
  <si>
    <t>Total Energy Capacity Jun</t>
  </si>
  <si>
    <t>OI_param_tec_Jun</t>
  </si>
  <si>
    <t>Total Energy Capacity Jul</t>
  </si>
  <si>
    <t>OI_param_tec_Jul</t>
  </si>
  <si>
    <t>Total Energy Capacity Aug</t>
  </si>
  <si>
    <t>OI_param_tec_Aug</t>
  </si>
  <si>
    <t>Total Energy Capacity Sep</t>
  </si>
  <si>
    <t>OI_param_tec_Sep</t>
  </si>
  <si>
    <t>Total Energy Capacity Oct</t>
  </si>
  <si>
    <t>OI_param_tec_Oct</t>
  </si>
  <si>
    <t>Total Energy Capacity Nov</t>
  </si>
  <si>
    <t>OI_param_tec_Nov</t>
  </si>
  <si>
    <t>Total Energy Capacity Dec</t>
  </si>
  <si>
    <t>OI_param_tec_Dec</t>
  </si>
  <si>
    <t>Total Dispatchable Capacity</t>
  </si>
  <si>
    <t>OI_param_tuc</t>
  </si>
  <si>
    <t>Total Dispatchable Capacity Seasonal Variation</t>
  </si>
  <si>
    <t>OI_param_tuc_var</t>
  </si>
  <si>
    <t>Total Dispatchable Capacity Jan</t>
  </si>
  <si>
    <t>OI_param_tuc_Jan</t>
  </si>
  <si>
    <t>Total Dispatchable Capacity Feb</t>
  </si>
  <si>
    <t>OI_param_tuc_Feb</t>
  </si>
  <si>
    <t>Total Dispatchable Capacity Mar</t>
  </si>
  <si>
    <t>OI_param_tuc_Mar</t>
  </si>
  <si>
    <t>Total Dispatchable Capacity Apr</t>
  </si>
  <si>
    <t>OI_param_tuc_Apr</t>
  </si>
  <si>
    <t>Total Dispatchable Capacity May</t>
  </si>
  <si>
    <t>OI_param_tuc_May</t>
  </si>
  <si>
    <t>Total Dispatchable Capacity Jun</t>
  </si>
  <si>
    <t>OI_param_tuc_Jun</t>
  </si>
  <si>
    <t>Total Dispatchable Capacity Jul</t>
  </si>
  <si>
    <t>OI_param_tuc_Jul</t>
  </si>
  <si>
    <t>Total Dispatchable Capacity Aug</t>
  </si>
  <si>
    <t>OI_param_tuc_Aug</t>
  </si>
  <si>
    <t>Total Dispatchable Capacity Sep</t>
  </si>
  <si>
    <t>OI_param_tuc_Sep</t>
  </si>
  <si>
    <t>Total Dispatchable Capacity Oct</t>
  </si>
  <si>
    <t>OI_param_tuc_Oct</t>
  </si>
  <si>
    <t>Total Dispatchable Capacity Nov</t>
  </si>
  <si>
    <t>OI_param_tuc_Nov</t>
  </si>
  <si>
    <t>Total Dispatchable Capacity Dec</t>
  </si>
  <si>
    <t>OI_param_tuc_Dec</t>
  </si>
  <si>
    <t>Maximum State of Charge (SoC_max)</t>
  </si>
  <si>
    <t>OI_param_maxsoc</t>
  </si>
  <si>
    <t>Maximum State of Charge (SoC_max) Seasonal Variation</t>
  </si>
  <si>
    <t>OI_param_maxsoc_var</t>
  </si>
  <si>
    <t>Maximum State of Charge (SoC_max) Jan</t>
  </si>
  <si>
    <t>OI_param_maxsoc_Jan</t>
  </si>
  <si>
    <t>Maximum State of Charge (SoC_max) Feb</t>
  </si>
  <si>
    <t>OI_param_maxsoc_Feb</t>
  </si>
  <si>
    <t>Maximum State of Charge (SoC_max) Mar</t>
  </si>
  <si>
    <t>OI_param_maxsoc_Mar</t>
  </si>
  <si>
    <t>Maximum State of Charge (SoC_max) Apr</t>
  </si>
  <si>
    <t>OI_param_maxsoc_Apr</t>
  </si>
  <si>
    <t>Maximum State of Charge (SoC_max) May</t>
  </si>
  <si>
    <t>OI_param_maxsoc_May</t>
  </si>
  <si>
    <t>Maximum State of Charge (SoC_max) Jun</t>
  </si>
  <si>
    <t>OI_param_maxsoc_Jun</t>
  </si>
  <si>
    <t>Maximum State of Charge (SoC_max) Jul</t>
  </si>
  <si>
    <t>OI_param_maxsoc_Jul</t>
  </si>
  <si>
    <t>Maximum State of Charge (SoC_max) Aug</t>
  </si>
  <si>
    <t>OI_param_maxsoc_Aug</t>
  </si>
  <si>
    <t>Maximum State of Charge (SoC_max) Sep</t>
  </si>
  <si>
    <t>OI_param_maxsoc_Sep</t>
  </si>
  <si>
    <t>Maximum State of Charge (SoC_max) Oct</t>
  </si>
  <si>
    <t>OI_param_maxsoc_Oct</t>
  </si>
  <si>
    <t>Maximum State of Charge (SoC_max) Nov</t>
  </si>
  <si>
    <t>OI_param_maxsoc_Nov</t>
  </si>
  <si>
    <t>Maximum State of Charge (SoC_max) Dec</t>
  </si>
  <si>
    <t>OI_param_maxsoc_Dec</t>
  </si>
  <si>
    <t>Minimum State of Charge (SoC_min)</t>
  </si>
  <si>
    <t>OI_param_minsoc</t>
  </si>
  <si>
    <t>Minimum State of Charge (SoC_min) Seasonal Variation</t>
  </si>
  <si>
    <t>OI_param_minsoc_var</t>
  </si>
  <si>
    <t>Minimum State of Charge (SoC_min) Jan</t>
  </si>
  <si>
    <t>OI_param_minsoc_Jan</t>
  </si>
  <si>
    <t>Minimum State of Charge (SoC_min) Feb</t>
  </si>
  <si>
    <t>OI_param_minsoc_Feb</t>
  </si>
  <si>
    <t>Minimum State of Charge (SoC_min) Mar</t>
  </si>
  <si>
    <t>OI_param_minsoc_Mar</t>
  </si>
  <si>
    <t>Minimum State of Charge (SoC_min) Apr</t>
  </si>
  <si>
    <t>OI_param_minsoc_Apr</t>
  </si>
  <si>
    <t>Minimum State of Charge (SoC_min) May</t>
  </si>
  <si>
    <t>OI_param_minsoc_May</t>
  </si>
  <si>
    <t>Minimum State of Charge (SoC_min) Jun</t>
  </si>
  <si>
    <t>OI_param_minsoc_Jun</t>
  </si>
  <si>
    <t>Minimum State of Charge (SoC_min) Jul</t>
  </si>
  <si>
    <t>OI_param_minsoc_Jul</t>
  </si>
  <si>
    <t>Minimum State of Charge (SoC_min) Aug</t>
  </si>
  <si>
    <t>OI_param_minsoc_Aug</t>
  </si>
  <si>
    <t>Minimum State of Charge (SoC_min) Sep</t>
  </si>
  <si>
    <t>OI_param_minsoc_Sep</t>
  </si>
  <si>
    <t>Minimum State of Charge (SoC_min) Oct</t>
  </si>
  <si>
    <t>OI_param_minsoc_Oct</t>
  </si>
  <si>
    <t>Minimum State of Charge (SoC_min) Nov</t>
  </si>
  <si>
    <t>OI_param_minsoc_Nov</t>
  </si>
  <si>
    <t>Minimum State of Charge (SoC_min) Dec</t>
  </si>
  <si>
    <t>OI_param_minsoc_Dec</t>
  </si>
  <si>
    <t>Maximum Discharge Limit (Dmax)</t>
  </si>
  <si>
    <t>OI_param_dlmax</t>
  </si>
  <si>
    <t>Maximum Discharge Limit (Dmax) Seasonal Variation</t>
  </si>
  <si>
    <t>OI_param_dlmax_var</t>
  </si>
  <si>
    <t>Maximum Discharge Limit (Dmax) Jan</t>
  </si>
  <si>
    <t>OI_param_dlmax_Jan</t>
  </si>
  <si>
    <t>Maximum Discharge Limit (Dmax) Feb</t>
  </si>
  <si>
    <t>OI_param_dlmax_Feb</t>
  </si>
  <si>
    <t>Maximum Discharge Limit (Dmax) Mar</t>
  </si>
  <si>
    <t>OI_param_dlmax_Mar</t>
  </si>
  <si>
    <t>Maximum Discharge Limit (Dmax) Apr</t>
  </si>
  <si>
    <t>OI_param_dlmax_Apr</t>
  </si>
  <si>
    <t>Maximum Discharge Limit (Dmax) May</t>
  </si>
  <si>
    <t>OI_param_dlmax_May</t>
  </si>
  <si>
    <t>Maximum Discharge Limit (Dmax) Jun</t>
  </si>
  <si>
    <t>OI_param_dlmax_Jun</t>
  </si>
  <si>
    <t>Maximum Discharge Limit (Dmax) Jul</t>
  </si>
  <si>
    <t>OI_param_dlmax_Jul</t>
  </si>
  <si>
    <t>Maximum Discharge Limit (Dmax) Aug</t>
  </si>
  <si>
    <t>OI_param_dlmax_Aug</t>
  </si>
  <si>
    <t>Maximum Discharge Limit (Dmax) Sep</t>
  </si>
  <si>
    <t>OI_param_dlmax_Sep</t>
  </si>
  <si>
    <t>Maximum Discharge Limit (Dmax) Oct</t>
  </si>
  <si>
    <t>OI_param_dlmax_Oct</t>
  </si>
  <si>
    <t>Maximum Discharge Limit (Dmax) Nov</t>
  </si>
  <si>
    <t>OI_param_dlmax_Nov</t>
  </si>
  <si>
    <t>Maximum Discharge Limit (Dmax) Dec</t>
  </si>
  <si>
    <t>OI_param_dlmax_Dec</t>
  </si>
  <si>
    <t>Minimum Discharge Limit (Dmin)</t>
  </si>
  <si>
    <t>OI_param_dlmin</t>
  </si>
  <si>
    <t>Minimum Discharge Limit (Dmin) Seasonal Variation</t>
  </si>
  <si>
    <t>OI_param_dlmin_var</t>
  </si>
  <si>
    <t>Minimum Discharge Limit (Dmin) Jan</t>
  </si>
  <si>
    <t>OI_param_dlmin_Jan</t>
  </si>
  <si>
    <t>Minimum Discharge Limit (Dmin) Feb</t>
  </si>
  <si>
    <t>OI_param_dlmin_Feb</t>
  </si>
  <si>
    <t>Minimum Discharge Limit (Dmin) Mar</t>
  </si>
  <si>
    <t>OI_param_dlmin_Mar</t>
  </si>
  <si>
    <t>Minimum Discharge Limit (Dmin) Apr</t>
  </si>
  <si>
    <t>OI_param_dlmin_Apr</t>
  </si>
  <si>
    <t>Minimum Discharge Limit (Dmin) May</t>
  </si>
  <si>
    <t>OI_param_dlmin_May</t>
  </si>
  <si>
    <t>Minimum Discharge Limit (Dmin) Jun</t>
  </si>
  <si>
    <t>OI_param_dlmin_Jun</t>
  </si>
  <si>
    <t>Minimum Discharge Limit (Dmin) Jul</t>
  </si>
  <si>
    <t>OI_param_dlmin_Jul</t>
  </si>
  <si>
    <t>Minimum Discharge Limit (Dmin) Aug</t>
  </si>
  <si>
    <t>OI_param_dlmin_Aug</t>
  </si>
  <si>
    <t>Minimum Discharge Limit (Dmin) Sep</t>
  </si>
  <si>
    <t>OI_param_dlmin_Sep</t>
  </si>
  <si>
    <t>Minimum Discharge Limit (Dmin) Oct</t>
  </si>
  <si>
    <t>OI_param_dlmin_Oct</t>
  </si>
  <si>
    <t>Minimum Discharge Limit (Dmin) Nov</t>
  </si>
  <si>
    <t>OI_param_dlmin_Nov</t>
  </si>
  <si>
    <t>Minimum Discharge Limit (Dmin) Dec</t>
  </si>
  <si>
    <t>OI_param_dlmin_Dec</t>
  </si>
  <si>
    <t>Average Discharge Rate</t>
  </si>
  <si>
    <t>OI_param_adr</t>
  </si>
  <si>
    <t>Average Discharge Rate Seasonal Variation</t>
  </si>
  <si>
    <t>OI_param_adr_var</t>
  </si>
  <si>
    <t>Average Discharge Rate Jan</t>
  </si>
  <si>
    <t>OI_param_adr_Jan</t>
  </si>
  <si>
    <t>Average Discharge Rate Feb</t>
  </si>
  <si>
    <t>OI_param_adr_Feb</t>
  </si>
  <si>
    <t>Average Discharge Rate Mar</t>
  </si>
  <si>
    <t>OI_param_adr_Mar</t>
  </si>
  <si>
    <t>Average Discharge Rate Apr</t>
  </si>
  <si>
    <t>OI_param_adr_Apr</t>
  </si>
  <si>
    <t>Average Discharge Rate May</t>
  </si>
  <si>
    <t>OI_param_adr_May</t>
  </si>
  <si>
    <t>Average Discharge Rate Jun</t>
  </si>
  <si>
    <t>OI_param_adr_Jun</t>
  </si>
  <si>
    <t>Average Discharge Rate Jul</t>
  </si>
  <si>
    <t>OI_param_adr_Jul</t>
  </si>
  <si>
    <t>Average Discharge Rate Aug</t>
  </si>
  <si>
    <t>OI_param_adr_Aug</t>
  </si>
  <si>
    <t>Average Discharge Rate Sep</t>
  </si>
  <si>
    <t>OI_param_adr_Sep</t>
  </si>
  <si>
    <t>Average Discharge Rate Oct</t>
  </si>
  <si>
    <t>OI_param_adr_Oct</t>
  </si>
  <si>
    <t>Average Discharge Rate Nov</t>
  </si>
  <si>
    <t>OI_param_adr_Nov</t>
  </si>
  <si>
    <t>Average Discharge Rate Dec</t>
  </si>
  <si>
    <t>OI_param_adr_Dec</t>
  </si>
  <si>
    <t>Minimum Duration for Full Discharge (SoC_max to SoC_min)</t>
  </si>
  <si>
    <t>OI_param_mdfd</t>
  </si>
  <si>
    <t>Minimum Duration for Full Discharge (SoC_max to SoC_min) Seasonal Variation</t>
  </si>
  <si>
    <t>OI_param_mdfd_var</t>
  </si>
  <si>
    <t>Minimum Duration for Full Discharge (SoC_max to SoC_min) Jan</t>
  </si>
  <si>
    <t>OI_param_mdfd_Jan</t>
  </si>
  <si>
    <t>Minimum Duration for Full Discharge (SoC_max to SoC_min) Feb</t>
  </si>
  <si>
    <t>OI_param_mdfd_Feb</t>
  </si>
  <si>
    <t>Minimum Duration for Full Discharge (SoC_max to SoC_min) Mar</t>
  </si>
  <si>
    <t>OI_param_mdfd_Mar</t>
  </si>
  <si>
    <t>Minimum Duration for Full Discharge (SoC_max to SoC_min) Apr</t>
  </si>
  <si>
    <t>OI_param_mdfd_Apr</t>
  </si>
  <si>
    <t>Minimum Duration for Full Discharge (SoC_max to SoC_min) May</t>
  </si>
  <si>
    <t>OI_param_mdfd_May</t>
  </si>
  <si>
    <t>Minimum Duration for Full Discharge (SoC_max to SoC_min) Jun</t>
  </si>
  <si>
    <t>OI_param_mdfd_Jun</t>
  </si>
  <si>
    <t>Minimum Duration for Full Discharge (SoC_max to SoC_min) Jul</t>
  </si>
  <si>
    <t>OI_param_mdfd_Jul</t>
  </si>
  <si>
    <t>Minimum Duration for Full Discharge (SoC_max to SoC_min) Aug</t>
  </si>
  <si>
    <t>OI_param_mdfd_Aug</t>
  </si>
  <si>
    <t>Minimum Duration for Full Discharge (SoC_max to SoC_min) Sep</t>
  </si>
  <si>
    <t>OI_param_mdfd_Sep</t>
  </si>
  <si>
    <t>Minimum Duration for Full Discharge (SoC_max to SoC_min) Oct</t>
  </si>
  <si>
    <t>OI_param_mdfd_Oct</t>
  </si>
  <si>
    <t>Minimum Duration for Full Discharge (SoC_max to SoC_min) Nov</t>
  </si>
  <si>
    <t>OI_param_mdfd_Nov</t>
  </si>
  <si>
    <t>Minimum Duration for Full Discharge (SoC_max to SoC_min) Dec</t>
  </si>
  <si>
    <t>OI_param_mdfd_Dec</t>
  </si>
  <si>
    <t>Maximum Charge Limit (Cmax)</t>
  </si>
  <si>
    <t>OI_param_clmax</t>
  </si>
  <si>
    <t>Maximum Charge Limit (Cmax) Seasonal Variation</t>
  </si>
  <si>
    <t>OI_param_clmax_var</t>
  </si>
  <si>
    <t>Maximum Charge Limit (Cmax) Jan</t>
  </si>
  <si>
    <t>OI_param_clmax_Jan</t>
  </si>
  <si>
    <t>Maximum Charge Limit (Cmax) Feb</t>
  </si>
  <si>
    <t>OI_param_clmax_Feb</t>
  </si>
  <si>
    <t>Maximum Charge Limit (Cmax) Mar</t>
  </si>
  <si>
    <t>OI_param_clmax_Mar</t>
  </si>
  <si>
    <t>Maximum Charge Limit (Cmax) Apr</t>
  </si>
  <si>
    <t>OI_param_clmax_Apr</t>
  </si>
  <si>
    <t>Maximum Charge Limit (Cmax) May</t>
  </si>
  <si>
    <t>OI_param_clmax_May</t>
  </si>
  <si>
    <t>Maximum Charge Limit (Cmax) Jun</t>
  </si>
  <si>
    <t>OI_param_clmax_Jun</t>
  </si>
  <si>
    <t>Maximum Charge Limit (Cmax) Jul</t>
  </si>
  <si>
    <t>OI_param_clmax_Jul</t>
  </si>
  <si>
    <t>Maximum Charge Limit (Cmax) Aug</t>
  </si>
  <si>
    <t>OI_param_clmax_Aug</t>
  </si>
  <si>
    <t>Maximum Charge Limit (Cmax) Sep</t>
  </si>
  <si>
    <t>OI_param_clmax_Sep</t>
  </si>
  <si>
    <t>Maximum Charge Limit (Cmax) Oct</t>
  </si>
  <si>
    <t>OI_param_clmax_Oct</t>
  </si>
  <si>
    <t>Maximum Charge Limit (Cmax) Nov</t>
  </si>
  <si>
    <t>OI_param_clmax_Nov</t>
  </si>
  <si>
    <t>Maximum Charge Limit (Cmax) Dec</t>
  </si>
  <si>
    <t>OI_param_clmax_Dec</t>
  </si>
  <si>
    <t>Minimum Charge Limit (Cmin)</t>
  </si>
  <si>
    <t>OI_param_clmin</t>
  </si>
  <si>
    <t>Minimum Charge Limit (Cmin) Seasonal Variation</t>
  </si>
  <si>
    <t>OI_param_clmin_var</t>
  </si>
  <si>
    <t>Minimum Charge Limit (Cmin) Jan</t>
  </si>
  <si>
    <t>OI_param_clmin_Jan</t>
  </si>
  <si>
    <t>Minimum Charge Limit (Cmin) Feb</t>
  </si>
  <si>
    <t>OI_param_clmin_Feb</t>
  </si>
  <si>
    <t>Minimum Charge Limit (Cmin) Mar</t>
  </si>
  <si>
    <t>OI_param_clmin_Mar</t>
  </si>
  <si>
    <t>Minimum Charge Limit (Cmin) Apr</t>
  </si>
  <si>
    <t>OI_param_clmin_Apr</t>
  </si>
  <si>
    <t>Minimum Charge Limit (Cmin) May</t>
  </si>
  <si>
    <t>OI_param_clmin_May</t>
  </si>
  <si>
    <t>Minimum Charge Limit (Cmin) Jun</t>
  </si>
  <si>
    <t>OI_param_clmin_Jun</t>
  </si>
  <si>
    <t>Minimum Charge Limit (Cmin) Jul</t>
  </si>
  <si>
    <t>OI_param_clmin_Jul</t>
  </si>
  <si>
    <t>Minimum Charge Limit (Cmin) Aug</t>
  </si>
  <si>
    <t>OI_param_clmin_Aug</t>
  </si>
  <si>
    <t>Minimum Charge Limit (Cmin) Sep</t>
  </si>
  <si>
    <t>OI_param_clmin_Sep</t>
  </si>
  <si>
    <t>Minimum Charge Limit (Cmin) Oct</t>
  </si>
  <si>
    <t>OI_param_clmin_Oct</t>
  </si>
  <si>
    <t>Minimum Charge Limit (Cmin) Nov</t>
  </si>
  <si>
    <t>OI_param_clmin_Nov</t>
  </si>
  <si>
    <t>Minimum Charge Limit (Cmin) Dec</t>
  </si>
  <si>
    <t>OI_param_clmin_Dec</t>
  </si>
  <si>
    <t>Average Charge Rate</t>
  </si>
  <si>
    <t>OI_param_acr</t>
  </si>
  <si>
    <t>Average Charge Rate Seasonal Variation</t>
  </si>
  <si>
    <t>OI_param_acr_var</t>
  </si>
  <si>
    <t>Average Charge Rate Jan</t>
  </si>
  <si>
    <t>OI_param_acr_Jan</t>
  </si>
  <si>
    <t>Average Charge Rate Feb</t>
  </si>
  <si>
    <t>OI_param_acr_Feb</t>
  </si>
  <si>
    <t>Average Charge Rate Mar</t>
  </si>
  <si>
    <t>OI_param_acr_Mar</t>
  </si>
  <si>
    <t>Average Charge Rate Apr</t>
  </si>
  <si>
    <t>OI_param_acr_Apr</t>
  </si>
  <si>
    <t>Average Charge Rate May</t>
  </si>
  <si>
    <t>OI_param_acr_May</t>
  </si>
  <si>
    <t>Average Charge Rate Jun</t>
  </si>
  <si>
    <t>OI_param_acr_Jun</t>
  </si>
  <si>
    <t>Average Charge Rate Jul</t>
  </si>
  <si>
    <t>OI_param_acr_Jul</t>
  </si>
  <si>
    <t>Average Charge Rate Aug</t>
  </si>
  <si>
    <t>OI_param_acr_Aug</t>
  </si>
  <si>
    <t>Average Charge Rate Sep</t>
  </si>
  <si>
    <t>OI_param_acr_Sep</t>
  </si>
  <si>
    <t>Average Charge Rate Oct</t>
  </si>
  <si>
    <t>OI_param_acr_Oct</t>
  </si>
  <si>
    <t>Average Charge Rate Nov</t>
  </si>
  <si>
    <t>OI_param_acr_Nov</t>
  </si>
  <si>
    <t>Average Charge Rate Dec</t>
  </si>
  <si>
    <t>OI_param_acr_Dec</t>
  </si>
  <si>
    <t>Minimum Duration for Full Charge (SoC_min to SoC_max)</t>
  </si>
  <si>
    <t>OI_param_mdfc</t>
  </si>
  <si>
    <t>Minimum Duration for Full Charge (SoC_min to SoC_max) Seasonal Variation</t>
  </si>
  <si>
    <t>OI_param_mdfc_var</t>
  </si>
  <si>
    <t>Minimum Duration for Full Charge (SoC_min to SoC_max) Jan</t>
  </si>
  <si>
    <t>OI_param_mdfc_Jan</t>
  </si>
  <si>
    <t>Minimum Duration for Full Charge (SoC_min to SoC_max) Feb</t>
  </si>
  <si>
    <t>OI_param_mdfc_Feb</t>
  </si>
  <si>
    <t>Minimum Duration for Full Charge (SoC_min to SoC_max) Mar</t>
  </si>
  <si>
    <t>OI_param_mdfc_Mar</t>
  </si>
  <si>
    <t>Minimum Duration for Full Charge (SoC_min to SoC_max) Apr</t>
  </si>
  <si>
    <t>OI_param_mdfc_Apr</t>
  </si>
  <si>
    <t>Minimum Duration for Full Charge (SoC_min to SoC_max) May</t>
  </si>
  <si>
    <t>OI_param_mdfc_May</t>
  </si>
  <si>
    <t>Minimum Duration for Full Charge (SoC_min to SoC_max) Jun</t>
  </si>
  <si>
    <t>OI_param_mdfc_Jun</t>
  </si>
  <si>
    <t>Minimum Duration for Full Charge (SoC_min to SoC_max) Jul</t>
  </si>
  <si>
    <t>OI_param_mdfc_Jul</t>
  </si>
  <si>
    <t>Minimum Duration for Full Charge (SoC_min to SoC_max) Aug</t>
  </si>
  <si>
    <t>OI_param_mdfc_Aug</t>
  </si>
  <si>
    <t>Minimum Duration for Full Charge (SoC_min to SoC_max) Sep</t>
  </si>
  <si>
    <t>OI_param_mdfc_Sep</t>
  </si>
  <si>
    <t>Minimum Duration for Full Charge (SoC_min to SoC_max) Oct</t>
  </si>
  <si>
    <t>OI_param_mdfc_Oct</t>
  </si>
  <si>
    <t>Minimum Duration for Full Charge (SoC_min to SoC_max) Nov</t>
  </si>
  <si>
    <t>OI_param_mdfc_Nov</t>
  </si>
  <si>
    <t>Minimum Duration for Full Charge (SoC_min to SoC_max) Dec</t>
  </si>
  <si>
    <t>OI_param_mdfc_Dec</t>
  </si>
  <si>
    <t>Incidental Load</t>
  </si>
  <si>
    <t>OI_param_il</t>
  </si>
  <si>
    <t>Incidental Load Seasonal Variation</t>
  </si>
  <si>
    <t>OI_param_il_var</t>
  </si>
  <si>
    <t>Incidental Load Jan</t>
  </si>
  <si>
    <t>OI_param_il_Jan</t>
  </si>
  <si>
    <t>Incidental Load Feb</t>
  </si>
  <si>
    <t>OI_param_il_Feb</t>
  </si>
  <si>
    <t>Incidental Load Mar</t>
  </si>
  <si>
    <t>OI_param_il_Mar</t>
  </si>
  <si>
    <t>Incidental Load Apr</t>
  </si>
  <si>
    <t>OI_param_il_Apr</t>
  </si>
  <si>
    <t>Incidental Load May</t>
  </si>
  <si>
    <t>OI_param_il_May</t>
  </si>
  <si>
    <t>Incidental Load Jun</t>
  </si>
  <si>
    <t>OI_param_il_Jun</t>
  </si>
  <si>
    <t>Incidental Load Jul</t>
  </si>
  <si>
    <t>OI_param_il_Jul</t>
  </si>
  <si>
    <t>Incidental Load Aug</t>
  </si>
  <si>
    <t>OI_param_il_Aug</t>
  </si>
  <si>
    <t>Incidental Load Sep</t>
  </si>
  <si>
    <t>OI_param_il_Sep</t>
  </si>
  <si>
    <t>Incidental Load Oct</t>
  </si>
  <si>
    <t>OI_param_il_Oct</t>
  </si>
  <si>
    <t>Incidental Load Nov</t>
  </si>
  <si>
    <t>OI_param_il_Nov</t>
  </si>
  <si>
    <t>Incidental Load Dec</t>
  </si>
  <si>
    <t>OI_param_il_Dec</t>
  </si>
  <si>
    <t>System Roundtrip Efficiency</t>
  </si>
  <si>
    <t>OI_param_srte</t>
  </si>
  <si>
    <t>Standby Self-discharge</t>
  </si>
  <si>
    <t>OI_param_ssd</t>
  </si>
  <si>
    <t>Average Annual Capacity Degradation</t>
  </si>
  <si>
    <t>OI_param_aacd</t>
  </si>
  <si>
    <t>Notification to Start Time</t>
  </si>
  <si>
    <t>OI_dtl_nst</t>
  </si>
  <si>
    <t>Time to Update Dispatch Schedule</t>
  </si>
  <si>
    <t>OI_dtl_tuds</t>
  </si>
  <si>
    <t>Minimum Run Time Per Charge Period</t>
  </si>
  <si>
    <t>OI_dtl_rtcpmin</t>
  </si>
  <si>
    <t>Minimum Run Time Per Discharge Period</t>
  </si>
  <si>
    <t>OI_dtl_rtdpmin</t>
  </si>
  <si>
    <t>Minimum Down Time Required Between Two Discharge Periods</t>
  </si>
  <si>
    <t>OI_dtl_dtrdpmin</t>
  </si>
  <si>
    <t>Minimum Down Time Required Between Two Charge Periods</t>
  </si>
  <si>
    <t>OI_dtl_dtrcpmin</t>
  </si>
  <si>
    <t>Dmin to Dmax (Discharge Ramp Rate)</t>
  </si>
  <si>
    <t>OI_rr_dtdrate</t>
  </si>
  <si>
    <t>Dmax to Dmin</t>
  </si>
  <si>
    <t>OI_rr_dtd</t>
  </si>
  <si>
    <t>Cmax to Cmin</t>
  </si>
  <si>
    <t>OI_rr_ctc</t>
  </si>
  <si>
    <t>Cmin to Cmax (Charge Ramp Rate)</t>
  </si>
  <si>
    <t>OI_rr_ctcrate</t>
  </si>
  <si>
    <t>Ramp Rate Reduction at High SoC Min</t>
  </si>
  <si>
    <t>OI_rr_rrrhighmin</t>
  </si>
  <si>
    <t>Ramp Rate Reduction at High SoC Max</t>
  </si>
  <si>
    <t>OI_rr_rrrhighmax</t>
  </si>
  <si>
    <t>Ramp Rate Reduction at High SoC Avg</t>
  </si>
  <si>
    <t>OI_rr_rrrhighavg</t>
  </si>
  <si>
    <t>Ramp Rate Reduction at High SoC Limit</t>
  </si>
  <si>
    <t>OI_rr_rrrhighlimit</t>
  </si>
  <si>
    <t>Ramp Rate Reduction at Low SoC Min</t>
  </si>
  <si>
    <t>OI_rr_rrrlowmin</t>
  </si>
  <si>
    <t>Ramp Rate Reduction at Low SoC Max</t>
  </si>
  <si>
    <t>OI_rr_rrrlowmax</t>
  </si>
  <si>
    <t>Ramp Rate Reduction at Low SoC Avg</t>
  </si>
  <si>
    <t>OI_rr_rrrlowavg</t>
  </si>
  <si>
    <t>Ramp Rate Reduction at Low SoC Limit</t>
  </si>
  <si>
    <t>OI_rr_rrrlowlimit</t>
  </si>
  <si>
    <t>Maximum Daily Cycles</t>
  </si>
  <si>
    <t>OI_cl_maxdc</t>
  </si>
  <si>
    <t>Maximum Monthly Cycles</t>
  </si>
  <si>
    <t>OI_cl_maxmc</t>
  </si>
  <si>
    <t>Maximum Annual Cycles</t>
  </si>
  <si>
    <t>OI_cl_maxac</t>
  </si>
  <si>
    <t>Maximum Lifetime Cycles (Contract Term)</t>
  </si>
  <si>
    <t>OI_cl_maxlc</t>
  </si>
  <si>
    <t>Ramp Rate Spinning</t>
  </si>
  <si>
    <t>OI_as_rrspin</t>
  </si>
  <si>
    <t>Minimum Operating Range Spinning</t>
  </si>
  <si>
    <t>OI_as_minorspin</t>
  </si>
  <si>
    <t>Maximum Operating Range Spinning</t>
  </si>
  <si>
    <t>OI_as_maxorspin</t>
  </si>
  <si>
    <t>Beginning Energy Level Spinning</t>
  </si>
  <si>
    <t>OI_as_belspin</t>
  </si>
  <si>
    <t>Ancillary Services Capacity Spinning</t>
  </si>
  <si>
    <t>OI_as_ascspin</t>
  </si>
  <si>
    <t>Emergency Response Rate</t>
  </si>
  <si>
    <t>OI_as_errspin</t>
  </si>
  <si>
    <t>Yes/No</t>
  </si>
  <si>
    <t>&lt;Choose&gt;</t>
  </si>
  <si>
    <t>Yes</t>
  </si>
  <si>
    <t>No</t>
  </si>
  <si>
    <t>Facility Status</t>
  </si>
  <si>
    <t>New</t>
  </si>
  <si>
    <t>Existing</t>
  </si>
  <si>
    <t>100% site control</t>
  </si>
  <si>
    <t xml:space="preserve">Have majority control (&gt;=50% and &lt;100%) over the project site and gen-tie line corridor connecting the facility to the grid </t>
  </si>
  <si>
    <t xml:space="preserve">Have minority control (&lt;50%) over the project site and gen-tie corridor to the grid; </t>
  </si>
  <si>
    <t>Identified Location But No Site Control Yet</t>
  </si>
  <si>
    <t>No project site identified</t>
  </si>
  <si>
    <t xml:space="preserve">Identified and completed all permitting requirements </t>
  </si>
  <si>
    <t>Identified all permitting requirements and have started permitting process</t>
  </si>
  <si>
    <t>Identified but have not started permitting process</t>
  </si>
  <si>
    <t>Have not identified necessary permits or started the permitting process</t>
  </si>
  <si>
    <t>Project Finance</t>
  </si>
  <si>
    <t xml:space="preserve">Completely secured through balance sheet financing or contract financing; </t>
  </si>
  <si>
    <t>Identified financing resources though not fully secured</t>
  </si>
  <si>
    <t>Project not fully funded and still identifying funding sources</t>
  </si>
  <si>
    <t>Biological</t>
  </si>
  <si>
    <t>Chemical</t>
  </si>
  <si>
    <t>Electrical</t>
  </si>
  <si>
    <t>Electrochemical</t>
  </si>
  <si>
    <t>Mechanical</t>
  </si>
  <si>
    <t>Thermal</t>
  </si>
  <si>
    <t>Other</t>
  </si>
  <si>
    <t>Storage Unit Technology</t>
  </si>
  <si>
    <t/>
  </si>
  <si>
    <t>Solid-electrode Batteries</t>
  </si>
  <si>
    <t>Flow Batteries</t>
  </si>
  <si>
    <t>Fuel Cell</t>
  </si>
  <si>
    <t>Lead-Acid</t>
  </si>
  <si>
    <t>Vanadium Redox</t>
  </si>
  <si>
    <t>Lithium-Ion</t>
  </si>
  <si>
    <t>Zinc-Bromine</t>
  </si>
  <si>
    <t>Sodium Sulfur</t>
  </si>
  <si>
    <t>Iron-Chromium</t>
  </si>
  <si>
    <t>Zinc Air</t>
  </si>
  <si>
    <t>Lithium Ion Battery Type</t>
  </si>
  <si>
    <t>Lithium cobalt oxide</t>
  </si>
  <si>
    <t>Lithium manganese oxide</t>
  </si>
  <si>
    <t>Lithium iron phosphate</t>
  </si>
  <si>
    <t>Lithium nickel manganese cobalt oxide</t>
  </si>
  <si>
    <t>Lithium nickel cobalt aluminum oxide</t>
  </si>
  <si>
    <t>Lithium titanate</t>
  </si>
  <si>
    <t>Interconnection Application Status</t>
  </si>
  <si>
    <t>Request Submitted</t>
  </si>
  <si>
    <t>FES Pending (Optional)</t>
  </si>
  <si>
    <t>FES Complete (Optional)</t>
  </si>
  <si>
    <t>SRIS Pending</t>
  </si>
  <si>
    <t>SRIS Complete</t>
  </si>
  <si>
    <t>none</t>
  </si>
  <si>
    <t>Utility Interconnection Status</t>
  </si>
  <si>
    <t>Studies pending</t>
  </si>
  <si>
    <t>Studies complete</t>
  </si>
  <si>
    <t>Upgrades constructed</t>
  </si>
  <si>
    <t>Project in service</t>
  </si>
  <si>
    <t>Full Capacity / Energy Delivery</t>
  </si>
  <si>
    <t>Energy Only</t>
  </si>
  <si>
    <t>Partial Deliverability</t>
  </si>
  <si>
    <t>Full Capacity Delivery</t>
  </si>
  <si>
    <t>NYISO Zones</t>
  </si>
  <si>
    <t>G</t>
  </si>
  <si>
    <t>H</t>
  </si>
  <si>
    <t>I</t>
  </si>
  <si>
    <t>J</t>
  </si>
  <si>
    <t>Interconnection Level</t>
  </si>
  <si>
    <t>Transmission</t>
  </si>
  <si>
    <t>Distribution</t>
  </si>
  <si>
    <t>Project Development Experience</t>
  </si>
  <si>
    <t>Have completed one or more storage projects in commercial operation</t>
  </si>
  <si>
    <t>Have completed one or more energy storage projects as pilot / demonstration</t>
  </si>
  <si>
    <t>Have not completed an energy storage project in commercial operation or a pilot, but have completed one or more electricity generation projects</t>
  </si>
  <si>
    <t>In development of a project, No project development experience</t>
  </si>
  <si>
    <t>Operation and Management Experience</t>
  </si>
  <si>
    <t xml:space="preserve">Have experience operating a commercial energy storage resource </t>
  </si>
  <si>
    <t>Have experience operating a pilot energy storage resource</t>
  </si>
  <si>
    <t>No experience operating an energy storage resource, but have experience operating a commercial electricity generation resource</t>
  </si>
  <si>
    <t>Have no experience operating a resource</t>
  </si>
  <si>
    <t>Equipment List</t>
  </si>
  <si>
    <t>Cells</t>
  </si>
  <si>
    <t>Modules</t>
  </si>
  <si>
    <t>Battery Management System</t>
  </si>
  <si>
    <t>Power Conversion System/Inverter</t>
  </si>
  <si>
    <t>Controller</t>
  </si>
  <si>
    <t>Software</t>
  </si>
  <si>
    <t>Thermal Management</t>
  </si>
  <si>
    <t>Racking</t>
  </si>
  <si>
    <t>Enclosure</t>
  </si>
  <si>
    <t>Jurisdiction</t>
  </si>
  <si>
    <t>NYISO (Federal)</t>
  </si>
  <si>
    <t>Utility (State)</t>
  </si>
  <si>
    <t>Scheduling and Dispatch Rights</t>
  </si>
  <si>
    <t>ConEd</t>
  </si>
  <si>
    <t>O&amp;R</t>
  </si>
  <si>
    <t>NYISO Load Areas</t>
  </si>
  <si>
    <t>Not Applicable</t>
  </si>
  <si>
    <t>B-01B-Borough Hall</t>
  </si>
  <si>
    <t>Cuddebackville</t>
  </si>
  <si>
    <t>B-02B-Park Slope</t>
  </si>
  <si>
    <t>Hartley Road</t>
  </si>
  <si>
    <t>B-03B-Crown Heights</t>
  </si>
  <si>
    <t>B-04B-Flatbush</t>
  </si>
  <si>
    <t>B-05B-Ridgewood</t>
  </si>
  <si>
    <t>B-06B-Williamsburg</t>
  </si>
  <si>
    <t>B-07B-Ocean Parkway</t>
  </si>
  <si>
    <t>B-08B-Bay Ridge</t>
  </si>
  <si>
    <t>B-09B-Richmond Hill</t>
  </si>
  <si>
    <t>B-10B-Sheepshead Bay</t>
  </si>
  <si>
    <t>B-11B-Brighton Beach</t>
  </si>
  <si>
    <t>B-12B-Prospect Park</t>
  </si>
  <si>
    <t>Q-01Q-Long Island City</t>
  </si>
  <si>
    <t>Q-02Q-Borden</t>
  </si>
  <si>
    <t>Q-03Q-Rego Park</t>
  </si>
  <si>
    <t>Q-05Q-Jamaica</t>
  </si>
  <si>
    <t>Q-06Q-Maspeth</t>
  </si>
  <si>
    <t>Q-07Q-Flushing</t>
  </si>
  <si>
    <t>Q-09Q-Jackson Heights</t>
  </si>
  <si>
    <t>Q-10Q-Sunnyside</t>
  </si>
  <si>
    <t>X-01X-Riverdale</t>
  </si>
  <si>
    <t>X-02X-West Bronx</t>
  </si>
  <si>
    <t>X-03X-Fordham</t>
  </si>
  <si>
    <t>X-04X-Central Bronx</t>
  </si>
  <si>
    <t>X-05X-Northeast Bronx</t>
  </si>
  <si>
    <t>X-07X-Southeast Bronx</t>
  </si>
  <si>
    <t>M-01M-Washington Heights</t>
  </si>
  <si>
    <t>M-02M-Harlem</t>
  </si>
  <si>
    <t>M-03M-Yorkville</t>
  </si>
  <si>
    <t>M-04M-Grand Central</t>
  </si>
  <si>
    <t>M-05M-Times Square</t>
  </si>
  <si>
    <t>M-06M-Madison Square</t>
  </si>
  <si>
    <t>M-07M-Cooper Square</t>
  </si>
  <si>
    <t>M-08M-City Hall</t>
  </si>
  <si>
    <t>M-09M-Hunter</t>
  </si>
  <si>
    <t>M-10M-Sheridan Sq.</t>
  </si>
  <si>
    <t>M-11M-Plaza</t>
  </si>
  <si>
    <t>M-12M-Empire</t>
  </si>
  <si>
    <t>M-13M-Chelsea</t>
  </si>
  <si>
    <t>M-14M-Randall's Island</t>
  </si>
  <si>
    <t>M-15M-Cortlandt</t>
  </si>
  <si>
    <t>M-16M-Pennsylvania</t>
  </si>
  <si>
    <t>M-17M-Central Park</t>
  </si>
  <si>
    <t>M-18M-Battery Park City</t>
  </si>
  <si>
    <t>M-19M-Rockefeller Center</t>
  </si>
  <si>
    <t>M-20M-Sutton</t>
  </si>
  <si>
    <t>M-21M-Columbus Circle</t>
  </si>
  <si>
    <t>M-22M-Canal</t>
  </si>
  <si>
    <t>M-23M-Lincoln Square</t>
  </si>
  <si>
    <t>M-24M-Lenox Hill</t>
  </si>
  <si>
    <t>M-25M-Turtle Bay</t>
  </si>
  <si>
    <t>M-26M-Greeley Square</t>
  </si>
  <si>
    <t>M-27M-Fulton</t>
  </si>
  <si>
    <t>M-28M-Herald Square</t>
  </si>
  <si>
    <t>M-29M-Beekman</t>
  </si>
  <si>
    <t>M-30M-Fashion</t>
  </si>
  <si>
    <t>M-31M-Roosevelt</t>
  </si>
  <si>
    <t>M-32M-Greenwich</t>
  </si>
  <si>
    <t>M-34M-Park Place</t>
  </si>
  <si>
    <t>M-39M-Hudson</t>
  </si>
  <si>
    <t>M-40M-Bowling Green</t>
  </si>
  <si>
    <t>M-41M-Freedom</t>
  </si>
  <si>
    <t>M-43M-Kips Bay</t>
  </si>
  <si>
    <t>M-44M-Triboro</t>
  </si>
  <si>
    <t>M-53M-Midtown West</t>
  </si>
  <si>
    <t>W-01W/09W-Washington Street</t>
  </si>
  <si>
    <t>W-02W-Rockview</t>
  </si>
  <si>
    <t>W-06W-Ossining West</t>
  </si>
  <si>
    <t>W-07W-Millwood West</t>
  </si>
  <si>
    <t>W-08W-White Plains</t>
  </si>
  <si>
    <t>W-10W/15W-Granite Hill</t>
  </si>
  <si>
    <t>W-11W-Pleasantville</t>
  </si>
  <si>
    <t>W-12W-Elmsford No. 2</t>
  </si>
  <si>
    <t>W-13W-Buchanan</t>
  </si>
  <si>
    <t>W-17W-Harrison</t>
  </si>
  <si>
    <t>W-19W-Grasslands</t>
  </si>
  <si>
    <t>W-20W-Cedar St</t>
  </si>
  <si>
    <t>R-01R-Fresh Kills</t>
  </si>
  <si>
    <t>R-02R-Fox Hills</t>
  </si>
  <si>
    <t>R-03R-Wainwright</t>
  </si>
  <si>
    <t>R-04R-Willowbrook</t>
  </si>
  <si>
    <t>R-05R-Woodrow</t>
  </si>
  <si>
    <t>Interconnecting Substation</t>
  </si>
  <si>
    <t>Substation A</t>
  </si>
  <si>
    <t>Substation B</t>
  </si>
  <si>
    <t>B</t>
  </si>
  <si>
    <t>Missing</t>
  </si>
  <si>
    <t>Completed</t>
  </si>
  <si>
    <t>Msg 1</t>
  </si>
  <si>
    <t>Bidder Proposal: Energy Storage Offer Form</t>
  </si>
  <si>
    <t>National Grid</t>
  </si>
  <si>
    <t>Legend</t>
  </si>
  <si>
    <t>Entry required as number or text. For numerical values, no $, %, or other symbols required.</t>
  </si>
  <si>
    <t>Choice from drop-down list required. Choices may trigger additional entries to be completed.</t>
  </si>
  <si>
    <t>Indicates additional definitions or notes are provided.</t>
  </si>
  <si>
    <t>Offer Form Tabs</t>
  </si>
  <si>
    <t>Instructions</t>
  </si>
  <si>
    <t>1. File should be completed using Excel 2010 or later.</t>
  </si>
  <si>
    <t>2. Set Calculation Options in "Formulas" to Automatic</t>
  </si>
  <si>
    <t>3. Please fill out requested entries, indicated by colored cells.</t>
  </si>
  <si>
    <t>4. Cells will function best if filled out left to right and top to bottom unless otherwise specified.</t>
  </si>
  <si>
    <t>5. Backgrounds in completed cells change to white. A completed tab will be verified by the validation text in the header.</t>
  </si>
  <si>
    <t>6. Please complete separate worksheets for each bid.</t>
  </si>
  <si>
    <t>Bidder Proposal: Bidder Information</t>
  </si>
  <si>
    <t>Counterparty/ Legal Entity Name</t>
  </si>
  <si>
    <t>Street Address</t>
  </si>
  <si>
    <t>City</t>
  </si>
  <si>
    <t>State</t>
  </si>
  <si>
    <t>Zip Code</t>
  </si>
  <si>
    <t>Country</t>
  </si>
  <si>
    <t>Website</t>
  </si>
  <si>
    <t>Authorized Contact #1</t>
  </si>
  <si>
    <t>Authorized Contact #2</t>
  </si>
  <si>
    <t>First Name</t>
  </si>
  <si>
    <t>Last Name</t>
  </si>
  <si>
    <t>Title</t>
  </si>
  <si>
    <t>Phone 1</t>
  </si>
  <si>
    <t>Phone 2</t>
  </si>
  <si>
    <t>Email</t>
  </si>
  <si>
    <t>Project Developer</t>
  </si>
  <si>
    <t>Owners of Bidder Entity</t>
  </si>
  <si>
    <t>Name</t>
  </si>
  <si>
    <t>Ownership %</t>
  </si>
  <si>
    <t>Website URL</t>
  </si>
  <si>
    <t>Bidder Proposal: Project Information</t>
  </si>
  <si>
    <t>Latitude</t>
  </si>
  <si>
    <t>Longitude</t>
  </si>
  <si>
    <t>Interconnection Queue Number (if applicable)</t>
  </si>
  <si>
    <t>Opportunity Name</t>
  </si>
  <si>
    <t>Technical Specifications</t>
  </si>
  <si>
    <t>Other Method:</t>
  </si>
  <si>
    <t>Other Technology:</t>
  </si>
  <si>
    <t>Other Sub-Technology:</t>
  </si>
  <si>
    <t>Equipment Selection</t>
  </si>
  <si>
    <r>
      <rPr>
        <b/>
        <sz val="11"/>
        <color theme="1"/>
        <rFont val="Calibri"/>
        <family val="2"/>
        <scheme val="minor"/>
      </rPr>
      <t>Storage</t>
    </r>
    <r>
      <rPr>
        <sz val="11"/>
        <color theme="1"/>
        <rFont val="Calibri"/>
        <family val="2"/>
        <scheme val="minor"/>
      </rPr>
      <t xml:space="preserve"> Manufacturer:</t>
    </r>
  </si>
  <si>
    <r>
      <rPr>
        <b/>
        <sz val="11"/>
        <color theme="1"/>
        <rFont val="Calibri"/>
        <family val="2"/>
        <scheme val="minor"/>
      </rPr>
      <t>Storage</t>
    </r>
    <r>
      <rPr>
        <sz val="11"/>
        <color theme="1"/>
        <rFont val="Calibri"/>
        <family val="2"/>
        <scheme val="minor"/>
      </rPr>
      <t xml:space="preserve"> Model:</t>
    </r>
  </si>
  <si>
    <r>
      <rPr>
        <b/>
        <sz val="11"/>
        <color theme="1"/>
        <rFont val="Calibri"/>
        <family val="2"/>
        <scheme val="minor"/>
      </rPr>
      <t>Inverter</t>
    </r>
    <r>
      <rPr>
        <sz val="11"/>
        <color theme="1"/>
        <rFont val="Calibri"/>
        <family val="2"/>
        <scheme val="minor"/>
      </rPr>
      <t xml:space="preserve"> Manufacturer:</t>
    </r>
  </si>
  <si>
    <r>
      <rPr>
        <b/>
        <sz val="11"/>
        <color theme="1"/>
        <rFont val="Calibri"/>
        <family val="2"/>
        <scheme val="minor"/>
      </rPr>
      <t>Inverter</t>
    </r>
    <r>
      <rPr>
        <sz val="11"/>
        <color theme="1"/>
        <rFont val="Calibri"/>
        <family val="2"/>
        <scheme val="minor"/>
      </rPr>
      <t xml:space="preserve"> Model:</t>
    </r>
  </si>
  <si>
    <r>
      <rPr>
        <b/>
        <sz val="11"/>
        <color theme="1"/>
        <rFont val="Calibri"/>
        <family val="2"/>
        <scheme val="minor"/>
      </rPr>
      <t>Revenue Grade Meter</t>
    </r>
    <r>
      <rPr>
        <sz val="11"/>
        <color theme="1"/>
        <rFont val="Calibri"/>
        <family val="2"/>
        <scheme val="minor"/>
      </rPr>
      <t xml:space="preserve"> Manufacturer:</t>
    </r>
  </si>
  <si>
    <r>
      <rPr>
        <b/>
        <sz val="11"/>
        <color theme="1"/>
        <rFont val="Calibri"/>
        <family val="2"/>
        <scheme val="minor"/>
      </rPr>
      <t>Revenue Grade Meter</t>
    </r>
    <r>
      <rPr>
        <sz val="11"/>
        <color theme="1"/>
        <rFont val="Calibri"/>
        <family val="2"/>
        <scheme val="minor"/>
      </rPr>
      <t xml:space="preserve"> Model:</t>
    </r>
  </si>
  <si>
    <r>
      <rPr>
        <b/>
        <sz val="11"/>
        <color theme="1"/>
        <rFont val="Calibri"/>
        <family val="2"/>
        <scheme val="minor"/>
      </rPr>
      <t>Controller</t>
    </r>
    <r>
      <rPr>
        <sz val="11"/>
        <color theme="1"/>
        <rFont val="Calibri"/>
        <family val="2"/>
        <scheme val="minor"/>
      </rPr>
      <t xml:space="preserve"> Manufacturer:</t>
    </r>
  </si>
  <si>
    <r>
      <rPr>
        <b/>
        <sz val="11"/>
        <color theme="1"/>
        <rFont val="Calibri"/>
        <family val="2"/>
        <scheme val="minor"/>
      </rPr>
      <t>Controller</t>
    </r>
    <r>
      <rPr>
        <sz val="11"/>
        <color theme="1"/>
        <rFont val="Calibri"/>
        <family val="2"/>
        <scheme val="minor"/>
      </rPr>
      <t xml:space="preserve"> Model:</t>
    </r>
  </si>
  <si>
    <t>Additional Equipment/Balance of Systems:</t>
  </si>
  <si>
    <t>(1) Equipment Category:</t>
  </si>
  <si>
    <t>(1) Manufacturer:</t>
  </si>
  <si>
    <t>(1) Model:</t>
  </si>
  <si>
    <t>(2) Equipment Category:</t>
  </si>
  <si>
    <t>(2) Manufacturer:</t>
  </si>
  <si>
    <t>(2) Model:</t>
  </si>
  <si>
    <t>(3) Equipment Category:</t>
  </si>
  <si>
    <t>(3) Manufacturer:</t>
  </si>
  <si>
    <t>(3) Model:</t>
  </si>
  <si>
    <t>(4) Equipment Category:</t>
  </si>
  <si>
    <t>(4) Manufacturer:</t>
  </si>
  <si>
    <t>(4) Model:</t>
  </si>
  <si>
    <t>Parameters in this section are for the entire energy storage system. For reporting below, bidder should normalize 100% State of Charge (SoC) to be defined as point of where system has Energy Storage Capability fully available discharge and 0% State of Charge where energy stored at 100% SoC reaches 0 MWh.</t>
  </si>
  <si>
    <t>Complete each row by first making a selection in the Seasonal Variation column. If "Yes," enter values for each month. If "No," enter a single value in the Overall Value column.</t>
  </si>
  <si>
    <t>Seasonal Variation?</t>
  </si>
  <si>
    <t>Parameter</t>
  </si>
  <si>
    <t>Overall Value</t>
  </si>
  <si>
    <t>Unit(s)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</si>
  <si>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</si>
  <si>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</si>
  <si>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</si>
  <si>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</si>
  <si>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</si>
  <si>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</si>
  <si>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</si>
  <si>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</si>
  <si>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</si>
  <si>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</si>
  <si>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</si>
  <si>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</si>
  <si>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MVA</t>
  </si>
  <si>
    <t>MWh</t>
  </si>
  <si>
    <t>MW</t>
  </si>
  <si>
    <t>Optimal Rest State of Charge</t>
  </si>
  <si>
    <t>Optimal Operational Mid Point SoC</t>
  </si>
  <si>
    <t>Maximum Real Power Discharge Limit (Dmax_p)</t>
  </si>
  <si>
    <t>Minimum Real Power Discharge Limit (Dmin_p)</t>
  </si>
  <si>
    <t>Maximum Reactive Power Injection Limit (Dmax_q)</t>
  </si>
  <si>
    <t>MVAR</t>
  </si>
  <si>
    <t>Minimum Reactive Power Injection Limit (Dmin_q)</t>
  </si>
  <si>
    <t>Maximum Duration for Full Reactive Power Injection</t>
  </si>
  <si>
    <t>Hrs</t>
  </si>
  <si>
    <t>Minimum Duration for Full Discharge at Dmax_p (SoC_max to SoC_min)</t>
  </si>
  <si>
    <t>Maximum Real Power Charge Limit (Cmax_p)</t>
  </si>
  <si>
    <t>Minimum Real Power Charge Limit (Cmin_p)</t>
  </si>
  <si>
    <t>Maximum Reactive Power Withdraw Limit (Cmax_q)</t>
  </si>
  <si>
    <t>Minimum Reactive Power Withdraw Limit (Cmin_q)</t>
  </si>
  <si>
    <t>Maximum Duration for Full Reactive Power Withdraw</t>
  </si>
  <si>
    <t>Minimum Duration for Full Charge at Cmax_p (SoC_min to SoC_max)</t>
  </si>
  <si>
    <t>kW</t>
  </si>
  <si>
    <t>%</t>
  </si>
  <si>
    <t>% / hr</t>
  </si>
  <si>
    <t>Estimated System Availability</t>
  </si>
  <si>
    <t>%/year</t>
  </si>
  <si>
    <t>Dispatch Time Limitations</t>
  </si>
  <si>
    <t>Min</t>
  </si>
  <si>
    <t>Ramp Rates</t>
  </si>
  <si>
    <t>MW / min</t>
  </si>
  <si>
    <t>Dmax_p to Dmin_p</t>
  </si>
  <si>
    <t>Cmax_p to Cmin_p</t>
  </si>
  <si>
    <t>Dmin_q to Dmax_q (Discharge Ramp Rate)</t>
  </si>
  <si>
    <t>MVAR / min</t>
  </si>
  <si>
    <t>Dmax_q to Dmin_q</t>
  </si>
  <si>
    <t>Cmax_q to Cmin_q</t>
  </si>
  <si>
    <t>Cmin_q to Cmax_q (Charge Ramp Rate)</t>
  </si>
  <si>
    <t>Ramp Rate Reduction at High SoC</t>
  </si>
  <si>
    <t>Min %</t>
  </si>
  <si>
    <t>Max %</t>
  </si>
  <si>
    <t>Avg %</t>
  </si>
  <si>
    <t>High SoC (MWh)</t>
  </si>
  <si>
    <t>Ramp Rate Reduction at Low SoC</t>
  </si>
  <si>
    <t>Low SoC (MWh)</t>
  </si>
  <si>
    <t>Cycle Limitations</t>
  </si>
  <si>
    <t>#</t>
  </si>
  <si>
    <t>MWh Throughput Limitations</t>
  </si>
  <si>
    <t>Maximum Daily MWh Throughput</t>
  </si>
  <si>
    <t>Maximum Monthly MWh Throughput</t>
  </si>
  <si>
    <t>Maximum Annual MWh Throughput</t>
  </si>
  <si>
    <t>Maximum Lifetime MWh Throughput (Contract Term)</t>
  </si>
  <si>
    <t>Ancillary Services</t>
  </si>
  <si>
    <t>Spinning / Regulation</t>
  </si>
  <si>
    <t>Normal Response Rate</t>
  </si>
  <si>
    <t>MW/min</t>
  </si>
  <si>
    <t>Minimum Operating Range</t>
  </si>
  <si>
    <t>Maximum Operating Range</t>
  </si>
  <si>
    <t>Beginning Energy Level</t>
  </si>
  <si>
    <t>Ancillary Services Capacity</t>
  </si>
  <si>
    <t>Regulation Response Rate</t>
  </si>
  <si>
    <t>MW/6sec</t>
  </si>
  <si>
    <t>Cost Item</t>
  </si>
  <si>
    <t>Combined
Present Value (PV) Cost ($)*</t>
  </si>
  <si>
    <t>Rationale for Cost Synergies</t>
  </si>
  <si>
    <t>Comments</t>
  </si>
  <si>
    <t>Interconnection equipment and interconnection process costs and associated upgrades will be identified by National Grid for the winning bidder/s</t>
  </si>
  <si>
    <t>Power Converstion System</t>
  </si>
  <si>
    <t>Software &amp; Controls</t>
  </si>
  <si>
    <t>Comunication Equipment/service</t>
  </si>
  <si>
    <t>Balance of System</t>
  </si>
  <si>
    <t>Switchear</t>
  </si>
  <si>
    <t>Main Step up Transformer</t>
  </si>
  <si>
    <t>Special tools</t>
  </si>
  <si>
    <t>Spare Parts</t>
  </si>
  <si>
    <t>Subtotal</t>
  </si>
  <si>
    <t>Site-Related Engineering &amp; Design</t>
  </si>
  <si>
    <t>Site Related Engineering &amp; Design Project Management</t>
  </si>
  <si>
    <t>Electrical Design</t>
  </si>
  <si>
    <t>Permitting and zoning costs</t>
  </si>
  <si>
    <t>Civil Design</t>
  </si>
  <si>
    <t>Expenses</t>
  </si>
  <si>
    <t>On-Site Civil/Mechanical/Electrical Construction</t>
  </si>
  <si>
    <t>Construction Project Management</t>
  </si>
  <si>
    <t>Foundation</t>
  </si>
  <si>
    <t>Trenching &amp; underground cable install, terminations</t>
  </si>
  <si>
    <t>Services</t>
  </si>
  <si>
    <t>Overall Project Management</t>
  </si>
  <si>
    <t>Delivery</t>
  </si>
  <si>
    <t>Commissioning &amp; Testing</t>
  </si>
  <si>
    <t>Training</t>
  </si>
  <si>
    <t>Operation % Maintenance*</t>
  </si>
  <si>
    <t>Capacity Maintenance Guarantee*</t>
  </si>
  <si>
    <t>Preventative Maintenance Service*</t>
  </si>
  <si>
    <t>*For these items, please provide the total PV assuming a 6.85% discount rate.</t>
  </si>
  <si>
    <t>Energy Storage System (ESS)</t>
  </si>
  <si>
    <t>ESS Design, Procurement, &amp; Integration</t>
  </si>
  <si>
    <t>Energy System</t>
  </si>
  <si>
    <t>ESS Installation</t>
  </si>
  <si>
    <t>TOTAL Project Funding for up to 7 years (PV)</t>
  </si>
  <si>
    <t>Standard Warranty (up to 7-yr)*</t>
  </si>
  <si>
    <t>Monthly Payments (PV)</t>
  </si>
  <si>
    <t>Dispatchable Capacity</t>
  </si>
  <si>
    <t>kWh</t>
  </si>
  <si>
    <t>Total Active Power Capacity</t>
  </si>
  <si>
    <t>Station Ancillary load supply and delivery costs</t>
  </si>
  <si>
    <t>National Grid will determine and cover the storage charging costs</t>
  </si>
  <si>
    <t>Expected Capacity Degradation per Year</t>
  </si>
  <si>
    <t xml:space="preserve"> % of MW)</t>
  </si>
  <si>
    <t>% of MWh</t>
  </si>
  <si>
    <t>Maximum available Fault Current</t>
  </si>
  <si>
    <t>kA</t>
  </si>
  <si>
    <t>Guranteed Storage Power Capacity (MW)</t>
  </si>
  <si>
    <t>Storage Energy Capacity (MWh)</t>
  </si>
  <si>
    <t>Maximum Power for Ancillary Load</t>
  </si>
  <si>
    <t>Average Daily Load for Ancillary Load</t>
  </si>
  <si>
    <t>Expected Commercial Operation Date (COD)</t>
  </si>
  <si>
    <t>Guaranteed Round-Trip Efficiency</t>
  </si>
  <si>
    <t>Maximum Lifetime Cycles</t>
  </si>
  <si>
    <t>Dmin_p to Dmax_p (Ramp Up Rate)</t>
  </si>
  <si>
    <t>Cmin_p to Cmax_p (Ramp Down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</si>
</sst>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99FF"/>
      </left>
      <right/>
      <top style="medium">
        <color rgb="FF0099FF"/>
      </top>
      <bottom/>
      <diagonal/>
    </border>
    <border>
      <left/>
      <right/>
      <top style="medium">
        <color rgb="FF0099FF"/>
      </top>
      <bottom/>
      <diagonal/>
    </border>
    <border>
      <left/>
      <right style="medium">
        <color rgb="FF0099FF"/>
      </right>
      <top style="medium">
        <color rgb="FF0099FF"/>
      </top>
      <bottom/>
      <diagonal/>
    </border>
    <border>
      <left style="medium">
        <color rgb="FF0099FF"/>
      </left>
      <right/>
      <top/>
      <bottom style="medium">
        <color rgb="FF0099FF"/>
      </bottom>
      <diagonal/>
    </border>
    <border>
      <left/>
      <right/>
      <top/>
      <bottom style="medium">
        <color rgb="FF0099FF"/>
      </bottom>
      <diagonal/>
    </border>
    <border>
      <left/>
      <right style="medium">
        <color rgb="FF0099FF"/>
      </right>
      <top/>
      <bottom style="medium">
        <color rgb="FF0099FF"/>
      </bottom>
      <diagonal/>
    </border>
    <border>
      <left/>
      <right/>
      <top/>
      <bottom style="thin">
        <color rgb="FF0099FF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2" fillId="0" borderId="4" xfId="0" applyFont="1" applyBorder="1"/>
    <xf numFmtId="0" fontId="2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/>
    <xf numFmtId="0" fontId="1" fillId="0" borderId="0" xfId="0" applyFont="1" applyBorder="1"/>
    <xf numFmtId="0" fontId="0" fillId="0" borderId="0" xfId="0" applyFill="1" applyBorder="1" applyAlignment="1"/>
    <xf numFmtId="0" fontId="1" fillId="0" borderId="9" xfId="0" applyFont="1" applyBorder="1"/>
    <xf numFmtId="0" fontId="3" fillId="0" borderId="10" xfId="0" applyFont="1" applyBorder="1"/>
    <xf numFmtId="0" fontId="0" fillId="0" borderId="11" xfId="0" applyBorder="1"/>
    <xf numFmtId="0" fontId="3" fillId="0" borderId="0" xfId="0" applyFont="1" applyBorder="1"/>
    <xf numFmtId="0" fontId="0" fillId="0" borderId="0" xfId="0" quotePrefix="1"/>
    <xf numFmtId="0" fontId="3" fillId="0" borderId="18" xfId="0" applyFont="1" applyFill="1" applyBorder="1"/>
    <xf numFmtId="0" fontId="0" fillId="0" borderId="15" xfId="0" applyBorder="1"/>
    <xf numFmtId="0" fontId="0" fillId="0" borderId="17" xfId="0" applyBorder="1"/>
    <xf numFmtId="0" fontId="0" fillId="0" borderId="20" xfId="0" applyBorder="1"/>
    <xf numFmtId="0" fontId="4" fillId="0" borderId="13" xfId="0" applyFont="1" applyBorder="1"/>
    <xf numFmtId="0" fontId="0" fillId="0" borderId="14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0" fillId="0" borderId="6" xfId="0" applyBorder="1" applyAlignment="1">
      <alignment horizontal="left"/>
    </xf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6" xfId="0" applyBorder="1" applyProtection="1"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6" fillId="0" borderId="0" xfId="0" applyFont="1" applyBorder="1" applyProtection="1"/>
    <xf numFmtId="0" fontId="6" fillId="0" borderId="5" xfId="0" applyFont="1" applyBorder="1" applyProtection="1"/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Fill="1" applyBorder="1" applyProtection="1"/>
    <xf numFmtId="0" fontId="1" fillId="0" borderId="4" xfId="0" applyFont="1" applyBorder="1"/>
    <xf numFmtId="0" fontId="1" fillId="0" borderId="6" xfId="0" applyFont="1" applyBorder="1"/>
    <xf numFmtId="0" fontId="0" fillId="0" borderId="0" xfId="0" applyProtection="1"/>
    <xf numFmtId="0" fontId="4" fillId="0" borderId="13" xfId="0" applyFont="1" applyFill="1" applyBorder="1" applyProtection="1"/>
    <xf numFmtId="0" fontId="0" fillId="0" borderId="14" xfId="0" applyFill="1" applyBorder="1" applyProtection="1"/>
    <xf numFmtId="0" fontId="0" fillId="0" borderId="15" xfId="0" applyFill="1" applyBorder="1" applyProtection="1"/>
    <xf numFmtId="0" fontId="0" fillId="0" borderId="17" xfId="0" applyFill="1" applyBorder="1" applyProtection="1"/>
    <xf numFmtId="0" fontId="3" fillId="0" borderId="18" xfId="0" applyFont="1" applyFill="1" applyBorder="1" applyProtection="1"/>
    <xf numFmtId="0" fontId="0" fillId="0" borderId="19" xfId="0" applyFill="1" applyBorder="1" applyProtection="1"/>
    <xf numFmtId="0" fontId="0" fillId="0" borderId="20" xfId="0" applyFill="1" applyBorder="1" applyProtection="1"/>
    <xf numFmtId="0" fontId="1" fillId="2" borderId="1" xfId="0" applyFont="1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0" borderId="0" xfId="0" applyBorder="1" applyProtection="1"/>
    <xf numFmtId="0" fontId="0" fillId="0" borderId="4" xfId="0" applyFont="1" applyBorder="1" applyProtection="1"/>
    <xf numFmtId="0" fontId="0" fillId="0" borderId="4" xfId="0" applyBorder="1" applyProtection="1"/>
    <xf numFmtId="0" fontId="0" fillId="0" borderId="0" xfId="0" applyFill="1" applyBorder="1" applyAlignment="1" applyProtection="1"/>
    <xf numFmtId="0" fontId="0" fillId="0" borderId="5" xfId="0" applyBorder="1" applyProtection="1"/>
    <xf numFmtId="0" fontId="9" fillId="0" borderId="0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1" fillId="0" borderId="0" xfId="0" applyFont="1" applyProtection="1"/>
    <xf numFmtId="0" fontId="9" fillId="2" borderId="2" xfId="0" applyFont="1" applyFill="1" applyBorder="1" applyProtection="1"/>
    <xf numFmtId="0" fontId="9" fillId="0" borderId="0" xfId="0" applyFont="1" applyFill="1" applyBorder="1" applyProtection="1"/>
    <xf numFmtId="0" fontId="7" fillId="0" borderId="4" xfId="0" applyFont="1" applyBorder="1" applyProtection="1"/>
    <xf numFmtId="0" fontId="0" fillId="0" borderId="7" xfId="0" applyFill="1" applyBorder="1" applyAlignment="1" applyProtection="1"/>
    <xf numFmtId="0" fontId="9" fillId="0" borderId="7" xfId="0" applyFont="1" applyBorder="1" applyProtection="1"/>
    <xf numFmtId="0" fontId="0" fillId="0" borderId="5" xfId="0" applyFill="1" applyBorder="1" applyProtection="1"/>
    <xf numFmtId="0" fontId="1" fillId="0" borderId="4" xfId="0" applyFont="1" applyBorder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wrapText="1"/>
    </xf>
    <xf numFmtId="0" fontId="1" fillId="2" borderId="4" xfId="0" applyFont="1" applyFill="1" applyBorder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0" xfId="0" applyFont="1" applyFill="1" applyBorder="1" applyProtection="1"/>
    <xf numFmtId="0" fontId="1" fillId="2" borderId="5" xfId="0" applyFont="1" applyFill="1" applyBorder="1" applyProtection="1"/>
    <xf numFmtId="0" fontId="0" fillId="0" borderId="4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1" fillId="0" borderId="0" xfId="0" applyFont="1" applyFill="1" applyBorder="1" applyProtection="1"/>
    <xf numFmtId="0" fontId="0" fillId="0" borderId="6" xfId="0" applyFill="1" applyBorder="1" applyProtection="1"/>
    <xf numFmtId="0" fontId="11" fillId="0" borderId="14" xfId="0" applyFont="1" applyBorder="1"/>
    <xf numFmtId="0" fontId="11" fillId="0" borderId="0" xfId="0" applyFont="1" applyBorder="1"/>
    <xf numFmtId="0" fontId="9" fillId="0" borderId="0" xfId="0" applyFont="1" applyFill="1" applyBorder="1" applyProtection="1">
      <protection locked="0"/>
    </xf>
    <xf numFmtId="0" fontId="9" fillId="0" borderId="7" xfId="0" applyFont="1" applyFill="1" applyBorder="1" applyProtection="1">
      <protection locked="0"/>
    </xf>
    <xf numFmtId="0" fontId="9" fillId="2" borderId="3" xfId="0" applyFont="1" applyFill="1" applyBorder="1" applyProtection="1"/>
    <xf numFmtId="0" fontId="13" fillId="0" borderId="0" xfId="0" applyFont="1" applyBorder="1" applyProtection="1"/>
    <xf numFmtId="0" fontId="0" fillId="0" borderId="0" xfId="0" applyNumberFormat="1" applyAlignment="1">
      <alignment horizontal="left"/>
    </xf>
    <xf numFmtId="0" fontId="15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top" wrapText="1"/>
    </xf>
    <xf numFmtId="0" fontId="0" fillId="0" borderId="0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164" fontId="10" fillId="0" borderId="12" xfId="1" applyNumberFormat="1" applyFont="1" applyFill="1" applyBorder="1" applyAlignment="1">
      <alignment horizontal="left"/>
    </xf>
    <xf numFmtId="0" fontId="10" fillId="0" borderId="12" xfId="1" applyNumberFormat="1" applyFont="1" applyFill="1" applyBorder="1" applyAlignment="1">
      <alignment horizontal="left"/>
    </xf>
    <xf numFmtId="164" fontId="10" fillId="3" borderId="12" xfId="1" applyNumberFormat="1" applyFont="1" applyFill="1" applyBorder="1" applyAlignment="1">
      <alignment horizontal="left"/>
    </xf>
    <xf numFmtId="0" fontId="10" fillId="3" borderId="12" xfId="1" applyNumberFormat="1" applyFont="1" applyFill="1" applyBorder="1" applyAlignment="1">
      <alignment horizontal="left"/>
    </xf>
    <xf numFmtId="164" fontId="15" fillId="0" borderId="12" xfId="1" applyNumberFormat="1" applyFont="1" applyFill="1" applyBorder="1" applyAlignment="1">
      <alignment horizontal="left"/>
    </xf>
    <xf numFmtId="0" fontId="15" fillId="0" borderId="12" xfId="1" applyNumberFormat="1" applyFont="1" applyFill="1" applyBorder="1" applyAlignment="1">
      <alignment horizontal="left"/>
    </xf>
    <xf numFmtId="164" fontId="1" fillId="0" borderId="12" xfId="1" applyNumberFormat="1" applyFont="1" applyFill="1" applyBorder="1" applyAlignment="1">
      <alignment horizontal="left"/>
    </xf>
    <xf numFmtId="0" fontId="1" fillId="0" borderId="12" xfId="1" applyNumberFormat="1" applyFont="1" applyFill="1" applyBorder="1" applyAlignment="1">
      <alignment horizontal="left"/>
    </xf>
    <xf numFmtId="0" fontId="1" fillId="0" borderId="22" xfId="0" applyNumberFormat="1" applyFont="1" applyBorder="1" applyAlignment="1">
      <alignment horizontal="left"/>
    </xf>
    <xf numFmtId="0" fontId="0" fillId="0" borderId="22" xfId="0" applyNumberFormat="1" applyFont="1" applyBorder="1" applyAlignment="1">
      <alignment horizontal="left"/>
    </xf>
    <xf numFmtId="0" fontId="15" fillId="0" borderId="22" xfId="0" applyNumberFormat="1" applyFont="1" applyBorder="1" applyAlignment="1">
      <alignment horizontal="left"/>
    </xf>
    <xf numFmtId="0" fontId="8" fillId="0" borderId="22" xfId="0" applyNumberFormat="1" applyFont="1" applyBorder="1" applyAlignment="1">
      <alignment horizontal="left"/>
    </xf>
    <xf numFmtId="0" fontId="1" fillId="0" borderId="22" xfId="0" applyNumberFormat="1" applyFont="1" applyFill="1" applyBorder="1" applyAlignment="1">
      <alignment horizontal="left"/>
    </xf>
    <xf numFmtId="0" fontId="0" fillId="0" borderId="23" xfId="0" applyNumberFormat="1" applyBorder="1" applyAlignment="1">
      <alignment horizontal="left"/>
    </xf>
    <xf numFmtId="0" fontId="13" fillId="0" borderId="22" xfId="0" applyNumberFormat="1" applyFont="1" applyFill="1" applyBorder="1" applyAlignment="1">
      <alignment horizontal="left"/>
    </xf>
    <xf numFmtId="0" fontId="15" fillId="0" borderId="22" xfId="0" applyNumberFormat="1" applyFont="1" applyFill="1" applyBorder="1" applyAlignment="1">
      <alignment horizontal="left"/>
    </xf>
    <xf numFmtId="0" fontId="15" fillId="0" borderId="23" xfId="0" applyNumberFormat="1" applyFont="1" applyBorder="1" applyAlignment="1">
      <alignment horizontal="left"/>
    </xf>
    <xf numFmtId="0" fontId="16" fillId="0" borderId="22" xfId="0" applyNumberFormat="1" applyFont="1" applyFill="1" applyBorder="1" applyAlignment="1">
      <alignment horizontal="left"/>
    </xf>
    <xf numFmtId="0" fontId="0" fillId="0" borderId="23" xfId="0" applyNumberFormat="1" applyBorder="1" applyAlignment="1">
      <alignment horizontal="left" wrapText="1"/>
    </xf>
    <xf numFmtId="0" fontId="0" fillId="0" borderId="23" xfId="0" applyBorder="1"/>
    <xf numFmtId="0" fontId="1" fillId="0" borderId="22" xfId="0" applyFont="1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3" fillId="0" borderId="4" xfId="0" applyFont="1" applyBorder="1" applyProtection="1"/>
    <xf numFmtId="0" fontId="13" fillId="0" borderId="0" xfId="0" applyFont="1" applyFill="1" applyBorder="1" applyProtection="1"/>
    <xf numFmtId="0" fontId="13" fillId="0" borderId="6" xfId="0" applyFont="1" applyBorder="1" applyProtection="1"/>
    <xf numFmtId="0" fontId="16" fillId="2" borderId="1" xfId="0" applyFont="1" applyFill="1" applyBorder="1" applyProtection="1"/>
    <xf numFmtId="0" fontId="13" fillId="0" borderId="5" xfId="0" applyFont="1" applyBorder="1" applyProtection="1"/>
    <xf numFmtId="0" fontId="13" fillId="0" borderId="5" xfId="0" applyFont="1" applyFill="1" applyBorder="1" applyProtection="1"/>
    <xf numFmtId="0" fontId="13" fillId="0" borderId="8" xfId="0" applyFont="1" applyFill="1" applyBorder="1" applyProtection="1"/>
    <xf numFmtId="0" fontId="12" fillId="0" borderId="0" xfId="0" applyFont="1" applyFill="1" applyBorder="1" applyProtection="1"/>
    <xf numFmtId="0" fontId="4" fillId="0" borderId="27" xfId="0" applyFont="1" applyFill="1" applyBorder="1" applyProtection="1"/>
    <xf numFmtId="0" fontId="11" fillId="0" borderId="28" xfId="0" applyFont="1" applyBorder="1"/>
    <xf numFmtId="0" fontId="0" fillId="0" borderId="28" xfId="0" applyFill="1" applyBorder="1" applyProtection="1"/>
    <xf numFmtId="0" fontId="0" fillId="0" borderId="29" xfId="0" applyFill="1" applyBorder="1" applyProtection="1"/>
    <xf numFmtId="0" fontId="11" fillId="0" borderId="31" xfId="0" applyFont="1" applyBorder="1"/>
    <xf numFmtId="0" fontId="0" fillId="0" borderId="31" xfId="0" applyFill="1" applyBorder="1" applyProtection="1"/>
    <xf numFmtId="0" fontId="0" fillId="0" borderId="32" xfId="0" applyFill="1" applyBorder="1" applyProtection="1"/>
    <xf numFmtId="0" fontId="4" fillId="0" borderId="33" xfId="0" applyFont="1" applyFill="1" applyBorder="1" applyProtection="1"/>
    <xf numFmtId="0" fontId="11" fillId="0" borderId="34" xfId="0" applyFont="1" applyBorder="1"/>
    <xf numFmtId="0" fontId="0" fillId="0" borderId="34" xfId="0" applyFill="1" applyBorder="1" applyProtection="1"/>
    <xf numFmtId="0" fontId="0" fillId="0" borderId="35" xfId="0" applyFill="1" applyBorder="1" applyProtection="1"/>
    <xf numFmtId="0" fontId="11" fillId="0" borderId="37" xfId="0" applyFont="1" applyBorder="1"/>
    <xf numFmtId="0" fontId="0" fillId="0" borderId="37" xfId="0" applyFill="1" applyBorder="1" applyProtection="1"/>
    <xf numFmtId="0" fontId="0" fillId="0" borderId="38" xfId="0" applyFill="1" applyBorder="1" applyProtection="1"/>
    <xf numFmtId="0" fontId="0" fillId="0" borderId="39" xfId="0" applyNumberFormat="1" applyBorder="1" applyAlignment="1">
      <alignment horizontal="left"/>
    </xf>
    <xf numFmtId="0" fontId="16" fillId="4" borderId="22" xfId="0" applyFont="1" applyFill="1" applyBorder="1"/>
    <xf numFmtId="0" fontId="16" fillId="4" borderId="12" xfId="0" applyFont="1" applyFill="1" applyBorder="1" applyAlignment="1">
      <alignment horizontal="center" wrapText="1"/>
    </xf>
    <xf numFmtId="0" fontId="16" fillId="4" borderId="12" xfId="0" applyFont="1" applyFill="1" applyBorder="1" applyAlignment="1">
      <alignment horizontal="center"/>
    </xf>
    <xf numFmtId="0" fontId="16" fillId="4" borderId="23" xfId="0" applyFont="1" applyFill="1" applyBorder="1"/>
    <xf numFmtId="0" fontId="13" fillId="0" borderId="8" xfId="0" applyFont="1" applyBorder="1" applyProtection="1"/>
    <xf numFmtId="0" fontId="13" fillId="5" borderId="4" xfId="0" applyFont="1" applyFill="1" applyBorder="1" applyProtection="1"/>
    <xf numFmtId="0" fontId="0" fillId="5" borderId="4" xfId="0" applyFill="1" applyBorder="1" applyProtection="1"/>
    <xf numFmtId="14" fontId="12" fillId="0" borderId="30" xfId="0" applyNumberFormat="1" applyFont="1" applyFill="1" applyBorder="1" applyProtection="1"/>
    <xf numFmtId="14" fontId="12" fillId="0" borderId="36" xfId="0" applyNumberFormat="1" applyFont="1" applyFill="1" applyBorder="1" applyProtection="1"/>
    <xf numFmtId="14" fontId="12" fillId="0" borderId="16" xfId="0" applyNumberFormat="1" applyFont="1" applyFill="1" applyBorder="1" applyProtection="1"/>
    <xf numFmtId="0" fontId="0" fillId="0" borderId="4" xfId="0" applyFill="1" applyBorder="1" applyProtection="1"/>
    <xf numFmtId="0" fontId="0" fillId="0" borderId="4" xfId="0" applyFont="1" applyFill="1" applyBorder="1" applyProtection="1"/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0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 wrapText="1"/>
    </xf>
    <xf numFmtId="0" fontId="0" fillId="0" borderId="23" xfId="0" applyNumberForma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97"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bgColor auto="1"/>
        </patternFill>
      </fill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bgColor auto="1"/>
        </patternFill>
      </fill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bgColor auto="1"/>
        </patternFill>
      </fill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bgColor auto="1"/>
        </patternFill>
      </fill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bgColor auto="1"/>
        </patternFill>
      </fill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bgColor auto="1"/>
        </patternFill>
      </fill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bgColor auto="1"/>
        </patternFill>
      </fill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bgColor auto="1"/>
        </patternFill>
      </fill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bgColor auto="1"/>
        </patternFill>
      </fill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bgColor auto="1"/>
        </patternFill>
      </fill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bgColor auto="1"/>
        </patternFill>
      </fill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bgColor auto="1"/>
        </patternFill>
      </fill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bgColor auto="1"/>
        </patternFill>
      </fill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bgColor auto="1"/>
        </patternFill>
      </fill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color theme="0"/>
      </font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theme="9" tint="0.3999450666829432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color auto="1"/>
      </font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auto="1"/>
      </font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theme="9" tint="0.3999450666829432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color auto="1"/>
      </font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auto="1"/>
      </font>
    </dxf>
    <dxf>
      <fill>
        <patternFill>
          <bgColor theme="9" tint="0.3999450666829432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theme="9" tint="0.3999450666829432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9" tint="0.3999450666829432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theme="9" tint="0.3999450666829432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rgb="FFFFFF0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monc/Desktop/Nantucket%20ES%20Project/Vendor%20Meetings/Proposal%20Review%20Meeting%20Documents%20-%20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gbr/Desktop/Master%20Library/ESS/ES%20Bulk%20Dispatch%20Rights%20Procurement/Other%20JU%20RFPs/ConEd_OR/appendix-b-offer-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Items"/>
      <sheetName val="Commercial Bid Template-Revised"/>
      <sheetName val="Technical Spec Review Sheet"/>
      <sheetName val="List of RFP Specifications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COMP</v>
          </cell>
        </row>
        <row r="2">
          <cell r="A2" t="str">
            <v>NON-COMP</v>
          </cell>
        </row>
        <row r="3">
          <cell r="A3" t="str">
            <v>INCOMPLETE</v>
          </cell>
        </row>
        <row r="4">
          <cell r="A4" t="str">
            <v>CLARIFY</v>
          </cell>
        </row>
        <row r="5">
          <cell r="A5" t="str">
            <v>N/A</v>
          </cell>
        </row>
        <row r="10">
          <cell r="A10" t="str">
            <v>ACCEPT</v>
          </cell>
        </row>
        <row r="11">
          <cell r="A11" t="str">
            <v>EXCEPT</v>
          </cell>
        </row>
        <row r="12">
          <cell r="A12" t="str">
            <v>ALTERNATE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_Fields"/>
      <sheetName val="Lists"/>
      <sheetName val="Validation"/>
      <sheetName val="Instructions"/>
      <sheetName val="Bidder Information"/>
      <sheetName val="Project Information"/>
      <sheetName val="Operating Information"/>
      <sheetName val="Project Cost and Offer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teven Hopengarten" id="{57C97D9B-6D74-4D35-BA98-FFCF7E5AB1A1}" userId="" providerId="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7" dT="2019-07-09T13:43:55.93" personId="{57C97D9B-6D74-4D35-BA98-FFCF7E5AB1A1}" id="{89BFBCFA-94DE-4F7D-9414-78123764136F}">
    <text xml:space="preserve">Proposal to add the following 3 paths for payment (to be combined as bidder sees fit):
-Annual Payments
-Profit sharing (%)
-Initial Investment from National Grid
</text>
  </threadedComment>
</ThreadedComment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347"/>
  <sheetViews>
    <sheetView topLeftCell="A104" zoomScale="90" zoomScaleNormal="90" workbookViewId="0">
      <selection activeCell="D120" sqref="D120"/>
    </sheetView>
  </sheetViews>
  <sheetFormatPr defaultRowHeight="15" x14ac:dyDescent="0.25"/>
  <cols>
    <col min="1" max="1" width="20.7109375" bestFit="1" customWidth="1"/>
    <col min="2" max="2" width="42.7109375" bestFit="1" customWidth="1"/>
    <col min="3" max="3" width="18.7109375" customWidth="1"/>
    <col min="4" max="4" width="13.71093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 t="s">
        <v>5</v>
      </c>
      <c r="B2" t="s">
        <v>6</v>
      </c>
      <c r="C2" t="s">
        <v>7</v>
      </c>
      <c r="D2">
        <f>Part_pi_1</f>
        <v>0</v>
      </c>
      <c r="E2" t="b">
        <f t="shared" ref="E2:E8" si="0">(D2=0)</f>
        <v>1</v>
      </c>
    </row>
    <row r="3" spans="1:5" x14ac:dyDescent="0.25">
      <c r="A3" s="1" t="s">
        <v>5</v>
      </c>
      <c r="B3" t="s">
        <v>8</v>
      </c>
      <c r="C3" t="s">
        <v>9</v>
      </c>
      <c r="D3">
        <f>Part_pi_2</f>
        <v>0</v>
      </c>
      <c r="E3" t="b">
        <f t="shared" si="0"/>
        <v>1</v>
      </c>
    </row>
    <row r="4" spans="1:5" x14ac:dyDescent="0.25">
      <c r="A4" s="1" t="s">
        <v>5</v>
      </c>
      <c r="B4" t="s">
        <v>10</v>
      </c>
      <c r="C4" t="s">
        <v>11</v>
      </c>
      <c r="D4">
        <f>Part_pi_3</f>
        <v>0</v>
      </c>
      <c r="E4" t="b">
        <f t="shared" si="0"/>
        <v>1</v>
      </c>
    </row>
    <row r="5" spans="1:5" x14ac:dyDescent="0.25">
      <c r="A5" s="1" t="s">
        <v>5</v>
      </c>
      <c r="B5" t="s">
        <v>12</v>
      </c>
      <c r="C5" t="s">
        <v>13</v>
      </c>
      <c r="D5">
        <f>Part_pi_4</f>
        <v>0</v>
      </c>
      <c r="E5" t="b">
        <f t="shared" si="0"/>
        <v>1</v>
      </c>
    </row>
    <row r="6" spans="1:5" x14ac:dyDescent="0.25">
      <c r="A6" s="1" t="s">
        <v>5</v>
      </c>
      <c r="B6" t="s">
        <v>14</v>
      </c>
      <c r="C6" t="s">
        <v>15</v>
      </c>
      <c r="D6">
        <f>Part_pi_5</f>
        <v>0</v>
      </c>
      <c r="E6" t="b">
        <f t="shared" si="0"/>
        <v>1</v>
      </c>
    </row>
    <row r="7" spans="1:5" x14ac:dyDescent="0.25">
      <c r="A7" s="1" t="s">
        <v>5</v>
      </c>
      <c r="B7" t="s">
        <v>16</v>
      </c>
      <c r="C7" t="s">
        <v>17</v>
      </c>
      <c r="D7">
        <f>Part_pi_6</f>
        <v>0</v>
      </c>
      <c r="E7" t="b">
        <f t="shared" si="0"/>
        <v>1</v>
      </c>
    </row>
    <row r="8" spans="1:5" x14ac:dyDescent="0.25">
      <c r="A8" s="1" t="s">
        <v>5</v>
      </c>
      <c r="B8" t="s">
        <v>18</v>
      </c>
      <c r="C8" t="s">
        <v>19</v>
      </c>
      <c r="D8">
        <f>Part_pi_7</f>
        <v>0</v>
      </c>
      <c r="E8" t="b">
        <f t="shared" si="0"/>
        <v>1</v>
      </c>
    </row>
    <row r="9" spans="1:5" x14ac:dyDescent="0.25">
      <c r="A9" s="1" t="s">
        <v>5</v>
      </c>
      <c r="B9" s="6" t="s">
        <v>20</v>
      </c>
      <c r="C9" t="s">
        <v>21</v>
      </c>
      <c r="D9" t="str">
        <f>Part_pi_8</f>
        <v>&lt;Choose&gt;</v>
      </c>
      <c r="E9" t="b">
        <f>(D9="&lt;Choose&gt;")</f>
        <v>1</v>
      </c>
    </row>
    <row r="10" spans="1:5" x14ac:dyDescent="0.25">
      <c r="A10" s="1" t="s">
        <v>5</v>
      </c>
      <c r="B10" t="s">
        <v>22</v>
      </c>
      <c r="C10" t="s">
        <v>23</v>
      </c>
      <c r="D10">
        <f>Part_pi_9</f>
        <v>0</v>
      </c>
      <c r="E10" t="b">
        <f t="shared" ref="E10:E27" si="1">(D10=0)</f>
        <v>1</v>
      </c>
    </row>
    <row r="11" spans="1:5" x14ac:dyDescent="0.25">
      <c r="A11" s="1" t="s">
        <v>5</v>
      </c>
      <c r="B11" t="s">
        <v>24</v>
      </c>
      <c r="C11" t="s">
        <v>25</v>
      </c>
      <c r="D11">
        <f>Part_pi_10</f>
        <v>0</v>
      </c>
      <c r="E11" t="b">
        <f t="shared" si="1"/>
        <v>1</v>
      </c>
    </row>
    <row r="12" spans="1:5" x14ac:dyDescent="0.25">
      <c r="A12" s="1" t="s">
        <v>5</v>
      </c>
      <c r="B12" t="s">
        <v>26</v>
      </c>
      <c r="C12" t="s">
        <v>27</v>
      </c>
      <c r="D12">
        <f>Part_pi_11</f>
        <v>0</v>
      </c>
      <c r="E12" t="b">
        <f t="shared" si="1"/>
        <v>1</v>
      </c>
    </row>
    <row r="13" spans="1:5" x14ac:dyDescent="0.25">
      <c r="A13" s="1" t="s">
        <v>5</v>
      </c>
      <c r="B13" t="s">
        <v>28</v>
      </c>
      <c r="C13" t="s">
        <v>29</v>
      </c>
      <c r="D13">
        <f>Part_pi_12</f>
        <v>0</v>
      </c>
      <c r="E13" t="b">
        <f t="shared" si="1"/>
        <v>1</v>
      </c>
    </row>
    <row r="14" spans="1:5" x14ac:dyDescent="0.25">
      <c r="A14" s="1" t="s">
        <v>5</v>
      </c>
      <c r="B14" t="s">
        <v>30</v>
      </c>
      <c r="C14" t="s">
        <v>31</v>
      </c>
      <c r="D14">
        <f>Part_pi_13</f>
        <v>0</v>
      </c>
      <c r="E14" t="b">
        <f t="shared" si="1"/>
        <v>1</v>
      </c>
    </row>
    <row r="15" spans="1:5" x14ac:dyDescent="0.25">
      <c r="A15" s="1" t="s">
        <v>5</v>
      </c>
      <c r="B15" t="s">
        <v>32</v>
      </c>
      <c r="C15" t="s">
        <v>33</v>
      </c>
      <c r="D15">
        <f>Part_pi_14</f>
        <v>0</v>
      </c>
      <c r="E15" t="b">
        <f t="shared" si="1"/>
        <v>1</v>
      </c>
    </row>
    <row r="16" spans="1:5" x14ac:dyDescent="0.25">
      <c r="A16" s="1" t="s">
        <v>5</v>
      </c>
      <c r="B16" t="s">
        <v>34</v>
      </c>
      <c r="C16" t="s">
        <v>35</v>
      </c>
      <c r="D16">
        <f>Part_pi_15</f>
        <v>0</v>
      </c>
      <c r="E16" t="b">
        <f t="shared" si="1"/>
        <v>1</v>
      </c>
    </row>
    <row r="17" spans="1:5" x14ac:dyDescent="0.25">
      <c r="A17" s="1" t="s">
        <v>5</v>
      </c>
      <c r="B17" t="s">
        <v>36</v>
      </c>
      <c r="C17" t="s">
        <v>37</v>
      </c>
      <c r="D17">
        <f>Part_pi_16</f>
        <v>0</v>
      </c>
      <c r="E17" t="b">
        <f t="shared" si="1"/>
        <v>1</v>
      </c>
    </row>
    <row r="18" spans="1:5" x14ac:dyDescent="0.25">
      <c r="A18" s="1" t="s">
        <v>5</v>
      </c>
      <c r="B18" t="s">
        <v>38</v>
      </c>
      <c r="C18" t="s">
        <v>39</v>
      </c>
      <c r="D18">
        <f>Part_pi_17</f>
        <v>0</v>
      </c>
      <c r="E18" t="b">
        <f t="shared" si="1"/>
        <v>1</v>
      </c>
    </row>
    <row r="19" spans="1:5" x14ac:dyDescent="0.25">
      <c r="A19" s="1" t="s">
        <v>5</v>
      </c>
      <c r="B19" t="s">
        <v>40</v>
      </c>
      <c r="C19" t="s">
        <v>41</v>
      </c>
      <c r="D19">
        <f>Part_pi_18</f>
        <v>0</v>
      </c>
      <c r="E19" t="b">
        <f t="shared" si="1"/>
        <v>1</v>
      </c>
    </row>
    <row r="20" spans="1:5" x14ac:dyDescent="0.25">
      <c r="A20" s="1" t="s">
        <v>5</v>
      </c>
      <c r="B20" t="s">
        <v>42</v>
      </c>
      <c r="C20" t="s">
        <v>43</v>
      </c>
      <c r="D20">
        <f>Part_pi_19</f>
        <v>0</v>
      </c>
      <c r="E20" t="b">
        <f t="shared" si="1"/>
        <v>1</v>
      </c>
    </row>
    <row r="21" spans="1:5" x14ac:dyDescent="0.25">
      <c r="A21" s="1" t="s">
        <v>5</v>
      </c>
      <c r="B21" t="s">
        <v>44</v>
      </c>
      <c r="C21" t="s">
        <v>45</v>
      </c>
      <c r="D21">
        <f>Part_pi_20</f>
        <v>0</v>
      </c>
      <c r="E21" t="b">
        <f t="shared" si="1"/>
        <v>1</v>
      </c>
    </row>
    <row r="22" spans="1:5" x14ac:dyDescent="0.25">
      <c r="A22" s="1" t="s">
        <v>5</v>
      </c>
      <c r="B22" t="s">
        <v>46</v>
      </c>
      <c r="C22" t="s">
        <v>47</v>
      </c>
      <c r="D22">
        <f>Part_pd_1</f>
        <v>0</v>
      </c>
      <c r="E22" t="b">
        <f t="shared" si="1"/>
        <v>1</v>
      </c>
    </row>
    <row r="23" spans="1:5" x14ac:dyDescent="0.25">
      <c r="A23" s="1" t="s">
        <v>5</v>
      </c>
      <c r="B23" t="s">
        <v>48</v>
      </c>
      <c r="C23" t="s">
        <v>49</v>
      </c>
      <c r="D23">
        <f>Part_pd_2</f>
        <v>0</v>
      </c>
      <c r="E23" t="b">
        <f t="shared" si="1"/>
        <v>1</v>
      </c>
    </row>
    <row r="24" spans="1:5" x14ac:dyDescent="0.25">
      <c r="A24" s="1" t="s">
        <v>5</v>
      </c>
      <c r="B24" t="s">
        <v>50</v>
      </c>
      <c r="C24" t="s">
        <v>51</v>
      </c>
      <c r="D24">
        <f>Part_pd_3</f>
        <v>0</v>
      </c>
      <c r="E24" t="b">
        <f t="shared" si="1"/>
        <v>1</v>
      </c>
    </row>
    <row r="25" spans="1:5" x14ac:dyDescent="0.25">
      <c r="A25" s="1" t="s">
        <v>5</v>
      </c>
      <c r="B25" t="s">
        <v>52</v>
      </c>
      <c r="C25" t="s">
        <v>53</v>
      </c>
      <c r="D25">
        <f>Part_pd_4</f>
        <v>0</v>
      </c>
      <c r="E25" t="b">
        <f t="shared" si="1"/>
        <v>1</v>
      </c>
    </row>
    <row r="26" spans="1:5" x14ac:dyDescent="0.25">
      <c r="A26" s="1" t="s">
        <v>5</v>
      </c>
      <c r="B26" t="s">
        <v>54</v>
      </c>
      <c r="C26" t="s">
        <v>55</v>
      </c>
      <c r="D26">
        <f>Part_pd_5</f>
        <v>0</v>
      </c>
      <c r="E26" t="b">
        <f t="shared" si="1"/>
        <v>1</v>
      </c>
    </row>
    <row r="27" spans="1:5" x14ac:dyDescent="0.25">
      <c r="A27" s="1" t="s">
        <v>5</v>
      </c>
      <c r="B27" t="s">
        <v>56</v>
      </c>
      <c r="C27" t="s">
        <v>57</v>
      </c>
      <c r="D27">
        <f>Part_pd_6</f>
        <v>0</v>
      </c>
      <c r="E27" t="b">
        <f t="shared" si="1"/>
        <v>1</v>
      </c>
    </row>
    <row r="28" spans="1:5" x14ac:dyDescent="0.25">
      <c r="A28" s="1" t="s">
        <v>5</v>
      </c>
      <c r="B28" t="s">
        <v>20</v>
      </c>
      <c r="C28" t="s">
        <v>58</v>
      </c>
      <c r="D28" t="str">
        <f>Part_pd_7</f>
        <v>&lt;Choose&gt;</v>
      </c>
      <c r="E28" t="b">
        <f>(D28="&lt;Choose&gt;")</f>
        <v>1</v>
      </c>
    </row>
    <row r="29" spans="1:5" x14ac:dyDescent="0.25">
      <c r="A29" s="1" t="s">
        <v>5</v>
      </c>
      <c r="B29" t="s">
        <v>59</v>
      </c>
      <c r="C29" t="s">
        <v>60</v>
      </c>
      <c r="D29">
        <f>Part_pd_8</f>
        <v>0</v>
      </c>
      <c r="E29" t="b">
        <f>(D29=0)</f>
        <v>1</v>
      </c>
    </row>
    <row r="30" spans="1:5" x14ac:dyDescent="0.25">
      <c r="A30" s="1" t="s">
        <v>5</v>
      </c>
      <c r="B30" t="s">
        <v>61</v>
      </c>
      <c r="C30" t="s">
        <v>62</v>
      </c>
      <c r="D30" t="e">
        <f>Part_part_1</f>
        <v>#REF!</v>
      </c>
      <c r="E30" t="e">
        <f>(D30="&lt;Choose&gt;")</f>
        <v>#REF!</v>
      </c>
    </row>
    <row r="31" spans="1:5" x14ac:dyDescent="0.25">
      <c r="A31" s="1" t="s">
        <v>5</v>
      </c>
      <c r="B31" t="s">
        <v>63</v>
      </c>
      <c r="C31" t="s">
        <v>64</v>
      </c>
      <c r="D31" t="e">
        <f>Part_part_2</f>
        <v>#REF!</v>
      </c>
      <c r="E31" t="e">
        <f>(D31="&lt;Choose&gt;")</f>
        <v>#REF!</v>
      </c>
    </row>
    <row r="32" spans="1:5" x14ac:dyDescent="0.25">
      <c r="A32" s="1" t="s">
        <v>5</v>
      </c>
      <c r="B32" t="s">
        <v>65</v>
      </c>
      <c r="C32" t="s">
        <v>66</v>
      </c>
      <c r="D32" t="e">
        <f>Part_part_3</f>
        <v>#REF!</v>
      </c>
      <c r="E32" t="e">
        <f>(D32="&lt;Choose&gt;")</f>
        <v>#REF!</v>
      </c>
    </row>
    <row r="33" spans="1:5" x14ac:dyDescent="0.25">
      <c r="A33" s="1" t="s">
        <v>5</v>
      </c>
      <c r="B33" t="s">
        <v>67</v>
      </c>
      <c r="C33" t="s">
        <v>68</v>
      </c>
      <c r="D33">
        <f>Part_own_1</f>
        <v>0</v>
      </c>
      <c r="E33" t="b">
        <f>(D33=0)</f>
        <v>1</v>
      </c>
    </row>
    <row r="34" spans="1:5" x14ac:dyDescent="0.25">
      <c r="A34" s="1" t="s">
        <v>5</v>
      </c>
      <c r="B34" t="s">
        <v>69</v>
      </c>
      <c r="C34" t="s">
        <v>70</v>
      </c>
      <c r="D34">
        <f>Part_own_2</f>
        <v>0</v>
      </c>
      <c r="E34" t="b">
        <f>(D34=0)</f>
        <v>1</v>
      </c>
    </row>
    <row r="35" spans="1:5" x14ac:dyDescent="0.25">
      <c r="A35" s="1" t="s">
        <v>5</v>
      </c>
      <c r="B35" t="s">
        <v>71</v>
      </c>
      <c r="C35" t="s">
        <v>72</v>
      </c>
      <c r="D35">
        <f>Part_own_3</f>
        <v>0</v>
      </c>
      <c r="E35" t="b">
        <f>(D35=0)</f>
        <v>1</v>
      </c>
    </row>
    <row r="36" spans="1:5" x14ac:dyDescent="0.25">
      <c r="A36" s="1" t="s">
        <v>5</v>
      </c>
      <c r="B36" t="s">
        <v>73</v>
      </c>
      <c r="C36" t="s">
        <v>74</v>
      </c>
      <c r="D36">
        <f>Part_own_4</f>
        <v>0</v>
      </c>
    </row>
    <row r="37" spans="1:5" x14ac:dyDescent="0.25">
      <c r="A37" s="1" t="s">
        <v>5</v>
      </c>
      <c r="B37" t="s">
        <v>75</v>
      </c>
      <c r="C37" t="s">
        <v>76</v>
      </c>
      <c r="D37">
        <f>Part_own_5</f>
        <v>0</v>
      </c>
    </row>
    <row r="38" spans="1:5" x14ac:dyDescent="0.25">
      <c r="A38" s="1" t="s">
        <v>5</v>
      </c>
      <c r="B38" t="s">
        <v>77</v>
      </c>
      <c r="C38" t="s">
        <v>78</v>
      </c>
      <c r="D38">
        <f>Part_own_6</f>
        <v>0</v>
      </c>
    </row>
    <row r="39" spans="1:5" x14ac:dyDescent="0.25">
      <c r="A39" s="1" t="s">
        <v>5</v>
      </c>
      <c r="B39" t="s">
        <v>79</v>
      </c>
      <c r="C39" t="s">
        <v>80</v>
      </c>
      <c r="D39">
        <f>Part_own_7</f>
        <v>0</v>
      </c>
    </row>
    <row r="40" spans="1:5" x14ac:dyDescent="0.25">
      <c r="A40" s="1" t="s">
        <v>5</v>
      </c>
      <c r="B40" t="s">
        <v>81</v>
      </c>
      <c r="C40" t="s">
        <v>82</v>
      </c>
      <c r="D40">
        <f>Part_own_8</f>
        <v>0</v>
      </c>
    </row>
    <row r="41" spans="1:5" x14ac:dyDescent="0.25">
      <c r="A41" s="1" t="s">
        <v>5</v>
      </c>
      <c r="B41" t="s">
        <v>83</v>
      </c>
      <c r="C41" t="s">
        <v>84</v>
      </c>
      <c r="D41">
        <f>Part_own_9</f>
        <v>0</v>
      </c>
    </row>
    <row r="42" spans="1:5" x14ac:dyDescent="0.25">
      <c r="A42" s="1" t="s">
        <v>5</v>
      </c>
      <c r="B42" t="s">
        <v>79</v>
      </c>
      <c r="C42" t="s">
        <v>85</v>
      </c>
      <c r="D42">
        <f>Part_own_10</f>
        <v>0</v>
      </c>
    </row>
    <row r="43" spans="1:5" x14ac:dyDescent="0.25">
      <c r="A43" s="1" t="s">
        <v>5</v>
      </c>
      <c r="B43" t="s">
        <v>81</v>
      </c>
      <c r="C43" t="s">
        <v>86</v>
      </c>
      <c r="D43">
        <f>Part_own_11</f>
        <v>0</v>
      </c>
    </row>
    <row r="44" spans="1:5" x14ac:dyDescent="0.25">
      <c r="A44" s="1" t="s">
        <v>5</v>
      </c>
      <c r="B44" t="s">
        <v>83</v>
      </c>
      <c r="C44" t="s">
        <v>87</v>
      </c>
      <c r="D44">
        <f>Part_own_12</f>
        <v>0</v>
      </c>
    </row>
    <row r="45" spans="1:5" x14ac:dyDescent="0.25">
      <c r="A45" s="1" t="s">
        <v>5</v>
      </c>
      <c r="B45" t="s">
        <v>88</v>
      </c>
      <c r="C45" t="s">
        <v>89</v>
      </c>
      <c r="D45" t="e">
        <f>Part_sig_1</f>
        <v>#REF!</v>
      </c>
    </row>
    <row r="46" spans="1:5" x14ac:dyDescent="0.25">
      <c r="A46" s="1" t="s">
        <v>5</v>
      </c>
      <c r="B46" t="s">
        <v>90</v>
      </c>
      <c r="C46" t="s">
        <v>91</v>
      </c>
      <c r="D46" t="e">
        <f>Part_sig_2</f>
        <v>#REF!</v>
      </c>
      <c r="E46" t="e">
        <f>(D46=0)</f>
        <v>#REF!</v>
      </c>
    </row>
    <row r="47" spans="1:5" x14ac:dyDescent="0.25">
      <c r="A47" s="1" t="s">
        <v>5</v>
      </c>
      <c r="B47" t="s">
        <v>92</v>
      </c>
      <c r="C47" t="s">
        <v>93</v>
      </c>
      <c r="D47" t="e">
        <f>Part_sig_3</f>
        <v>#REF!</v>
      </c>
      <c r="E47" t="e">
        <f>(D47="&lt;Choose&gt;")</f>
        <v>#REF!</v>
      </c>
    </row>
    <row r="48" spans="1:5" x14ac:dyDescent="0.25">
      <c r="A48" s="1" t="s">
        <v>5</v>
      </c>
      <c r="B48" t="s">
        <v>94</v>
      </c>
      <c r="C48" t="s">
        <v>95</v>
      </c>
      <c r="D48" t="e">
        <f>Part_sig_4</f>
        <v>#REF!</v>
      </c>
    </row>
    <row r="49" spans="1:5" x14ac:dyDescent="0.25">
      <c r="A49" s="1" t="s">
        <v>5</v>
      </c>
      <c r="B49" t="s">
        <v>96</v>
      </c>
      <c r="C49" t="s">
        <v>97</v>
      </c>
      <c r="D49" t="e">
        <f>Part_sig_5</f>
        <v>#REF!</v>
      </c>
      <c r="E49" t="e">
        <f>(D49=0)</f>
        <v>#REF!</v>
      </c>
    </row>
    <row r="50" spans="1:5" x14ac:dyDescent="0.25">
      <c r="A50" s="1" t="s">
        <v>5</v>
      </c>
      <c r="B50" t="s">
        <v>98</v>
      </c>
      <c r="C50" t="s">
        <v>99</v>
      </c>
      <c r="D50" t="e">
        <f>Part_sig_6</f>
        <v>#REF!</v>
      </c>
      <c r="E50" t="e">
        <f>(D50="&lt;Choose&gt;")</f>
        <v>#REF!</v>
      </c>
    </row>
    <row r="51" spans="1:5" x14ac:dyDescent="0.25">
      <c r="A51" s="1" t="s">
        <v>5</v>
      </c>
      <c r="B51" t="s">
        <v>100</v>
      </c>
      <c r="C51" t="s">
        <v>101</v>
      </c>
      <c r="D51" t="e">
        <f>Part_sig_7</f>
        <v>#REF!</v>
      </c>
    </row>
    <row r="52" spans="1:5" x14ac:dyDescent="0.25">
      <c r="A52" s="1" t="s">
        <v>5</v>
      </c>
      <c r="B52" t="s">
        <v>102</v>
      </c>
      <c r="C52" t="s">
        <v>103</v>
      </c>
      <c r="D52" t="e">
        <f>Part_sig_8</f>
        <v>#REF!</v>
      </c>
      <c r="E52" t="e">
        <f>(D52=0)</f>
        <v>#REF!</v>
      </c>
    </row>
    <row r="53" spans="1:5" x14ac:dyDescent="0.25">
      <c r="A53" s="1" t="s">
        <v>5</v>
      </c>
      <c r="B53" t="s">
        <v>104</v>
      </c>
      <c r="C53" t="s">
        <v>105</v>
      </c>
      <c r="D53" t="e">
        <f>Part_sig_9</f>
        <v>#REF!</v>
      </c>
      <c r="E53" t="e">
        <f>(D53="&lt;Choose&gt;")</f>
        <v>#REF!</v>
      </c>
    </row>
    <row r="54" spans="1:5" x14ac:dyDescent="0.25">
      <c r="A54" s="1" t="s">
        <v>106</v>
      </c>
      <c r="B54" t="s">
        <v>107</v>
      </c>
      <c r="C54" t="s">
        <v>108</v>
      </c>
      <c r="D54">
        <f>Proj_pi_1</f>
        <v>0</v>
      </c>
      <c r="E54" t="b">
        <f t="shared" ref="E54:E60" si="2">(D54=0)</f>
        <v>1</v>
      </c>
    </row>
    <row r="55" spans="1:5" x14ac:dyDescent="0.25">
      <c r="A55" s="1" t="s">
        <v>106</v>
      </c>
      <c r="B55" t="s">
        <v>109</v>
      </c>
      <c r="C55" t="s">
        <v>110</v>
      </c>
      <c r="D55">
        <f>Proj_pi_2</f>
        <v>0</v>
      </c>
      <c r="E55" t="b">
        <f t="shared" si="2"/>
        <v>1</v>
      </c>
    </row>
    <row r="56" spans="1:5" x14ac:dyDescent="0.25">
      <c r="A56" s="1" t="s">
        <v>106</v>
      </c>
      <c r="B56" t="s">
        <v>111</v>
      </c>
      <c r="C56" t="s">
        <v>112</v>
      </c>
      <c r="D56">
        <f>Proj_pi_3</f>
        <v>0</v>
      </c>
      <c r="E56" t="b">
        <f t="shared" si="2"/>
        <v>1</v>
      </c>
    </row>
    <row r="57" spans="1:5" x14ac:dyDescent="0.25">
      <c r="A57" s="1" t="s">
        <v>106</v>
      </c>
      <c r="B57" t="s">
        <v>113</v>
      </c>
      <c r="C57" t="s">
        <v>114</v>
      </c>
      <c r="D57">
        <f>Proj_pi_4</f>
        <v>0</v>
      </c>
      <c r="E57" t="b">
        <f t="shared" si="2"/>
        <v>1</v>
      </c>
    </row>
    <row r="58" spans="1:5" x14ac:dyDescent="0.25">
      <c r="A58" s="1" t="s">
        <v>106</v>
      </c>
      <c r="B58" t="s">
        <v>115</v>
      </c>
      <c r="C58" t="s">
        <v>116</v>
      </c>
      <c r="D58">
        <f>Proj_pi_5</f>
        <v>0</v>
      </c>
      <c r="E58" t="b">
        <f t="shared" si="2"/>
        <v>1</v>
      </c>
    </row>
    <row r="59" spans="1:5" x14ac:dyDescent="0.25">
      <c r="A59" s="1" t="s">
        <v>106</v>
      </c>
      <c r="B59" t="s">
        <v>117</v>
      </c>
      <c r="C59" t="s">
        <v>118</v>
      </c>
      <c r="D59">
        <f>Proj_pi_6</f>
        <v>0</v>
      </c>
      <c r="E59" t="b">
        <f t="shared" si="2"/>
        <v>1</v>
      </c>
    </row>
    <row r="60" spans="1:5" x14ac:dyDescent="0.25">
      <c r="A60" s="1" t="s">
        <v>106</v>
      </c>
      <c r="B60" t="s">
        <v>119</v>
      </c>
      <c r="C60" t="s">
        <v>120</v>
      </c>
      <c r="D60">
        <f>Proj_pi_7</f>
        <v>0</v>
      </c>
      <c r="E60" t="b">
        <f t="shared" si="2"/>
        <v>1</v>
      </c>
    </row>
    <row r="61" spans="1:5" x14ac:dyDescent="0.25">
      <c r="A61" s="1" t="s">
        <v>106</v>
      </c>
      <c r="B61" t="s">
        <v>121</v>
      </c>
      <c r="C61" t="s">
        <v>122</v>
      </c>
      <c r="D61" t="e">
        <f>Proj_pi_8</f>
        <v>#REF!</v>
      </c>
      <c r="E61" t="e">
        <f>(D61="&lt;Choose&gt;")</f>
        <v>#REF!</v>
      </c>
    </row>
    <row r="62" spans="1:5" x14ac:dyDescent="0.25">
      <c r="A62" s="1" t="s">
        <v>106</v>
      </c>
      <c r="B62" t="s">
        <v>123</v>
      </c>
      <c r="C62" t="s">
        <v>124</v>
      </c>
      <c r="D62" t="str">
        <f>Proj_pi_9</f>
        <v>&lt;Choose&gt;</v>
      </c>
      <c r="E62" t="b">
        <f>(D62="&lt;Choose&gt;")</f>
        <v>1</v>
      </c>
    </row>
    <row r="63" spans="1:5" x14ac:dyDescent="0.25">
      <c r="A63" s="1" t="s">
        <v>106</v>
      </c>
      <c r="B63" t="s">
        <v>125</v>
      </c>
      <c r="C63" t="s">
        <v>126</v>
      </c>
      <c r="D63" t="str">
        <f>Proj_pi_10</f>
        <v>&lt;Choose&gt;</v>
      </c>
      <c r="E63" t="b">
        <f>(D63="&lt;Choose&gt;")</f>
        <v>1</v>
      </c>
    </row>
    <row r="64" spans="1:5" x14ac:dyDescent="0.25">
      <c r="A64" s="1" t="s">
        <v>106</v>
      </c>
      <c r="B64" t="s">
        <v>127</v>
      </c>
      <c r="C64" t="s">
        <v>128</v>
      </c>
      <c r="D64" t="str">
        <f>Proj_pi_11</f>
        <v>&lt;Choose&gt;</v>
      </c>
      <c r="E64" t="b">
        <f>(D64="&lt;Choose&gt;")</f>
        <v>1</v>
      </c>
    </row>
    <row r="65" spans="1:5" x14ac:dyDescent="0.25">
      <c r="A65" s="1" t="s">
        <v>106</v>
      </c>
      <c r="B65" t="s">
        <v>129</v>
      </c>
      <c r="C65" t="s">
        <v>130</v>
      </c>
      <c r="D65">
        <f>Proj_pi_12</f>
        <v>0</v>
      </c>
      <c r="E65" t="b">
        <f>(D65=0)</f>
        <v>1</v>
      </c>
    </row>
    <row r="66" spans="1:5" x14ac:dyDescent="0.25">
      <c r="A66" s="1" t="s">
        <v>106</v>
      </c>
      <c r="B66" t="s">
        <v>131</v>
      </c>
      <c r="C66" t="s">
        <v>132</v>
      </c>
      <c r="D66">
        <f>Proj_pi_loadarea</f>
        <v>0</v>
      </c>
    </row>
    <row r="67" spans="1:5" x14ac:dyDescent="0.25">
      <c r="A67" s="1" t="s">
        <v>106</v>
      </c>
      <c r="B67" t="s">
        <v>133</v>
      </c>
      <c r="C67" t="s">
        <v>134</v>
      </c>
      <c r="D67">
        <f>Proj_pi_poi</f>
        <v>0</v>
      </c>
      <c r="E67" t="b">
        <f t="shared" ref="E67:E69" si="3">(D67=0)</f>
        <v>1</v>
      </c>
    </row>
    <row r="68" spans="1:5" x14ac:dyDescent="0.25">
      <c r="A68" s="1" t="s">
        <v>106</v>
      </c>
      <c r="B68" t="s">
        <v>135</v>
      </c>
      <c r="C68" t="s">
        <v>136</v>
      </c>
      <c r="D68">
        <f>Proj_pi_iv</f>
        <v>0</v>
      </c>
      <c r="E68" t="b">
        <f t="shared" si="3"/>
        <v>1</v>
      </c>
    </row>
    <row r="69" spans="1:5" x14ac:dyDescent="0.25">
      <c r="A69" s="1" t="s">
        <v>106</v>
      </c>
      <c r="B69" t="s">
        <v>137</v>
      </c>
      <c r="C69" t="s">
        <v>138</v>
      </c>
      <c r="D69">
        <f>Proj_pi_iqn</f>
        <v>0</v>
      </c>
      <c r="E69" t="b">
        <f t="shared" si="3"/>
        <v>1</v>
      </c>
    </row>
    <row r="70" spans="1:5" x14ac:dyDescent="0.25">
      <c r="A70" s="1" t="s">
        <v>106</v>
      </c>
      <c r="B70" t="s">
        <v>139</v>
      </c>
      <c r="C70" t="s">
        <v>140</v>
      </c>
      <c r="D70" t="str">
        <f>Proj_ts_1</f>
        <v>&lt;Choose&gt;</v>
      </c>
      <c r="E70" t="b">
        <f t="shared" ref="E70:E73" si="4">(D70="&lt;Choose&gt;")</f>
        <v>1</v>
      </c>
    </row>
    <row r="71" spans="1:5" x14ac:dyDescent="0.25">
      <c r="A71" s="1" t="s">
        <v>106</v>
      </c>
      <c r="B71" t="s">
        <v>141</v>
      </c>
      <c r="C71" t="s">
        <v>142</v>
      </c>
      <c r="D71">
        <f>Proj_ts_2</f>
        <v>0</v>
      </c>
      <c r="E71" t="b">
        <f t="shared" si="4"/>
        <v>0</v>
      </c>
    </row>
    <row r="72" spans="1:5" x14ac:dyDescent="0.25">
      <c r="A72" s="1" t="s">
        <v>106</v>
      </c>
      <c r="B72" t="s">
        <v>143</v>
      </c>
      <c r="C72" t="s">
        <v>144</v>
      </c>
      <c r="D72">
        <f>Proj_ts_3</f>
        <v>0</v>
      </c>
      <c r="E72" t="b">
        <f t="shared" si="4"/>
        <v>0</v>
      </c>
    </row>
    <row r="73" spans="1:5" x14ac:dyDescent="0.25">
      <c r="A73" s="1" t="s">
        <v>106</v>
      </c>
      <c r="B73" t="s">
        <v>145</v>
      </c>
      <c r="C73" t="s">
        <v>146</v>
      </c>
      <c r="D73" t="e">
        <f>Proj_ts_4</f>
        <v>#REF!</v>
      </c>
      <c r="E73" t="e">
        <f t="shared" si="4"/>
        <v>#REF!</v>
      </c>
    </row>
    <row r="74" spans="1:5" x14ac:dyDescent="0.25">
      <c r="A74" s="1" t="s">
        <v>106</v>
      </c>
      <c r="B74" t="s">
        <v>147</v>
      </c>
      <c r="C74" t="s">
        <v>148</v>
      </c>
      <c r="D74">
        <f>Proj_ts_5</f>
        <v>0</v>
      </c>
    </row>
    <row r="75" spans="1:5" x14ac:dyDescent="0.25">
      <c r="A75" s="1" t="s">
        <v>106</v>
      </c>
      <c r="B75" t="s">
        <v>149</v>
      </c>
      <c r="C75" t="s">
        <v>150</v>
      </c>
      <c r="D75">
        <f>Proj_ts_6</f>
        <v>0</v>
      </c>
    </row>
    <row r="76" spans="1:5" x14ac:dyDescent="0.25">
      <c r="A76" s="1" t="s">
        <v>106</v>
      </c>
      <c r="B76" t="s">
        <v>151</v>
      </c>
      <c r="C76" t="s">
        <v>152</v>
      </c>
      <c r="D76">
        <f>Proj_ts_7</f>
        <v>0</v>
      </c>
    </row>
    <row r="77" spans="1:5" x14ac:dyDescent="0.25">
      <c r="A77" s="1" t="s">
        <v>106</v>
      </c>
      <c r="B77" t="s">
        <v>153</v>
      </c>
      <c r="C77" t="s">
        <v>154</v>
      </c>
      <c r="D77" t="e">
        <f>Proj_ts_8</f>
        <v>#REF!</v>
      </c>
    </row>
    <row r="78" spans="1:5" x14ac:dyDescent="0.25">
      <c r="A78" s="1" t="s">
        <v>106</v>
      </c>
      <c r="B78" t="s">
        <v>155</v>
      </c>
      <c r="C78" t="s">
        <v>156</v>
      </c>
      <c r="D78">
        <f>Proj_ts_9</f>
        <v>0</v>
      </c>
      <c r="E78" t="b">
        <f t="shared" ref="E78:E90" si="5">(D78=0)</f>
        <v>1</v>
      </c>
    </row>
    <row r="79" spans="1:5" x14ac:dyDescent="0.25">
      <c r="A79" s="1" t="s">
        <v>106</v>
      </c>
      <c r="B79" t="s">
        <v>157</v>
      </c>
      <c r="C79" t="s">
        <v>158</v>
      </c>
      <c r="D79">
        <f>Proj_ts_10</f>
        <v>0</v>
      </c>
      <c r="E79" t="b">
        <f t="shared" si="5"/>
        <v>1</v>
      </c>
    </row>
    <row r="80" spans="1:5" x14ac:dyDescent="0.25">
      <c r="A80" s="1" t="s">
        <v>106</v>
      </c>
      <c r="B80" t="s">
        <v>159</v>
      </c>
      <c r="C80" t="s">
        <v>160</v>
      </c>
      <c r="D80" t="e">
        <f>Proj_ts_11</f>
        <v>#REF!</v>
      </c>
      <c r="E80" t="e">
        <f t="shared" si="5"/>
        <v>#REF!</v>
      </c>
    </row>
    <row r="81" spans="1:5" x14ac:dyDescent="0.25">
      <c r="A81" s="1" t="s">
        <v>106</v>
      </c>
      <c r="B81" t="s">
        <v>161</v>
      </c>
      <c r="C81" t="s">
        <v>162</v>
      </c>
      <c r="D81">
        <f>Proj_ts_12</f>
        <v>0</v>
      </c>
      <c r="E81" t="b">
        <f t="shared" si="5"/>
        <v>1</v>
      </c>
    </row>
    <row r="82" spans="1:5" x14ac:dyDescent="0.25">
      <c r="A82" s="1" t="s">
        <v>106</v>
      </c>
      <c r="B82" t="s">
        <v>163</v>
      </c>
      <c r="C82" t="s">
        <v>164</v>
      </c>
      <c r="D82">
        <f>Proj_ts_13</f>
        <v>0</v>
      </c>
      <c r="E82" t="b">
        <f t="shared" si="5"/>
        <v>1</v>
      </c>
    </row>
    <row r="83" spans="1:5" x14ac:dyDescent="0.25">
      <c r="A83" s="1" t="s">
        <v>106</v>
      </c>
      <c r="B83" t="s">
        <v>165</v>
      </c>
      <c r="C83" t="s">
        <v>166</v>
      </c>
      <c r="D83">
        <f>Proj_es_1</f>
        <v>0</v>
      </c>
      <c r="E83" t="b">
        <f t="shared" si="5"/>
        <v>1</v>
      </c>
    </row>
    <row r="84" spans="1:5" x14ac:dyDescent="0.25">
      <c r="A84" s="1" t="s">
        <v>106</v>
      </c>
      <c r="B84" t="s">
        <v>167</v>
      </c>
      <c r="C84" t="s">
        <v>168</v>
      </c>
      <c r="D84">
        <f>Proj_es_2</f>
        <v>0</v>
      </c>
      <c r="E84" t="b">
        <f t="shared" si="5"/>
        <v>1</v>
      </c>
    </row>
    <row r="85" spans="1:5" x14ac:dyDescent="0.25">
      <c r="A85" s="1" t="s">
        <v>106</v>
      </c>
      <c r="B85" t="s">
        <v>169</v>
      </c>
      <c r="C85" t="s">
        <v>170</v>
      </c>
      <c r="D85">
        <f>Proj_es_3</f>
        <v>0</v>
      </c>
      <c r="E85" t="b">
        <f t="shared" si="5"/>
        <v>1</v>
      </c>
    </row>
    <row r="86" spans="1:5" x14ac:dyDescent="0.25">
      <c r="A86" s="1" t="s">
        <v>106</v>
      </c>
      <c r="B86" t="s">
        <v>171</v>
      </c>
      <c r="C86" t="s">
        <v>172</v>
      </c>
      <c r="D86">
        <f>Proj_es_4</f>
        <v>0</v>
      </c>
      <c r="E86" t="b">
        <f t="shared" si="5"/>
        <v>1</v>
      </c>
    </row>
    <row r="87" spans="1:5" x14ac:dyDescent="0.25">
      <c r="A87" s="1" t="s">
        <v>106</v>
      </c>
      <c r="B87" t="s">
        <v>173</v>
      </c>
      <c r="C87" t="s">
        <v>174</v>
      </c>
      <c r="D87">
        <f>Proj_es_5</f>
        <v>0</v>
      </c>
      <c r="E87" t="b">
        <f t="shared" si="5"/>
        <v>1</v>
      </c>
    </row>
    <row r="88" spans="1:5" x14ac:dyDescent="0.25">
      <c r="A88" s="1" t="s">
        <v>106</v>
      </c>
      <c r="B88" t="s">
        <v>175</v>
      </c>
      <c r="C88" t="s">
        <v>176</v>
      </c>
      <c r="D88">
        <f>Proj_es_6</f>
        <v>0</v>
      </c>
      <c r="E88" t="b">
        <f t="shared" si="5"/>
        <v>1</v>
      </c>
    </row>
    <row r="89" spans="1:5" x14ac:dyDescent="0.25">
      <c r="A89" s="1" t="s">
        <v>106</v>
      </c>
      <c r="B89" t="s">
        <v>177</v>
      </c>
      <c r="C89" t="s">
        <v>178</v>
      </c>
      <c r="D89">
        <f>Proj_es_7</f>
        <v>0</v>
      </c>
      <c r="E89" t="b">
        <f t="shared" si="5"/>
        <v>1</v>
      </c>
    </row>
    <row r="90" spans="1:5" x14ac:dyDescent="0.25">
      <c r="A90" s="1" t="s">
        <v>106</v>
      </c>
      <c r="B90" t="s">
        <v>179</v>
      </c>
      <c r="C90" t="s">
        <v>180</v>
      </c>
      <c r="D90">
        <f>Proj_es_8</f>
        <v>0</v>
      </c>
      <c r="E90" t="b">
        <f t="shared" si="5"/>
        <v>1</v>
      </c>
    </row>
    <row r="91" spans="1:5" x14ac:dyDescent="0.25">
      <c r="A91" s="1" t="s">
        <v>106</v>
      </c>
      <c r="B91" t="s">
        <v>181</v>
      </c>
      <c r="C91" t="s">
        <v>182</v>
      </c>
      <c r="D91">
        <f>Proj_es_9</f>
        <v>0</v>
      </c>
    </row>
    <row r="92" spans="1:5" x14ac:dyDescent="0.25">
      <c r="A92" s="1" t="s">
        <v>106</v>
      </c>
      <c r="B92" t="s">
        <v>183</v>
      </c>
      <c r="C92" t="s">
        <v>184</v>
      </c>
      <c r="D92">
        <f>Proj_es_10</f>
        <v>0</v>
      </c>
    </row>
    <row r="93" spans="1:5" x14ac:dyDescent="0.25">
      <c r="A93" s="1" t="s">
        <v>106</v>
      </c>
      <c r="B93" t="s">
        <v>185</v>
      </c>
      <c r="C93" t="s">
        <v>186</v>
      </c>
      <c r="D93">
        <f>Proj_es_11</f>
        <v>0</v>
      </c>
    </row>
    <row r="94" spans="1:5" x14ac:dyDescent="0.25">
      <c r="A94" s="1" t="s">
        <v>106</v>
      </c>
      <c r="B94" t="s">
        <v>187</v>
      </c>
      <c r="C94" t="s">
        <v>188</v>
      </c>
      <c r="D94">
        <f>Proj_es_12</f>
        <v>0</v>
      </c>
    </row>
    <row r="95" spans="1:5" x14ac:dyDescent="0.25">
      <c r="A95" s="1" t="s">
        <v>106</v>
      </c>
      <c r="B95" t="s">
        <v>189</v>
      </c>
      <c r="C95" t="s">
        <v>190</v>
      </c>
      <c r="D95">
        <f>Proj_es_13</f>
        <v>0</v>
      </c>
    </row>
    <row r="96" spans="1:5" x14ac:dyDescent="0.25">
      <c r="A96" s="1" t="s">
        <v>106</v>
      </c>
      <c r="B96" t="s">
        <v>191</v>
      </c>
      <c r="C96" t="s">
        <v>192</v>
      </c>
      <c r="D96">
        <f>Proj_es_14</f>
        <v>0</v>
      </c>
    </row>
    <row r="97" spans="1:5" x14ac:dyDescent="0.25">
      <c r="A97" s="1" t="s">
        <v>106</v>
      </c>
      <c r="B97" t="s">
        <v>193</v>
      </c>
      <c r="C97" t="s">
        <v>194</v>
      </c>
      <c r="D97">
        <f>Proj_es_15</f>
        <v>0</v>
      </c>
    </row>
    <row r="98" spans="1:5" x14ac:dyDescent="0.25">
      <c r="A98" s="1" t="s">
        <v>106</v>
      </c>
      <c r="B98" t="s">
        <v>195</v>
      </c>
      <c r="C98" t="s">
        <v>196</v>
      </c>
      <c r="D98">
        <f>Proj_es_16</f>
        <v>0</v>
      </c>
    </row>
    <row r="99" spans="1:5" x14ac:dyDescent="0.25">
      <c r="A99" s="1" t="s">
        <v>106</v>
      </c>
      <c r="B99" t="s">
        <v>197</v>
      </c>
      <c r="C99" t="s">
        <v>198</v>
      </c>
      <c r="D99">
        <f>Proj_es_17</f>
        <v>0</v>
      </c>
    </row>
    <row r="100" spans="1:5" x14ac:dyDescent="0.25">
      <c r="A100" s="1" t="s">
        <v>106</v>
      </c>
      <c r="B100" t="s">
        <v>199</v>
      </c>
      <c r="C100" t="s">
        <v>200</v>
      </c>
      <c r="D100">
        <f>Proj_es_18</f>
        <v>0</v>
      </c>
    </row>
    <row r="101" spans="1:5" x14ac:dyDescent="0.25">
      <c r="A101" s="1" t="s">
        <v>106</v>
      </c>
      <c r="B101" t="s">
        <v>201</v>
      </c>
      <c r="C101" t="s">
        <v>202</v>
      </c>
      <c r="D101">
        <f>Proj_es_19</f>
        <v>0</v>
      </c>
    </row>
    <row r="102" spans="1:5" x14ac:dyDescent="0.25">
      <c r="A102" s="1" t="s">
        <v>106</v>
      </c>
      <c r="B102" t="s">
        <v>203</v>
      </c>
      <c r="C102" t="s">
        <v>204</v>
      </c>
      <c r="D102">
        <f>Proj_es_20</f>
        <v>0</v>
      </c>
    </row>
    <row r="103" spans="1:5" x14ac:dyDescent="0.25">
      <c r="A103" s="1" t="s">
        <v>106</v>
      </c>
      <c r="B103" t="s">
        <v>205</v>
      </c>
      <c r="C103" t="s">
        <v>206</v>
      </c>
      <c r="D103" t="e">
        <f>Proj_ss_1</f>
        <v>#REF!</v>
      </c>
      <c r="E103" t="e">
        <f t="shared" ref="E103:E111" si="6">(D103=0)</f>
        <v>#REF!</v>
      </c>
    </row>
    <row r="104" spans="1:5" x14ac:dyDescent="0.25">
      <c r="A104" s="1" t="s">
        <v>106</v>
      </c>
      <c r="B104" t="s">
        <v>207</v>
      </c>
      <c r="C104" t="s">
        <v>208</v>
      </c>
      <c r="D104" t="e">
        <f>Proj_ss_2</f>
        <v>#REF!</v>
      </c>
      <c r="E104" t="e">
        <f t="shared" si="6"/>
        <v>#REF!</v>
      </c>
    </row>
    <row r="105" spans="1:5" x14ac:dyDescent="0.25">
      <c r="A105" s="1" t="s">
        <v>209</v>
      </c>
      <c r="B105" t="s">
        <v>210</v>
      </c>
      <c r="C105" t="s">
        <v>211</v>
      </c>
      <c r="D105" t="e">
        <f>PCOP_sm</f>
        <v>#REF!</v>
      </c>
      <c r="E105" t="e">
        <f t="shared" si="6"/>
        <v>#REF!</v>
      </c>
    </row>
    <row r="106" spans="1:5" x14ac:dyDescent="0.25">
      <c r="A106" s="1" t="s">
        <v>209</v>
      </c>
      <c r="B106" t="s">
        <v>212</v>
      </c>
      <c r="C106" t="s">
        <v>213</v>
      </c>
      <c r="D106" t="e">
        <f>PCOP_pcs</f>
        <v>#REF!</v>
      </c>
      <c r="E106" t="e">
        <f t="shared" si="6"/>
        <v>#REF!</v>
      </c>
    </row>
    <row r="107" spans="1:5" x14ac:dyDescent="0.25">
      <c r="A107" s="1" t="s">
        <v>209</v>
      </c>
      <c r="B107" t="s">
        <v>214</v>
      </c>
      <c r="C107" t="s">
        <v>215</v>
      </c>
      <c r="D107" t="e">
        <f>PCOP_bos</f>
        <v>#REF!</v>
      </c>
      <c r="E107" t="e">
        <f t="shared" si="6"/>
        <v>#REF!</v>
      </c>
    </row>
    <row r="108" spans="1:5" x14ac:dyDescent="0.25">
      <c r="A108" s="1" t="s">
        <v>209</v>
      </c>
      <c r="B108" t="s">
        <v>216</v>
      </c>
      <c r="C108" t="s">
        <v>217</v>
      </c>
      <c r="D108" t="e">
        <f>PCOP_tot</f>
        <v>#REF!</v>
      </c>
      <c r="E108" t="e">
        <f t="shared" si="6"/>
        <v>#REF!</v>
      </c>
    </row>
    <row r="109" spans="1:5" x14ac:dyDescent="0.25">
      <c r="A109" s="1" t="s">
        <v>209</v>
      </c>
      <c r="B109" t="s">
        <v>218</v>
      </c>
      <c r="C109" t="s">
        <v>219</v>
      </c>
      <c r="D109" t="e">
        <f>PCOP_epc</f>
        <v>#REF!</v>
      </c>
      <c r="E109" t="e">
        <f t="shared" si="6"/>
        <v>#REF!</v>
      </c>
    </row>
    <row r="110" spans="1:5" x14ac:dyDescent="0.25">
      <c r="A110" s="1" t="s">
        <v>209</v>
      </c>
      <c r="B110" t="s">
        <v>220</v>
      </c>
      <c r="C110" t="s">
        <v>221</v>
      </c>
      <c r="D110" t="e">
        <f>PCOP_ps</f>
        <v>#REF!</v>
      </c>
      <c r="E110" t="e">
        <f t="shared" si="6"/>
        <v>#REF!</v>
      </c>
    </row>
    <row r="111" spans="1:5" x14ac:dyDescent="0.25">
      <c r="A111" s="1" t="s">
        <v>209</v>
      </c>
      <c r="B111" t="s">
        <v>222</v>
      </c>
      <c r="C111" t="s">
        <v>223</v>
      </c>
      <c r="D111" t="e">
        <f>PCOP_eic</f>
        <v>#REF!</v>
      </c>
      <c r="E111" t="e">
        <f t="shared" si="6"/>
        <v>#REF!</v>
      </c>
    </row>
    <row r="112" spans="1:5" x14ac:dyDescent="0.25">
      <c r="A112" s="1" t="s">
        <v>209</v>
      </c>
      <c r="B112" t="s">
        <v>224</v>
      </c>
      <c r="C112" t="s">
        <v>225</v>
      </c>
      <c r="D112" t="e">
        <f>PCOP_totp</f>
        <v>#REF!</v>
      </c>
    </row>
    <row r="113" spans="1:5" x14ac:dyDescent="0.25">
      <c r="A113" s="1" t="s">
        <v>209</v>
      </c>
      <c r="B113" t="s">
        <v>226</v>
      </c>
      <c r="C113" t="s">
        <v>227</v>
      </c>
      <c r="D113" t="e">
        <f>PCOP_epcp</f>
        <v>#REF!</v>
      </c>
    </row>
    <row r="114" spans="1:5" x14ac:dyDescent="0.25">
      <c r="A114" s="1" t="s">
        <v>209</v>
      </c>
      <c r="B114" t="s">
        <v>228</v>
      </c>
      <c r="C114" t="s">
        <v>229</v>
      </c>
      <c r="D114" t="e">
        <f>PCOP_psp</f>
        <v>#REF!</v>
      </c>
    </row>
    <row r="115" spans="1:5" x14ac:dyDescent="0.25">
      <c r="A115" s="1" t="s">
        <v>209</v>
      </c>
      <c r="B115" t="s">
        <v>230</v>
      </c>
      <c r="C115" t="s">
        <v>231</v>
      </c>
      <c r="D115" t="e">
        <f>PCOP_eicp</f>
        <v>#REF!</v>
      </c>
    </row>
    <row r="116" spans="1:5" x14ac:dyDescent="0.25">
      <c r="A116" s="1" t="s">
        <v>209</v>
      </c>
      <c r="B116" t="s">
        <v>232</v>
      </c>
      <c r="C116" t="s">
        <v>233</v>
      </c>
      <c r="D116" t="e">
        <f>PCOP_trf</f>
        <v>#REF!</v>
      </c>
      <c r="E116" t="e">
        <f>(D116=0)</f>
        <v>#REF!</v>
      </c>
    </row>
    <row r="117" spans="1:5" x14ac:dyDescent="0.25">
      <c r="A117" s="1" t="s">
        <v>209</v>
      </c>
      <c r="B117" t="s">
        <v>234</v>
      </c>
      <c r="C117" t="s">
        <v>235</v>
      </c>
      <c r="D117" t="e">
        <f>PCOP_y1pay</f>
        <v>#REF!</v>
      </c>
      <c r="E117" t="e">
        <f>(D117=0)</f>
        <v>#REF!</v>
      </c>
    </row>
    <row r="118" spans="1:5" x14ac:dyDescent="0.25">
      <c r="A118" s="1" t="s">
        <v>209</v>
      </c>
      <c r="B118" t="s">
        <v>236</v>
      </c>
      <c r="C118" t="s">
        <v>237</v>
      </c>
      <c r="D118" t="e">
        <f>PCOP_y27pay</f>
        <v>#REF!</v>
      </c>
      <c r="E118" t="e">
        <f>(D118=0)</f>
        <v>#REF!</v>
      </c>
    </row>
    <row r="119" spans="1:5" x14ac:dyDescent="0.25">
      <c r="A119" s="1" t="s">
        <v>209</v>
      </c>
      <c r="B119" t="s">
        <v>238</v>
      </c>
      <c r="C119" t="s">
        <v>239</v>
      </c>
      <c r="D119" t="e">
        <f>PCOP_fom</f>
        <v>#REF!</v>
      </c>
    </row>
    <row r="120" spans="1:5" x14ac:dyDescent="0.25">
      <c r="A120" s="1" t="s">
        <v>209</v>
      </c>
      <c r="B120" t="s">
        <v>240</v>
      </c>
      <c r="C120" t="s">
        <v>241</v>
      </c>
      <c r="D120" t="e">
        <f>PCOP_anncharges</f>
        <v>#REF!</v>
      </c>
    </row>
    <row r="121" spans="1:5" x14ac:dyDescent="0.25">
      <c r="A121" s="1" t="s">
        <v>242</v>
      </c>
      <c r="B121" t="s">
        <v>243</v>
      </c>
      <c r="C121" t="s">
        <v>244</v>
      </c>
      <c r="D121" t="e">
        <f>OI_param_tpc</f>
        <v>#REF!</v>
      </c>
    </row>
    <row r="122" spans="1:5" x14ac:dyDescent="0.25">
      <c r="A122" s="1" t="s">
        <v>242</v>
      </c>
      <c r="B122" t="s">
        <v>245</v>
      </c>
      <c r="C122" t="s">
        <v>246</v>
      </c>
      <c r="D122" t="e">
        <f>OI_param_tpc_var</f>
        <v>#REF!</v>
      </c>
      <c r="E122" t="e">
        <f>(D122="&lt;Choose&gt;")</f>
        <v>#REF!</v>
      </c>
    </row>
    <row r="123" spans="1:5" x14ac:dyDescent="0.25">
      <c r="A123" s="1" t="s">
        <v>242</v>
      </c>
      <c r="B123" t="s">
        <v>247</v>
      </c>
      <c r="C123" t="s">
        <v>248</v>
      </c>
      <c r="D123" t="e">
        <f>OI_param_tpc_Jan</f>
        <v>#REF!</v>
      </c>
    </row>
    <row r="124" spans="1:5" x14ac:dyDescent="0.25">
      <c r="A124" s="1" t="s">
        <v>242</v>
      </c>
      <c r="B124" t="s">
        <v>249</v>
      </c>
      <c r="C124" t="s">
        <v>250</v>
      </c>
      <c r="D124" t="e">
        <f>OI_param_tpc_Feb</f>
        <v>#REF!</v>
      </c>
    </row>
    <row r="125" spans="1:5" x14ac:dyDescent="0.25">
      <c r="A125" s="1" t="s">
        <v>242</v>
      </c>
      <c r="B125" t="s">
        <v>251</v>
      </c>
      <c r="C125" t="s">
        <v>252</v>
      </c>
      <c r="D125" t="e">
        <f>OI_param_tpc_Mar</f>
        <v>#REF!</v>
      </c>
    </row>
    <row r="126" spans="1:5" x14ac:dyDescent="0.25">
      <c r="A126" s="1" t="s">
        <v>242</v>
      </c>
      <c r="B126" t="s">
        <v>253</v>
      </c>
      <c r="C126" t="s">
        <v>254</v>
      </c>
      <c r="D126" t="e">
        <f>OI_param_tpc_Apr</f>
        <v>#REF!</v>
      </c>
    </row>
    <row r="127" spans="1:5" x14ac:dyDescent="0.25">
      <c r="A127" s="1" t="s">
        <v>242</v>
      </c>
      <c r="B127" t="s">
        <v>255</v>
      </c>
      <c r="C127" t="s">
        <v>256</v>
      </c>
      <c r="D127" t="e">
        <f>OI_param_tpc_May</f>
        <v>#REF!</v>
      </c>
    </row>
    <row r="128" spans="1:5" x14ac:dyDescent="0.25">
      <c r="A128" s="1" t="s">
        <v>242</v>
      </c>
      <c r="B128" t="s">
        <v>257</v>
      </c>
      <c r="C128" t="s">
        <v>258</v>
      </c>
      <c r="D128" t="e">
        <f>OI_param_tpc_Jun</f>
        <v>#REF!</v>
      </c>
    </row>
    <row r="129" spans="1:5" x14ac:dyDescent="0.25">
      <c r="A129" s="1" t="s">
        <v>242</v>
      </c>
      <c r="B129" t="s">
        <v>259</v>
      </c>
      <c r="C129" t="s">
        <v>260</v>
      </c>
      <c r="D129" t="e">
        <f>OI_param_tpc_Jul</f>
        <v>#REF!</v>
      </c>
    </row>
    <row r="130" spans="1:5" x14ac:dyDescent="0.25">
      <c r="A130" s="1" t="s">
        <v>242</v>
      </c>
      <c r="B130" t="s">
        <v>261</v>
      </c>
      <c r="C130" t="s">
        <v>262</v>
      </c>
      <c r="D130" t="e">
        <f>OI_param_tpc_Aug</f>
        <v>#REF!</v>
      </c>
    </row>
    <row r="131" spans="1:5" x14ac:dyDescent="0.25">
      <c r="A131" s="1" t="s">
        <v>242</v>
      </c>
      <c r="B131" t="s">
        <v>263</v>
      </c>
      <c r="C131" t="s">
        <v>264</v>
      </c>
      <c r="D131" t="e">
        <f>OI_param_tpc_Sep</f>
        <v>#REF!</v>
      </c>
    </row>
    <row r="132" spans="1:5" x14ac:dyDescent="0.25">
      <c r="A132" s="1" t="s">
        <v>242</v>
      </c>
      <c r="B132" t="s">
        <v>265</v>
      </c>
      <c r="C132" t="s">
        <v>266</v>
      </c>
      <c r="D132" t="e">
        <f>OI_param_tpc_Oct</f>
        <v>#REF!</v>
      </c>
    </row>
    <row r="133" spans="1:5" x14ac:dyDescent="0.25">
      <c r="A133" s="1" t="s">
        <v>242</v>
      </c>
      <c r="B133" t="s">
        <v>267</v>
      </c>
      <c r="C133" t="s">
        <v>268</v>
      </c>
      <c r="D133" t="e">
        <f>OI_param_tpc_Nov</f>
        <v>#REF!</v>
      </c>
    </row>
    <row r="134" spans="1:5" x14ac:dyDescent="0.25">
      <c r="A134" s="1" t="s">
        <v>242</v>
      </c>
      <c r="B134" t="s">
        <v>269</v>
      </c>
      <c r="C134" t="s">
        <v>270</v>
      </c>
      <c r="D134" t="e">
        <f>OI_param_tpc_Dec</f>
        <v>#REF!</v>
      </c>
    </row>
    <row r="135" spans="1:5" x14ac:dyDescent="0.25">
      <c r="A135" s="1" t="s">
        <v>242</v>
      </c>
      <c r="B135" t="s">
        <v>271</v>
      </c>
      <c r="C135" t="s">
        <v>272</v>
      </c>
      <c r="D135" t="e">
        <f>OI_param_tec</f>
        <v>#REF!</v>
      </c>
    </row>
    <row r="136" spans="1:5" x14ac:dyDescent="0.25">
      <c r="A136" s="1" t="s">
        <v>242</v>
      </c>
      <c r="B136" t="s">
        <v>273</v>
      </c>
      <c r="C136" t="s">
        <v>274</v>
      </c>
      <c r="D136" t="e">
        <f>OI_param_tec_var</f>
        <v>#REF!</v>
      </c>
      <c r="E136" t="e">
        <f>(D136="&lt;Choose&gt;")</f>
        <v>#REF!</v>
      </c>
    </row>
    <row r="137" spans="1:5" x14ac:dyDescent="0.25">
      <c r="A137" s="1" t="s">
        <v>242</v>
      </c>
      <c r="B137" t="s">
        <v>275</v>
      </c>
      <c r="C137" t="s">
        <v>276</v>
      </c>
      <c r="D137" t="e">
        <f>OI_param_tec_Jan</f>
        <v>#REF!</v>
      </c>
    </row>
    <row r="138" spans="1:5" x14ac:dyDescent="0.25">
      <c r="A138" s="1" t="s">
        <v>242</v>
      </c>
      <c r="B138" t="s">
        <v>277</v>
      </c>
      <c r="C138" t="s">
        <v>278</v>
      </c>
      <c r="D138" t="e">
        <f>OI_param_tec_Feb</f>
        <v>#REF!</v>
      </c>
    </row>
    <row r="139" spans="1:5" x14ac:dyDescent="0.25">
      <c r="A139" s="1" t="s">
        <v>242</v>
      </c>
      <c r="B139" t="s">
        <v>279</v>
      </c>
      <c r="C139" t="s">
        <v>280</v>
      </c>
      <c r="D139" t="e">
        <f>OI_param_tec_Mar</f>
        <v>#REF!</v>
      </c>
    </row>
    <row r="140" spans="1:5" x14ac:dyDescent="0.25">
      <c r="A140" s="1" t="s">
        <v>242</v>
      </c>
      <c r="B140" t="s">
        <v>281</v>
      </c>
      <c r="C140" t="s">
        <v>282</v>
      </c>
      <c r="D140" t="e">
        <f>OI_param_tec_Apr</f>
        <v>#REF!</v>
      </c>
    </row>
    <row r="141" spans="1:5" x14ac:dyDescent="0.25">
      <c r="A141" s="1" t="s">
        <v>242</v>
      </c>
      <c r="B141" t="s">
        <v>283</v>
      </c>
      <c r="C141" t="s">
        <v>284</v>
      </c>
      <c r="D141" t="e">
        <f>OI_param_tec_May</f>
        <v>#REF!</v>
      </c>
    </row>
    <row r="142" spans="1:5" x14ac:dyDescent="0.25">
      <c r="A142" s="1" t="s">
        <v>242</v>
      </c>
      <c r="B142" t="s">
        <v>285</v>
      </c>
      <c r="C142" t="s">
        <v>286</v>
      </c>
      <c r="D142" t="e">
        <f>OI_param_tec_Jun</f>
        <v>#REF!</v>
      </c>
    </row>
    <row r="143" spans="1:5" x14ac:dyDescent="0.25">
      <c r="A143" s="1" t="s">
        <v>242</v>
      </c>
      <c r="B143" t="s">
        <v>287</v>
      </c>
      <c r="C143" t="s">
        <v>288</v>
      </c>
      <c r="D143" t="e">
        <f>OI_param_tec_Jul</f>
        <v>#REF!</v>
      </c>
    </row>
    <row r="144" spans="1:5" x14ac:dyDescent="0.25">
      <c r="A144" s="1" t="s">
        <v>242</v>
      </c>
      <c r="B144" t="s">
        <v>289</v>
      </c>
      <c r="C144" t="s">
        <v>290</v>
      </c>
      <c r="D144" t="e">
        <f>OI_param_tec_Aug</f>
        <v>#REF!</v>
      </c>
    </row>
    <row r="145" spans="1:5" x14ac:dyDescent="0.25">
      <c r="A145" s="1" t="s">
        <v>242</v>
      </c>
      <c r="B145" t="s">
        <v>291</v>
      </c>
      <c r="C145" t="s">
        <v>292</v>
      </c>
      <c r="D145" t="e">
        <f>OI_param_tec_Sep</f>
        <v>#REF!</v>
      </c>
    </row>
    <row r="146" spans="1:5" x14ac:dyDescent="0.25">
      <c r="A146" s="1" t="s">
        <v>242</v>
      </c>
      <c r="B146" t="s">
        <v>293</v>
      </c>
      <c r="C146" t="s">
        <v>294</v>
      </c>
      <c r="D146" t="e">
        <f>OI_param_tec_Oct</f>
        <v>#REF!</v>
      </c>
    </row>
    <row r="147" spans="1:5" x14ac:dyDescent="0.25">
      <c r="A147" s="1" t="s">
        <v>242</v>
      </c>
      <c r="B147" t="s">
        <v>295</v>
      </c>
      <c r="C147" t="s">
        <v>296</v>
      </c>
      <c r="D147" t="e">
        <f>OI_param_tec_Nov</f>
        <v>#REF!</v>
      </c>
    </row>
    <row r="148" spans="1:5" x14ac:dyDescent="0.25">
      <c r="A148" s="1" t="s">
        <v>242</v>
      </c>
      <c r="B148" t="s">
        <v>297</v>
      </c>
      <c r="C148" t="s">
        <v>298</v>
      </c>
      <c r="D148" t="e">
        <f>OI_param_tec_Dec</f>
        <v>#REF!</v>
      </c>
    </row>
    <row r="149" spans="1:5" x14ac:dyDescent="0.25">
      <c r="A149" s="1" t="s">
        <v>242</v>
      </c>
      <c r="B149" t="s">
        <v>299</v>
      </c>
      <c r="C149" t="s">
        <v>300</v>
      </c>
      <c r="D149" t="e">
        <f>OI_param_tuc</f>
        <v>#REF!</v>
      </c>
    </row>
    <row r="150" spans="1:5" x14ac:dyDescent="0.25">
      <c r="A150" s="1" t="s">
        <v>242</v>
      </c>
      <c r="B150" t="s">
        <v>301</v>
      </c>
      <c r="C150" t="s">
        <v>302</v>
      </c>
      <c r="D150" t="e">
        <f>OI_param_tuc_var</f>
        <v>#REF!</v>
      </c>
      <c r="E150" t="e">
        <f>(D150="&lt;Choose&gt;")</f>
        <v>#REF!</v>
      </c>
    </row>
    <row r="151" spans="1:5" x14ac:dyDescent="0.25">
      <c r="A151" s="1" t="s">
        <v>242</v>
      </c>
      <c r="B151" t="s">
        <v>303</v>
      </c>
      <c r="C151" t="s">
        <v>304</v>
      </c>
      <c r="D151" t="e">
        <f>OI_param_tuc_Jan</f>
        <v>#REF!</v>
      </c>
    </row>
    <row r="152" spans="1:5" x14ac:dyDescent="0.25">
      <c r="A152" s="1" t="s">
        <v>242</v>
      </c>
      <c r="B152" t="s">
        <v>305</v>
      </c>
      <c r="C152" t="s">
        <v>306</v>
      </c>
      <c r="D152" t="e">
        <f>OI_param_tuc_Feb</f>
        <v>#REF!</v>
      </c>
    </row>
    <row r="153" spans="1:5" x14ac:dyDescent="0.25">
      <c r="A153" s="1" t="s">
        <v>242</v>
      </c>
      <c r="B153" t="s">
        <v>307</v>
      </c>
      <c r="C153" t="s">
        <v>308</v>
      </c>
      <c r="D153" t="e">
        <f>OI_param_tuc_Mar</f>
        <v>#REF!</v>
      </c>
    </row>
    <row r="154" spans="1:5" x14ac:dyDescent="0.25">
      <c r="A154" s="1" t="s">
        <v>242</v>
      </c>
      <c r="B154" t="s">
        <v>309</v>
      </c>
      <c r="C154" t="s">
        <v>310</v>
      </c>
      <c r="D154" t="e">
        <f>OI_param_tuc_Apr</f>
        <v>#REF!</v>
      </c>
    </row>
    <row r="155" spans="1:5" x14ac:dyDescent="0.25">
      <c r="A155" s="1" t="s">
        <v>242</v>
      </c>
      <c r="B155" t="s">
        <v>311</v>
      </c>
      <c r="C155" t="s">
        <v>312</v>
      </c>
      <c r="D155" t="e">
        <f>OI_param_tuc_May</f>
        <v>#REF!</v>
      </c>
    </row>
    <row r="156" spans="1:5" x14ac:dyDescent="0.25">
      <c r="A156" s="1" t="s">
        <v>242</v>
      </c>
      <c r="B156" t="s">
        <v>313</v>
      </c>
      <c r="C156" t="s">
        <v>314</v>
      </c>
      <c r="D156" t="e">
        <f>OI_param_tuc_Jun</f>
        <v>#REF!</v>
      </c>
    </row>
    <row r="157" spans="1:5" x14ac:dyDescent="0.25">
      <c r="A157" s="1" t="s">
        <v>242</v>
      </c>
      <c r="B157" t="s">
        <v>315</v>
      </c>
      <c r="C157" t="s">
        <v>316</v>
      </c>
      <c r="D157" t="e">
        <f>OI_param_tuc_Jul</f>
        <v>#REF!</v>
      </c>
    </row>
    <row r="158" spans="1:5" x14ac:dyDescent="0.25">
      <c r="A158" s="1" t="s">
        <v>242</v>
      </c>
      <c r="B158" t="s">
        <v>317</v>
      </c>
      <c r="C158" t="s">
        <v>318</v>
      </c>
      <c r="D158" t="e">
        <f>OI_param_tuc_Aug</f>
        <v>#REF!</v>
      </c>
    </row>
    <row r="159" spans="1:5" x14ac:dyDescent="0.25">
      <c r="A159" s="1" t="s">
        <v>242</v>
      </c>
      <c r="B159" t="s">
        <v>319</v>
      </c>
      <c r="C159" t="s">
        <v>320</v>
      </c>
      <c r="D159" t="e">
        <f>OI_param_tuc_Sep</f>
        <v>#REF!</v>
      </c>
    </row>
    <row r="160" spans="1:5" x14ac:dyDescent="0.25">
      <c r="A160" s="1" t="s">
        <v>242</v>
      </c>
      <c r="B160" t="s">
        <v>321</v>
      </c>
      <c r="C160" t="s">
        <v>322</v>
      </c>
      <c r="D160" t="e">
        <f>OI_param_tuc_Oct</f>
        <v>#REF!</v>
      </c>
    </row>
    <row r="161" spans="1:5" x14ac:dyDescent="0.25">
      <c r="A161" s="1" t="s">
        <v>242</v>
      </c>
      <c r="B161" t="s">
        <v>323</v>
      </c>
      <c r="C161" t="s">
        <v>324</v>
      </c>
      <c r="D161" t="e">
        <f>OI_param_tuc_Nov</f>
        <v>#REF!</v>
      </c>
    </row>
    <row r="162" spans="1:5" x14ac:dyDescent="0.25">
      <c r="A162" s="1" t="s">
        <v>242</v>
      </c>
      <c r="B162" t="s">
        <v>325</v>
      </c>
      <c r="C162" t="s">
        <v>326</v>
      </c>
      <c r="D162" t="e">
        <f>OI_param_tuc_Dec</f>
        <v>#REF!</v>
      </c>
    </row>
    <row r="163" spans="1:5" x14ac:dyDescent="0.25">
      <c r="A163" s="1" t="s">
        <v>242</v>
      </c>
      <c r="B163" t="s">
        <v>327</v>
      </c>
      <c r="C163" t="s">
        <v>328</v>
      </c>
      <c r="D163" t="e">
        <f>OI_param_maxsoc</f>
        <v>#REF!</v>
      </c>
    </row>
    <row r="164" spans="1:5" x14ac:dyDescent="0.25">
      <c r="A164" s="1" t="s">
        <v>242</v>
      </c>
      <c r="B164" t="s">
        <v>329</v>
      </c>
      <c r="C164" t="s">
        <v>330</v>
      </c>
      <c r="D164" t="e">
        <f>OI_param_maxsoc_var</f>
        <v>#REF!</v>
      </c>
      <c r="E164" t="e">
        <f>(D164="&lt;Choose&gt;")</f>
        <v>#REF!</v>
      </c>
    </row>
    <row r="165" spans="1:5" x14ac:dyDescent="0.25">
      <c r="A165" s="1" t="s">
        <v>242</v>
      </c>
      <c r="B165" t="s">
        <v>331</v>
      </c>
      <c r="C165" t="s">
        <v>332</v>
      </c>
      <c r="D165" t="e">
        <f>OI_param_maxsoc_Jan</f>
        <v>#REF!</v>
      </c>
    </row>
    <row r="166" spans="1:5" x14ac:dyDescent="0.25">
      <c r="A166" s="1" t="s">
        <v>242</v>
      </c>
      <c r="B166" t="s">
        <v>333</v>
      </c>
      <c r="C166" t="s">
        <v>334</v>
      </c>
      <c r="D166" t="e">
        <f>OI_param_maxsoc_Feb</f>
        <v>#REF!</v>
      </c>
    </row>
    <row r="167" spans="1:5" x14ac:dyDescent="0.25">
      <c r="A167" s="1" t="s">
        <v>242</v>
      </c>
      <c r="B167" t="s">
        <v>335</v>
      </c>
      <c r="C167" t="s">
        <v>336</v>
      </c>
      <c r="D167" t="e">
        <f>OI_param_maxsoc_Mar</f>
        <v>#REF!</v>
      </c>
    </row>
    <row r="168" spans="1:5" x14ac:dyDescent="0.25">
      <c r="A168" s="1" t="s">
        <v>242</v>
      </c>
      <c r="B168" t="s">
        <v>337</v>
      </c>
      <c r="C168" t="s">
        <v>338</v>
      </c>
      <c r="D168" t="e">
        <f>OI_param_maxsoc_Apr</f>
        <v>#REF!</v>
      </c>
    </row>
    <row r="169" spans="1:5" x14ac:dyDescent="0.25">
      <c r="A169" s="1" t="s">
        <v>242</v>
      </c>
      <c r="B169" t="s">
        <v>339</v>
      </c>
      <c r="C169" t="s">
        <v>340</v>
      </c>
      <c r="D169" t="e">
        <f>OI_param_maxsoc_May</f>
        <v>#REF!</v>
      </c>
    </row>
    <row r="170" spans="1:5" x14ac:dyDescent="0.25">
      <c r="A170" s="1" t="s">
        <v>242</v>
      </c>
      <c r="B170" t="s">
        <v>341</v>
      </c>
      <c r="C170" t="s">
        <v>342</v>
      </c>
      <c r="D170" t="e">
        <f>OI_param_maxsoc_Jun</f>
        <v>#REF!</v>
      </c>
    </row>
    <row r="171" spans="1:5" x14ac:dyDescent="0.25">
      <c r="A171" s="1" t="s">
        <v>242</v>
      </c>
      <c r="B171" t="s">
        <v>343</v>
      </c>
      <c r="C171" t="s">
        <v>344</v>
      </c>
      <c r="D171" t="e">
        <f>OI_param_maxsoc_Jul</f>
        <v>#REF!</v>
      </c>
    </row>
    <row r="172" spans="1:5" x14ac:dyDescent="0.25">
      <c r="A172" s="1" t="s">
        <v>242</v>
      </c>
      <c r="B172" t="s">
        <v>345</v>
      </c>
      <c r="C172" t="s">
        <v>346</v>
      </c>
      <c r="D172" t="e">
        <f>OI_param_maxsoc_Aug</f>
        <v>#REF!</v>
      </c>
    </row>
    <row r="173" spans="1:5" x14ac:dyDescent="0.25">
      <c r="A173" s="1" t="s">
        <v>242</v>
      </c>
      <c r="B173" t="s">
        <v>347</v>
      </c>
      <c r="C173" t="s">
        <v>348</v>
      </c>
      <c r="D173" t="e">
        <f>OI_param_maxsoc_Sep</f>
        <v>#REF!</v>
      </c>
    </row>
    <row r="174" spans="1:5" x14ac:dyDescent="0.25">
      <c r="A174" s="1" t="s">
        <v>242</v>
      </c>
      <c r="B174" t="s">
        <v>349</v>
      </c>
      <c r="C174" t="s">
        <v>350</v>
      </c>
      <c r="D174" t="e">
        <f>OI_param_maxsoc_Oct</f>
        <v>#REF!</v>
      </c>
    </row>
    <row r="175" spans="1:5" x14ac:dyDescent="0.25">
      <c r="A175" s="1" t="s">
        <v>242</v>
      </c>
      <c r="B175" t="s">
        <v>351</v>
      </c>
      <c r="C175" t="s">
        <v>352</v>
      </c>
      <c r="D175" t="e">
        <f>OI_param_maxsoc_Nov</f>
        <v>#REF!</v>
      </c>
    </row>
    <row r="176" spans="1:5" x14ac:dyDescent="0.25">
      <c r="A176" s="1" t="s">
        <v>242</v>
      </c>
      <c r="B176" t="s">
        <v>353</v>
      </c>
      <c r="C176" t="s">
        <v>354</v>
      </c>
      <c r="D176" t="e">
        <f>OI_param_maxsoc_Dec</f>
        <v>#REF!</v>
      </c>
    </row>
    <row r="177" spans="1:5" x14ac:dyDescent="0.25">
      <c r="A177" s="1" t="s">
        <v>242</v>
      </c>
      <c r="B177" t="s">
        <v>355</v>
      </c>
      <c r="C177" t="s">
        <v>356</v>
      </c>
      <c r="D177" t="e">
        <f>OI_param_minsoc</f>
        <v>#REF!</v>
      </c>
    </row>
    <row r="178" spans="1:5" x14ac:dyDescent="0.25">
      <c r="A178" s="1" t="s">
        <v>242</v>
      </c>
      <c r="B178" t="s">
        <v>357</v>
      </c>
      <c r="C178" t="s">
        <v>358</v>
      </c>
      <c r="D178" t="e">
        <f>OI_param_minsoc_var</f>
        <v>#REF!</v>
      </c>
      <c r="E178" t="e">
        <f>(D178="&lt;Choose&gt;")</f>
        <v>#REF!</v>
      </c>
    </row>
    <row r="179" spans="1:5" x14ac:dyDescent="0.25">
      <c r="A179" s="1" t="s">
        <v>242</v>
      </c>
      <c r="B179" t="s">
        <v>359</v>
      </c>
      <c r="C179" t="s">
        <v>360</v>
      </c>
      <c r="D179" t="e">
        <f>OI_param_minsoc_Jan</f>
        <v>#REF!</v>
      </c>
    </row>
    <row r="180" spans="1:5" x14ac:dyDescent="0.25">
      <c r="A180" s="1" t="s">
        <v>242</v>
      </c>
      <c r="B180" t="s">
        <v>361</v>
      </c>
      <c r="C180" t="s">
        <v>362</v>
      </c>
      <c r="D180" t="e">
        <f>OI_param_minsoc_Feb</f>
        <v>#REF!</v>
      </c>
    </row>
    <row r="181" spans="1:5" x14ac:dyDescent="0.25">
      <c r="A181" s="1" t="s">
        <v>242</v>
      </c>
      <c r="B181" t="s">
        <v>363</v>
      </c>
      <c r="C181" t="s">
        <v>364</v>
      </c>
      <c r="D181" t="e">
        <f>OI_param_minsoc_Mar</f>
        <v>#REF!</v>
      </c>
    </row>
    <row r="182" spans="1:5" x14ac:dyDescent="0.25">
      <c r="A182" s="1" t="s">
        <v>242</v>
      </c>
      <c r="B182" t="s">
        <v>365</v>
      </c>
      <c r="C182" t="s">
        <v>366</v>
      </c>
      <c r="D182" t="e">
        <f>OI_param_minsoc_Apr</f>
        <v>#REF!</v>
      </c>
    </row>
    <row r="183" spans="1:5" x14ac:dyDescent="0.25">
      <c r="A183" s="1" t="s">
        <v>242</v>
      </c>
      <c r="B183" t="s">
        <v>367</v>
      </c>
      <c r="C183" t="s">
        <v>368</v>
      </c>
      <c r="D183" t="e">
        <f>OI_param_minsoc_May</f>
        <v>#REF!</v>
      </c>
    </row>
    <row r="184" spans="1:5" x14ac:dyDescent="0.25">
      <c r="A184" s="1" t="s">
        <v>242</v>
      </c>
      <c r="B184" t="s">
        <v>369</v>
      </c>
      <c r="C184" t="s">
        <v>370</v>
      </c>
      <c r="D184" t="e">
        <f>OI_param_minsoc_Jun</f>
        <v>#REF!</v>
      </c>
    </row>
    <row r="185" spans="1:5" x14ac:dyDescent="0.25">
      <c r="A185" s="1" t="s">
        <v>242</v>
      </c>
      <c r="B185" t="s">
        <v>371</v>
      </c>
      <c r="C185" t="s">
        <v>372</v>
      </c>
      <c r="D185" t="e">
        <f>OI_param_minsoc_Jul</f>
        <v>#REF!</v>
      </c>
    </row>
    <row r="186" spans="1:5" x14ac:dyDescent="0.25">
      <c r="A186" s="1" t="s">
        <v>242</v>
      </c>
      <c r="B186" t="s">
        <v>373</v>
      </c>
      <c r="C186" t="s">
        <v>374</v>
      </c>
      <c r="D186" t="e">
        <f>OI_param_minsoc_Aug</f>
        <v>#REF!</v>
      </c>
    </row>
    <row r="187" spans="1:5" x14ac:dyDescent="0.25">
      <c r="A187" s="1" t="s">
        <v>242</v>
      </c>
      <c r="B187" t="s">
        <v>375</v>
      </c>
      <c r="C187" t="s">
        <v>376</v>
      </c>
      <c r="D187" t="e">
        <f>OI_param_minsoc_Sep</f>
        <v>#REF!</v>
      </c>
    </row>
    <row r="188" spans="1:5" x14ac:dyDescent="0.25">
      <c r="A188" s="1" t="s">
        <v>242</v>
      </c>
      <c r="B188" t="s">
        <v>377</v>
      </c>
      <c r="C188" t="s">
        <v>378</v>
      </c>
      <c r="D188" t="e">
        <f>OI_param_minsoc_Oct</f>
        <v>#REF!</v>
      </c>
    </row>
    <row r="189" spans="1:5" x14ac:dyDescent="0.25">
      <c r="A189" s="1" t="s">
        <v>242</v>
      </c>
      <c r="B189" t="s">
        <v>379</v>
      </c>
      <c r="C189" t="s">
        <v>380</v>
      </c>
      <c r="D189" t="e">
        <f>OI_param_minsoc_Nov</f>
        <v>#REF!</v>
      </c>
    </row>
    <row r="190" spans="1:5" x14ac:dyDescent="0.25">
      <c r="A190" s="1" t="s">
        <v>242</v>
      </c>
      <c r="B190" t="s">
        <v>381</v>
      </c>
      <c r="C190" t="s">
        <v>382</v>
      </c>
      <c r="D190" t="e">
        <f>OI_param_minsoc_Dec</f>
        <v>#REF!</v>
      </c>
    </row>
    <row r="191" spans="1:5" x14ac:dyDescent="0.25">
      <c r="A191" s="1" t="s">
        <v>242</v>
      </c>
      <c r="B191" t="s">
        <v>383</v>
      </c>
      <c r="C191" t="s">
        <v>384</v>
      </c>
      <c r="D191" t="e">
        <f>OI_param_dlmax</f>
        <v>#REF!</v>
      </c>
    </row>
    <row r="192" spans="1:5" x14ac:dyDescent="0.25">
      <c r="A192" s="1" t="s">
        <v>242</v>
      </c>
      <c r="B192" t="s">
        <v>385</v>
      </c>
      <c r="C192" t="s">
        <v>386</v>
      </c>
      <c r="D192" t="e">
        <f>OI_param_dlmax_var</f>
        <v>#REF!</v>
      </c>
      <c r="E192" t="e">
        <f>(D192="&lt;Choose&gt;")</f>
        <v>#REF!</v>
      </c>
    </row>
    <row r="193" spans="1:5" x14ac:dyDescent="0.25">
      <c r="A193" s="1" t="s">
        <v>242</v>
      </c>
      <c r="B193" t="s">
        <v>387</v>
      </c>
      <c r="C193" t="s">
        <v>388</v>
      </c>
      <c r="D193" t="e">
        <f>OI_param_dlmax_Jan</f>
        <v>#REF!</v>
      </c>
    </row>
    <row r="194" spans="1:5" x14ac:dyDescent="0.25">
      <c r="A194" s="1" t="s">
        <v>242</v>
      </c>
      <c r="B194" t="s">
        <v>389</v>
      </c>
      <c r="C194" t="s">
        <v>390</v>
      </c>
      <c r="D194" t="e">
        <f>OI_param_dlmax_Feb</f>
        <v>#REF!</v>
      </c>
    </row>
    <row r="195" spans="1:5" x14ac:dyDescent="0.25">
      <c r="A195" s="1" t="s">
        <v>242</v>
      </c>
      <c r="B195" t="s">
        <v>391</v>
      </c>
      <c r="C195" t="s">
        <v>392</v>
      </c>
      <c r="D195" t="e">
        <f>OI_param_dlmax_Mar</f>
        <v>#REF!</v>
      </c>
    </row>
    <row r="196" spans="1:5" x14ac:dyDescent="0.25">
      <c r="A196" s="1" t="s">
        <v>242</v>
      </c>
      <c r="B196" t="s">
        <v>393</v>
      </c>
      <c r="C196" t="s">
        <v>394</v>
      </c>
      <c r="D196" t="e">
        <f>OI_param_dlmax_Apr</f>
        <v>#REF!</v>
      </c>
    </row>
    <row r="197" spans="1:5" x14ac:dyDescent="0.25">
      <c r="A197" s="1" t="s">
        <v>242</v>
      </c>
      <c r="B197" t="s">
        <v>395</v>
      </c>
      <c r="C197" t="s">
        <v>396</v>
      </c>
      <c r="D197" t="e">
        <f>OI_param_dlmax_May</f>
        <v>#REF!</v>
      </c>
    </row>
    <row r="198" spans="1:5" x14ac:dyDescent="0.25">
      <c r="A198" s="1" t="s">
        <v>242</v>
      </c>
      <c r="B198" t="s">
        <v>397</v>
      </c>
      <c r="C198" t="s">
        <v>398</v>
      </c>
      <c r="D198" t="e">
        <f>OI_param_dlmax_Jun</f>
        <v>#REF!</v>
      </c>
    </row>
    <row r="199" spans="1:5" x14ac:dyDescent="0.25">
      <c r="A199" s="1" t="s">
        <v>242</v>
      </c>
      <c r="B199" t="s">
        <v>399</v>
      </c>
      <c r="C199" t="s">
        <v>400</v>
      </c>
      <c r="D199" t="e">
        <f>OI_param_dlmax_Jul</f>
        <v>#REF!</v>
      </c>
    </row>
    <row r="200" spans="1:5" x14ac:dyDescent="0.25">
      <c r="A200" s="1" t="s">
        <v>242</v>
      </c>
      <c r="B200" t="s">
        <v>401</v>
      </c>
      <c r="C200" t="s">
        <v>402</v>
      </c>
      <c r="D200" t="e">
        <f>OI_param_dlmax_Aug</f>
        <v>#REF!</v>
      </c>
    </row>
    <row r="201" spans="1:5" x14ac:dyDescent="0.25">
      <c r="A201" s="1" t="s">
        <v>242</v>
      </c>
      <c r="B201" t="s">
        <v>403</v>
      </c>
      <c r="C201" t="s">
        <v>404</v>
      </c>
      <c r="D201" t="e">
        <f>OI_param_dlmax_Sep</f>
        <v>#REF!</v>
      </c>
    </row>
    <row r="202" spans="1:5" x14ac:dyDescent="0.25">
      <c r="A202" s="1" t="s">
        <v>242</v>
      </c>
      <c r="B202" t="s">
        <v>405</v>
      </c>
      <c r="C202" t="s">
        <v>406</v>
      </c>
      <c r="D202" t="e">
        <f>OI_param_dlmax_Oct</f>
        <v>#REF!</v>
      </c>
    </row>
    <row r="203" spans="1:5" x14ac:dyDescent="0.25">
      <c r="A203" s="1" t="s">
        <v>242</v>
      </c>
      <c r="B203" t="s">
        <v>407</v>
      </c>
      <c r="C203" t="s">
        <v>408</v>
      </c>
      <c r="D203" t="e">
        <f>OI_param_dlmax_Nov</f>
        <v>#REF!</v>
      </c>
    </row>
    <row r="204" spans="1:5" x14ac:dyDescent="0.25">
      <c r="A204" s="1" t="s">
        <v>242</v>
      </c>
      <c r="B204" t="s">
        <v>409</v>
      </c>
      <c r="C204" t="s">
        <v>410</v>
      </c>
      <c r="D204" t="e">
        <f>OI_param_dlmax_Dec</f>
        <v>#REF!</v>
      </c>
    </row>
    <row r="205" spans="1:5" x14ac:dyDescent="0.25">
      <c r="A205" s="1" t="s">
        <v>242</v>
      </c>
      <c r="B205" t="s">
        <v>411</v>
      </c>
      <c r="C205" t="s">
        <v>412</v>
      </c>
      <c r="D205" t="e">
        <f>OI_param_dlmin</f>
        <v>#REF!</v>
      </c>
    </row>
    <row r="206" spans="1:5" x14ac:dyDescent="0.25">
      <c r="A206" s="1" t="s">
        <v>242</v>
      </c>
      <c r="B206" t="s">
        <v>413</v>
      </c>
      <c r="C206" t="s">
        <v>414</v>
      </c>
      <c r="D206" t="e">
        <f>OI_param_dlmin_var</f>
        <v>#REF!</v>
      </c>
      <c r="E206" t="e">
        <f>(D206="&lt;Choose&gt;")</f>
        <v>#REF!</v>
      </c>
    </row>
    <row r="207" spans="1:5" x14ac:dyDescent="0.25">
      <c r="A207" s="1" t="s">
        <v>242</v>
      </c>
      <c r="B207" t="s">
        <v>415</v>
      </c>
      <c r="C207" t="s">
        <v>416</v>
      </c>
      <c r="D207" t="e">
        <f>OI_param_dlmin_Jan</f>
        <v>#REF!</v>
      </c>
    </row>
    <row r="208" spans="1:5" x14ac:dyDescent="0.25">
      <c r="A208" s="1" t="s">
        <v>242</v>
      </c>
      <c r="B208" t="s">
        <v>417</v>
      </c>
      <c r="C208" t="s">
        <v>418</v>
      </c>
      <c r="D208" t="e">
        <f>OI_param_dlmin_Feb</f>
        <v>#REF!</v>
      </c>
    </row>
    <row r="209" spans="1:5" x14ac:dyDescent="0.25">
      <c r="A209" s="1" t="s">
        <v>242</v>
      </c>
      <c r="B209" t="s">
        <v>419</v>
      </c>
      <c r="C209" t="s">
        <v>420</v>
      </c>
      <c r="D209" t="e">
        <f>OI_param_dlmin_Mar</f>
        <v>#REF!</v>
      </c>
    </row>
    <row r="210" spans="1:5" x14ac:dyDescent="0.25">
      <c r="A210" s="1" t="s">
        <v>242</v>
      </c>
      <c r="B210" t="s">
        <v>421</v>
      </c>
      <c r="C210" t="s">
        <v>422</v>
      </c>
      <c r="D210" t="e">
        <f>OI_param_dlmin_Apr</f>
        <v>#REF!</v>
      </c>
    </row>
    <row r="211" spans="1:5" x14ac:dyDescent="0.25">
      <c r="A211" s="1" t="s">
        <v>242</v>
      </c>
      <c r="B211" t="s">
        <v>423</v>
      </c>
      <c r="C211" t="s">
        <v>424</v>
      </c>
      <c r="D211" t="e">
        <f>OI_param_dlmin_May</f>
        <v>#REF!</v>
      </c>
    </row>
    <row r="212" spans="1:5" x14ac:dyDescent="0.25">
      <c r="A212" s="1" t="s">
        <v>242</v>
      </c>
      <c r="B212" t="s">
        <v>425</v>
      </c>
      <c r="C212" t="s">
        <v>426</v>
      </c>
      <c r="D212" t="e">
        <f>OI_param_dlmin_Jun</f>
        <v>#REF!</v>
      </c>
    </row>
    <row r="213" spans="1:5" x14ac:dyDescent="0.25">
      <c r="A213" s="1" t="s">
        <v>242</v>
      </c>
      <c r="B213" t="s">
        <v>427</v>
      </c>
      <c r="C213" t="s">
        <v>428</v>
      </c>
      <c r="D213" t="e">
        <f>OI_param_dlmin_Jul</f>
        <v>#REF!</v>
      </c>
    </row>
    <row r="214" spans="1:5" x14ac:dyDescent="0.25">
      <c r="A214" s="1" t="s">
        <v>242</v>
      </c>
      <c r="B214" t="s">
        <v>429</v>
      </c>
      <c r="C214" t="s">
        <v>430</v>
      </c>
      <c r="D214" t="e">
        <f>OI_param_dlmin_Aug</f>
        <v>#REF!</v>
      </c>
    </row>
    <row r="215" spans="1:5" x14ac:dyDescent="0.25">
      <c r="A215" s="1" t="s">
        <v>242</v>
      </c>
      <c r="B215" t="s">
        <v>431</v>
      </c>
      <c r="C215" t="s">
        <v>432</v>
      </c>
      <c r="D215" t="e">
        <f>OI_param_dlmin_Sep</f>
        <v>#REF!</v>
      </c>
    </row>
    <row r="216" spans="1:5" x14ac:dyDescent="0.25">
      <c r="A216" s="1" t="s">
        <v>242</v>
      </c>
      <c r="B216" t="s">
        <v>433</v>
      </c>
      <c r="C216" t="s">
        <v>434</v>
      </c>
      <c r="D216" t="e">
        <f>OI_param_dlmin_Oct</f>
        <v>#REF!</v>
      </c>
    </row>
    <row r="217" spans="1:5" x14ac:dyDescent="0.25">
      <c r="A217" s="1" t="s">
        <v>242</v>
      </c>
      <c r="B217" t="s">
        <v>435</v>
      </c>
      <c r="C217" t="s">
        <v>436</v>
      </c>
      <c r="D217" t="e">
        <f>OI_param_dlmin_Nov</f>
        <v>#REF!</v>
      </c>
    </row>
    <row r="218" spans="1:5" x14ac:dyDescent="0.25">
      <c r="A218" s="1" t="s">
        <v>242</v>
      </c>
      <c r="B218" t="s">
        <v>437</v>
      </c>
      <c r="C218" t="s">
        <v>438</v>
      </c>
      <c r="D218" t="e">
        <f>OI_param_dlmin_Dec</f>
        <v>#REF!</v>
      </c>
    </row>
    <row r="219" spans="1:5" x14ac:dyDescent="0.25">
      <c r="A219" s="1" t="s">
        <v>242</v>
      </c>
      <c r="B219" t="s">
        <v>439</v>
      </c>
      <c r="C219" t="s">
        <v>440</v>
      </c>
      <c r="D219" t="e">
        <f>OI_param_adr</f>
        <v>#REF!</v>
      </c>
    </row>
    <row r="220" spans="1:5" x14ac:dyDescent="0.25">
      <c r="A220" s="1" t="s">
        <v>242</v>
      </c>
      <c r="B220" t="s">
        <v>441</v>
      </c>
      <c r="C220" t="s">
        <v>442</v>
      </c>
      <c r="D220" t="e">
        <f>OI_param_adr_var</f>
        <v>#REF!</v>
      </c>
      <c r="E220" t="e">
        <f>(D220="&lt;Choose&gt;")</f>
        <v>#REF!</v>
      </c>
    </row>
    <row r="221" spans="1:5" x14ac:dyDescent="0.25">
      <c r="A221" s="1" t="s">
        <v>242</v>
      </c>
      <c r="B221" t="s">
        <v>443</v>
      </c>
      <c r="C221" t="s">
        <v>444</v>
      </c>
      <c r="D221" t="e">
        <f>OI_param_adr_Jan</f>
        <v>#REF!</v>
      </c>
    </row>
    <row r="222" spans="1:5" x14ac:dyDescent="0.25">
      <c r="A222" s="1" t="s">
        <v>242</v>
      </c>
      <c r="B222" t="s">
        <v>445</v>
      </c>
      <c r="C222" t="s">
        <v>446</v>
      </c>
      <c r="D222" t="e">
        <f>OI_param_adr_Feb</f>
        <v>#REF!</v>
      </c>
    </row>
    <row r="223" spans="1:5" x14ac:dyDescent="0.25">
      <c r="A223" s="1" t="s">
        <v>242</v>
      </c>
      <c r="B223" t="s">
        <v>447</v>
      </c>
      <c r="C223" t="s">
        <v>448</v>
      </c>
      <c r="D223" t="e">
        <f>OI_param_adr_Mar</f>
        <v>#REF!</v>
      </c>
    </row>
    <row r="224" spans="1:5" x14ac:dyDescent="0.25">
      <c r="A224" s="1" t="s">
        <v>242</v>
      </c>
      <c r="B224" t="s">
        <v>449</v>
      </c>
      <c r="C224" t="s">
        <v>450</v>
      </c>
      <c r="D224" t="e">
        <f>OI_param_adr_Apr</f>
        <v>#REF!</v>
      </c>
    </row>
    <row r="225" spans="1:5" x14ac:dyDescent="0.25">
      <c r="A225" s="1" t="s">
        <v>242</v>
      </c>
      <c r="B225" t="s">
        <v>451</v>
      </c>
      <c r="C225" t="s">
        <v>452</v>
      </c>
      <c r="D225" t="e">
        <f>OI_param_adr_May</f>
        <v>#REF!</v>
      </c>
    </row>
    <row r="226" spans="1:5" x14ac:dyDescent="0.25">
      <c r="A226" s="1" t="s">
        <v>242</v>
      </c>
      <c r="B226" t="s">
        <v>453</v>
      </c>
      <c r="C226" t="s">
        <v>454</v>
      </c>
      <c r="D226" t="e">
        <f>OI_param_adr_Jun</f>
        <v>#REF!</v>
      </c>
    </row>
    <row r="227" spans="1:5" x14ac:dyDescent="0.25">
      <c r="A227" s="1" t="s">
        <v>242</v>
      </c>
      <c r="B227" t="s">
        <v>455</v>
      </c>
      <c r="C227" t="s">
        <v>456</v>
      </c>
      <c r="D227" t="e">
        <f>OI_param_adr_Jul</f>
        <v>#REF!</v>
      </c>
    </row>
    <row r="228" spans="1:5" x14ac:dyDescent="0.25">
      <c r="A228" s="1" t="s">
        <v>242</v>
      </c>
      <c r="B228" t="s">
        <v>457</v>
      </c>
      <c r="C228" t="s">
        <v>458</v>
      </c>
      <c r="D228" t="e">
        <f>OI_param_adr_Aug</f>
        <v>#REF!</v>
      </c>
    </row>
    <row r="229" spans="1:5" x14ac:dyDescent="0.25">
      <c r="A229" s="1" t="s">
        <v>242</v>
      </c>
      <c r="B229" t="s">
        <v>459</v>
      </c>
      <c r="C229" t="s">
        <v>460</v>
      </c>
      <c r="D229" t="e">
        <f>OI_param_adr_Sep</f>
        <v>#REF!</v>
      </c>
    </row>
    <row r="230" spans="1:5" x14ac:dyDescent="0.25">
      <c r="A230" s="1" t="s">
        <v>242</v>
      </c>
      <c r="B230" t="s">
        <v>461</v>
      </c>
      <c r="C230" t="s">
        <v>462</v>
      </c>
      <c r="D230" t="e">
        <f>OI_param_adr_Oct</f>
        <v>#REF!</v>
      </c>
    </row>
    <row r="231" spans="1:5" x14ac:dyDescent="0.25">
      <c r="A231" s="1" t="s">
        <v>242</v>
      </c>
      <c r="B231" t="s">
        <v>463</v>
      </c>
      <c r="C231" t="s">
        <v>464</v>
      </c>
      <c r="D231" t="e">
        <f>OI_param_adr_Nov</f>
        <v>#REF!</v>
      </c>
    </row>
    <row r="232" spans="1:5" x14ac:dyDescent="0.25">
      <c r="A232" s="1" t="s">
        <v>242</v>
      </c>
      <c r="B232" t="s">
        <v>465</v>
      </c>
      <c r="C232" t="s">
        <v>466</v>
      </c>
      <c r="D232" t="e">
        <f>OI_param_adr_Dec</f>
        <v>#REF!</v>
      </c>
    </row>
    <row r="233" spans="1:5" x14ac:dyDescent="0.25">
      <c r="A233" s="1" t="s">
        <v>242</v>
      </c>
      <c r="B233" t="s">
        <v>467</v>
      </c>
      <c r="C233" t="s">
        <v>468</v>
      </c>
      <c r="D233" t="e">
        <f>OI_param_mdfd</f>
        <v>#REF!</v>
      </c>
    </row>
    <row r="234" spans="1:5" x14ac:dyDescent="0.25">
      <c r="A234" s="1" t="s">
        <v>242</v>
      </c>
      <c r="B234" t="s">
        <v>469</v>
      </c>
      <c r="C234" t="s">
        <v>470</v>
      </c>
      <c r="D234" t="e">
        <f>OI_param_mdfd_var</f>
        <v>#REF!</v>
      </c>
      <c r="E234" t="e">
        <f>(D234="&lt;Choose&gt;")</f>
        <v>#REF!</v>
      </c>
    </row>
    <row r="235" spans="1:5" x14ac:dyDescent="0.25">
      <c r="A235" s="1" t="s">
        <v>242</v>
      </c>
      <c r="B235" t="s">
        <v>471</v>
      </c>
      <c r="C235" t="s">
        <v>472</v>
      </c>
      <c r="D235" t="e">
        <f>OI_param_mdfd_Jan</f>
        <v>#REF!</v>
      </c>
    </row>
    <row r="236" spans="1:5" x14ac:dyDescent="0.25">
      <c r="A236" s="1" t="s">
        <v>242</v>
      </c>
      <c r="B236" t="s">
        <v>473</v>
      </c>
      <c r="C236" t="s">
        <v>474</v>
      </c>
      <c r="D236" t="e">
        <f>OI_param_mdfd_Feb</f>
        <v>#REF!</v>
      </c>
    </row>
    <row r="237" spans="1:5" x14ac:dyDescent="0.25">
      <c r="A237" s="1" t="s">
        <v>242</v>
      </c>
      <c r="B237" t="s">
        <v>475</v>
      </c>
      <c r="C237" t="s">
        <v>476</v>
      </c>
      <c r="D237" t="e">
        <f>OI_param_mdfd_Mar</f>
        <v>#REF!</v>
      </c>
    </row>
    <row r="238" spans="1:5" x14ac:dyDescent="0.25">
      <c r="A238" s="1" t="s">
        <v>242</v>
      </c>
      <c r="B238" t="s">
        <v>477</v>
      </c>
      <c r="C238" t="s">
        <v>478</v>
      </c>
      <c r="D238" t="e">
        <f>OI_param_mdfd_Apr</f>
        <v>#REF!</v>
      </c>
    </row>
    <row r="239" spans="1:5" x14ac:dyDescent="0.25">
      <c r="A239" s="1" t="s">
        <v>242</v>
      </c>
      <c r="B239" t="s">
        <v>479</v>
      </c>
      <c r="C239" t="s">
        <v>480</v>
      </c>
      <c r="D239" t="e">
        <f>OI_param_mdfd_May</f>
        <v>#REF!</v>
      </c>
    </row>
    <row r="240" spans="1:5" x14ac:dyDescent="0.25">
      <c r="A240" s="1" t="s">
        <v>242</v>
      </c>
      <c r="B240" t="s">
        <v>481</v>
      </c>
      <c r="C240" t="s">
        <v>482</v>
      </c>
      <c r="D240" t="e">
        <f>OI_param_mdfd_Jun</f>
        <v>#REF!</v>
      </c>
    </row>
    <row r="241" spans="1:5" x14ac:dyDescent="0.25">
      <c r="A241" s="1" t="s">
        <v>242</v>
      </c>
      <c r="B241" t="s">
        <v>483</v>
      </c>
      <c r="C241" t="s">
        <v>484</v>
      </c>
      <c r="D241" t="e">
        <f>OI_param_mdfd_Jul</f>
        <v>#REF!</v>
      </c>
    </row>
    <row r="242" spans="1:5" x14ac:dyDescent="0.25">
      <c r="A242" s="1" t="s">
        <v>242</v>
      </c>
      <c r="B242" t="s">
        <v>485</v>
      </c>
      <c r="C242" t="s">
        <v>486</v>
      </c>
      <c r="D242" t="e">
        <f>OI_param_mdfd_Aug</f>
        <v>#REF!</v>
      </c>
    </row>
    <row r="243" spans="1:5" x14ac:dyDescent="0.25">
      <c r="A243" s="1" t="s">
        <v>242</v>
      </c>
      <c r="B243" t="s">
        <v>487</v>
      </c>
      <c r="C243" t="s">
        <v>488</v>
      </c>
      <c r="D243" t="e">
        <f>OI_param_mdfd_Sep</f>
        <v>#REF!</v>
      </c>
    </row>
    <row r="244" spans="1:5" x14ac:dyDescent="0.25">
      <c r="A244" s="1" t="s">
        <v>242</v>
      </c>
      <c r="B244" t="s">
        <v>489</v>
      </c>
      <c r="C244" t="s">
        <v>490</v>
      </c>
      <c r="D244" t="e">
        <f>OI_param_mdfd_Oct</f>
        <v>#REF!</v>
      </c>
    </row>
    <row r="245" spans="1:5" x14ac:dyDescent="0.25">
      <c r="A245" s="1" t="s">
        <v>242</v>
      </c>
      <c r="B245" t="s">
        <v>491</v>
      </c>
      <c r="C245" t="s">
        <v>492</v>
      </c>
      <c r="D245" t="e">
        <f>OI_param_mdfd_Nov</f>
        <v>#REF!</v>
      </c>
    </row>
    <row r="246" spans="1:5" x14ac:dyDescent="0.25">
      <c r="A246" s="1" t="s">
        <v>242</v>
      </c>
      <c r="B246" t="s">
        <v>493</v>
      </c>
      <c r="C246" t="s">
        <v>494</v>
      </c>
      <c r="D246" t="e">
        <f>OI_param_mdfd_Dec</f>
        <v>#REF!</v>
      </c>
    </row>
    <row r="247" spans="1:5" x14ac:dyDescent="0.25">
      <c r="A247" s="1" t="s">
        <v>242</v>
      </c>
      <c r="B247" t="s">
        <v>495</v>
      </c>
      <c r="C247" t="s">
        <v>496</v>
      </c>
      <c r="D247" t="e">
        <f>OI_param_clmax</f>
        <v>#REF!</v>
      </c>
    </row>
    <row r="248" spans="1:5" x14ac:dyDescent="0.25">
      <c r="A248" s="1" t="s">
        <v>242</v>
      </c>
      <c r="B248" t="s">
        <v>497</v>
      </c>
      <c r="C248" t="s">
        <v>498</v>
      </c>
      <c r="D248" t="e">
        <f>OI_param_clmax_var</f>
        <v>#REF!</v>
      </c>
      <c r="E248" t="e">
        <f>(D248="&lt;Choose&gt;")</f>
        <v>#REF!</v>
      </c>
    </row>
    <row r="249" spans="1:5" x14ac:dyDescent="0.25">
      <c r="A249" s="1" t="s">
        <v>242</v>
      </c>
      <c r="B249" t="s">
        <v>499</v>
      </c>
      <c r="C249" t="s">
        <v>500</v>
      </c>
      <c r="D249" t="e">
        <f>OI_param_clmax_Jan</f>
        <v>#REF!</v>
      </c>
    </row>
    <row r="250" spans="1:5" x14ac:dyDescent="0.25">
      <c r="A250" s="1" t="s">
        <v>242</v>
      </c>
      <c r="B250" t="s">
        <v>501</v>
      </c>
      <c r="C250" t="s">
        <v>502</v>
      </c>
      <c r="D250" t="e">
        <f>OI_param_clmax_Feb</f>
        <v>#REF!</v>
      </c>
    </row>
    <row r="251" spans="1:5" x14ac:dyDescent="0.25">
      <c r="A251" s="1" t="s">
        <v>242</v>
      </c>
      <c r="B251" t="s">
        <v>503</v>
      </c>
      <c r="C251" t="s">
        <v>504</v>
      </c>
      <c r="D251" t="e">
        <f>OI_param_clmax_Mar</f>
        <v>#REF!</v>
      </c>
    </row>
    <row r="252" spans="1:5" x14ac:dyDescent="0.25">
      <c r="A252" s="1" t="s">
        <v>242</v>
      </c>
      <c r="B252" t="s">
        <v>505</v>
      </c>
      <c r="C252" t="s">
        <v>506</v>
      </c>
      <c r="D252" t="e">
        <f>OI_param_clmax_Apr</f>
        <v>#REF!</v>
      </c>
    </row>
    <row r="253" spans="1:5" x14ac:dyDescent="0.25">
      <c r="A253" s="1" t="s">
        <v>242</v>
      </c>
      <c r="B253" t="s">
        <v>507</v>
      </c>
      <c r="C253" t="s">
        <v>508</v>
      </c>
      <c r="D253" t="e">
        <f>OI_param_clmax_May</f>
        <v>#REF!</v>
      </c>
    </row>
    <row r="254" spans="1:5" x14ac:dyDescent="0.25">
      <c r="A254" s="1" t="s">
        <v>242</v>
      </c>
      <c r="B254" t="s">
        <v>509</v>
      </c>
      <c r="C254" t="s">
        <v>510</v>
      </c>
      <c r="D254" t="e">
        <f>OI_param_clmax_Jun</f>
        <v>#REF!</v>
      </c>
    </row>
    <row r="255" spans="1:5" x14ac:dyDescent="0.25">
      <c r="A255" s="1" t="s">
        <v>242</v>
      </c>
      <c r="B255" t="s">
        <v>511</v>
      </c>
      <c r="C255" t="s">
        <v>512</v>
      </c>
      <c r="D255" t="e">
        <f>OI_param_clmax_Jul</f>
        <v>#REF!</v>
      </c>
    </row>
    <row r="256" spans="1:5" x14ac:dyDescent="0.25">
      <c r="A256" s="1" t="s">
        <v>242</v>
      </c>
      <c r="B256" t="s">
        <v>513</v>
      </c>
      <c r="C256" t="s">
        <v>514</v>
      </c>
      <c r="D256" t="e">
        <f>OI_param_clmax_Aug</f>
        <v>#REF!</v>
      </c>
    </row>
    <row r="257" spans="1:5" x14ac:dyDescent="0.25">
      <c r="A257" s="1" t="s">
        <v>242</v>
      </c>
      <c r="B257" t="s">
        <v>515</v>
      </c>
      <c r="C257" t="s">
        <v>516</v>
      </c>
      <c r="D257" t="e">
        <f>OI_param_clmax_Sep</f>
        <v>#REF!</v>
      </c>
    </row>
    <row r="258" spans="1:5" x14ac:dyDescent="0.25">
      <c r="A258" s="1" t="s">
        <v>242</v>
      </c>
      <c r="B258" t="s">
        <v>517</v>
      </c>
      <c r="C258" t="s">
        <v>518</v>
      </c>
      <c r="D258" t="e">
        <f>OI_param_clmax_Oct</f>
        <v>#REF!</v>
      </c>
    </row>
    <row r="259" spans="1:5" x14ac:dyDescent="0.25">
      <c r="A259" s="1" t="s">
        <v>242</v>
      </c>
      <c r="B259" t="s">
        <v>519</v>
      </c>
      <c r="C259" t="s">
        <v>520</v>
      </c>
      <c r="D259" t="e">
        <f>OI_param_clmax_Nov</f>
        <v>#REF!</v>
      </c>
    </row>
    <row r="260" spans="1:5" x14ac:dyDescent="0.25">
      <c r="A260" s="1" t="s">
        <v>242</v>
      </c>
      <c r="B260" t="s">
        <v>521</v>
      </c>
      <c r="C260" t="s">
        <v>522</v>
      </c>
      <c r="D260" t="e">
        <f>OI_param_clmax_Dec</f>
        <v>#REF!</v>
      </c>
    </row>
    <row r="261" spans="1:5" x14ac:dyDescent="0.25">
      <c r="A261" s="1" t="s">
        <v>242</v>
      </c>
      <c r="B261" t="s">
        <v>523</v>
      </c>
      <c r="C261" t="s">
        <v>524</v>
      </c>
      <c r="D261" t="e">
        <f>OI_param_clmin</f>
        <v>#REF!</v>
      </c>
    </row>
    <row r="262" spans="1:5" x14ac:dyDescent="0.25">
      <c r="A262" s="1" t="s">
        <v>242</v>
      </c>
      <c r="B262" t="s">
        <v>525</v>
      </c>
      <c r="C262" t="s">
        <v>526</v>
      </c>
      <c r="D262" t="e">
        <f>OI_param_clmin_var</f>
        <v>#REF!</v>
      </c>
      <c r="E262" t="e">
        <f>(D262="&lt;Choose&gt;")</f>
        <v>#REF!</v>
      </c>
    </row>
    <row r="263" spans="1:5" x14ac:dyDescent="0.25">
      <c r="A263" s="1" t="s">
        <v>242</v>
      </c>
      <c r="B263" t="s">
        <v>527</v>
      </c>
      <c r="C263" t="s">
        <v>528</v>
      </c>
      <c r="D263" t="e">
        <f>OI_param_clmin_Jan</f>
        <v>#REF!</v>
      </c>
    </row>
    <row r="264" spans="1:5" x14ac:dyDescent="0.25">
      <c r="A264" s="1" t="s">
        <v>242</v>
      </c>
      <c r="B264" t="s">
        <v>529</v>
      </c>
      <c r="C264" t="s">
        <v>530</v>
      </c>
      <c r="D264" t="e">
        <f>OI_param_clmin_Feb</f>
        <v>#REF!</v>
      </c>
    </row>
    <row r="265" spans="1:5" x14ac:dyDescent="0.25">
      <c r="A265" s="1" t="s">
        <v>242</v>
      </c>
      <c r="B265" t="s">
        <v>531</v>
      </c>
      <c r="C265" t="s">
        <v>532</v>
      </c>
      <c r="D265" t="e">
        <f>OI_param_clmin_Mar</f>
        <v>#REF!</v>
      </c>
    </row>
    <row r="266" spans="1:5" x14ac:dyDescent="0.25">
      <c r="A266" s="1" t="s">
        <v>242</v>
      </c>
      <c r="B266" t="s">
        <v>533</v>
      </c>
      <c r="C266" t="s">
        <v>534</v>
      </c>
      <c r="D266" t="e">
        <f>OI_param_clmin_Apr</f>
        <v>#REF!</v>
      </c>
    </row>
    <row r="267" spans="1:5" x14ac:dyDescent="0.25">
      <c r="A267" s="1" t="s">
        <v>242</v>
      </c>
      <c r="B267" t="s">
        <v>535</v>
      </c>
      <c r="C267" t="s">
        <v>536</v>
      </c>
      <c r="D267" t="e">
        <f>OI_param_clmin_May</f>
        <v>#REF!</v>
      </c>
    </row>
    <row r="268" spans="1:5" x14ac:dyDescent="0.25">
      <c r="A268" s="1" t="s">
        <v>242</v>
      </c>
      <c r="B268" t="s">
        <v>537</v>
      </c>
      <c r="C268" t="s">
        <v>538</v>
      </c>
      <c r="D268" t="e">
        <f>OI_param_clmin_Jun</f>
        <v>#REF!</v>
      </c>
    </row>
    <row r="269" spans="1:5" x14ac:dyDescent="0.25">
      <c r="A269" s="1" t="s">
        <v>242</v>
      </c>
      <c r="B269" t="s">
        <v>539</v>
      </c>
      <c r="C269" t="s">
        <v>540</v>
      </c>
      <c r="D269" t="e">
        <f>OI_param_clmin_Jul</f>
        <v>#REF!</v>
      </c>
    </row>
    <row r="270" spans="1:5" x14ac:dyDescent="0.25">
      <c r="A270" s="1" t="s">
        <v>242</v>
      </c>
      <c r="B270" t="s">
        <v>541</v>
      </c>
      <c r="C270" t="s">
        <v>542</v>
      </c>
      <c r="D270" t="e">
        <f>OI_param_clmin_Aug</f>
        <v>#REF!</v>
      </c>
    </row>
    <row r="271" spans="1:5" x14ac:dyDescent="0.25">
      <c r="A271" s="1" t="s">
        <v>242</v>
      </c>
      <c r="B271" t="s">
        <v>543</v>
      </c>
      <c r="C271" t="s">
        <v>544</v>
      </c>
      <c r="D271" t="e">
        <f>OI_param_clmin_Sep</f>
        <v>#REF!</v>
      </c>
    </row>
    <row r="272" spans="1:5" x14ac:dyDescent="0.25">
      <c r="A272" s="1" t="s">
        <v>242</v>
      </c>
      <c r="B272" t="s">
        <v>545</v>
      </c>
      <c r="C272" t="s">
        <v>546</v>
      </c>
      <c r="D272" t="e">
        <f>OI_param_clmin_Oct</f>
        <v>#REF!</v>
      </c>
    </row>
    <row r="273" spans="1:5" x14ac:dyDescent="0.25">
      <c r="A273" s="1" t="s">
        <v>242</v>
      </c>
      <c r="B273" t="s">
        <v>547</v>
      </c>
      <c r="C273" t="s">
        <v>548</v>
      </c>
      <c r="D273" t="e">
        <f>OI_param_clmin_Nov</f>
        <v>#REF!</v>
      </c>
    </row>
    <row r="274" spans="1:5" x14ac:dyDescent="0.25">
      <c r="A274" s="1" t="s">
        <v>242</v>
      </c>
      <c r="B274" t="s">
        <v>549</v>
      </c>
      <c r="C274" t="s">
        <v>550</v>
      </c>
      <c r="D274" t="e">
        <f>OI_param_clmin_Dec</f>
        <v>#REF!</v>
      </c>
    </row>
    <row r="275" spans="1:5" x14ac:dyDescent="0.25">
      <c r="A275" s="1" t="s">
        <v>242</v>
      </c>
      <c r="B275" t="s">
        <v>551</v>
      </c>
      <c r="C275" t="s">
        <v>552</v>
      </c>
      <c r="D275" t="e">
        <f>OI_param_acr</f>
        <v>#REF!</v>
      </c>
    </row>
    <row r="276" spans="1:5" x14ac:dyDescent="0.25">
      <c r="A276" s="1" t="s">
        <v>242</v>
      </c>
      <c r="B276" t="s">
        <v>553</v>
      </c>
      <c r="C276" t="s">
        <v>554</v>
      </c>
      <c r="D276" t="e">
        <f>OI_param_acr_var</f>
        <v>#REF!</v>
      </c>
      <c r="E276" t="e">
        <f>(D276="&lt;Choose&gt;")</f>
        <v>#REF!</v>
      </c>
    </row>
    <row r="277" spans="1:5" x14ac:dyDescent="0.25">
      <c r="A277" s="1" t="s">
        <v>242</v>
      </c>
      <c r="B277" t="s">
        <v>555</v>
      </c>
      <c r="C277" t="s">
        <v>556</v>
      </c>
      <c r="D277" t="e">
        <f>OI_param_acr_Jan</f>
        <v>#REF!</v>
      </c>
    </row>
    <row r="278" spans="1:5" x14ac:dyDescent="0.25">
      <c r="A278" s="1" t="s">
        <v>242</v>
      </c>
      <c r="B278" t="s">
        <v>557</v>
      </c>
      <c r="C278" t="s">
        <v>558</v>
      </c>
      <c r="D278" t="e">
        <f>OI_param_acr_Feb</f>
        <v>#REF!</v>
      </c>
    </row>
    <row r="279" spans="1:5" x14ac:dyDescent="0.25">
      <c r="A279" s="1" t="s">
        <v>242</v>
      </c>
      <c r="B279" t="s">
        <v>559</v>
      </c>
      <c r="C279" t="s">
        <v>560</v>
      </c>
      <c r="D279" t="e">
        <f>OI_param_acr_Mar</f>
        <v>#REF!</v>
      </c>
    </row>
    <row r="280" spans="1:5" x14ac:dyDescent="0.25">
      <c r="A280" s="1" t="s">
        <v>242</v>
      </c>
      <c r="B280" t="s">
        <v>561</v>
      </c>
      <c r="C280" t="s">
        <v>562</v>
      </c>
      <c r="D280" t="e">
        <f>OI_param_acr_Apr</f>
        <v>#REF!</v>
      </c>
    </row>
    <row r="281" spans="1:5" x14ac:dyDescent="0.25">
      <c r="A281" s="1" t="s">
        <v>242</v>
      </c>
      <c r="B281" t="s">
        <v>563</v>
      </c>
      <c r="C281" t="s">
        <v>564</v>
      </c>
      <c r="D281" t="e">
        <f>OI_param_acr_May</f>
        <v>#REF!</v>
      </c>
    </row>
    <row r="282" spans="1:5" x14ac:dyDescent="0.25">
      <c r="A282" s="1" t="s">
        <v>242</v>
      </c>
      <c r="B282" t="s">
        <v>565</v>
      </c>
      <c r="C282" t="s">
        <v>566</v>
      </c>
      <c r="D282" t="e">
        <f>OI_param_acr_Jun</f>
        <v>#REF!</v>
      </c>
    </row>
    <row r="283" spans="1:5" x14ac:dyDescent="0.25">
      <c r="A283" s="1" t="s">
        <v>242</v>
      </c>
      <c r="B283" t="s">
        <v>567</v>
      </c>
      <c r="C283" t="s">
        <v>568</v>
      </c>
      <c r="D283" t="e">
        <f>OI_param_acr_Jul</f>
        <v>#REF!</v>
      </c>
    </row>
    <row r="284" spans="1:5" x14ac:dyDescent="0.25">
      <c r="A284" s="1" t="s">
        <v>242</v>
      </c>
      <c r="B284" t="s">
        <v>569</v>
      </c>
      <c r="C284" t="s">
        <v>570</v>
      </c>
      <c r="D284" t="e">
        <f>OI_param_acr_Aug</f>
        <v>#REF!</v>
      </c>
    </row>
    <row r="285" spans="1:5" x14ac:dyDescent="0.25">
      <c r="A285" s="1" t="s">
        <v>242</v>
      </c>
      <c r="B285" t="s">
        <v>571</v>
      </c>
      <c r="C285" t="s">
        <v>572</v>
      </c>
      <c r="D285" t="e">
        <f>OI_param_acr_Sep</f>
        <v>#REF!</v>
      </c>
    </row>
    <row r="286" spans="1:5" x14ac:dyDescent="0.25">
      <c r="A286" s="1" t="s">
        <v>242</v>
      </c>
      <c r="B286" t="s">
        <v>573</v>
      </c>
      <c r="C286" t="s">
        <v>574</v>
      </c>
      <c r="D286" t="e">
        <f>OI_param_acr_Oct</f>
        <v>#REF!</v>
      </c>
    </row>
    <row r="287" spans="1:5" x14ac:dyDescent="0.25">
      <c r="A287" s="1" t="s">
        <v>242</v>
      </c>
      <c r="B287" t="s">
        <v>575</v>
      </c>
      <c r="C287" t="s">
        <v>576</v>
      </c>
      <c r="D287" t="e">
        <f>OI_param_acr_Nov</f>
        <v>#REF!</v>
      </c>
    </row>
    <row r="288" spans="1:5" x14ac:dyDescent="0.25">
      <c r="A288" s="1" t="s">
        <v>242</v>
      </c>
      <c r="B288" t="s">
        <v>577</v>
      </c>
      <c r="C288" t="s">
        <v>578</v>
      </c>
      <c r="D288" t="e">
        <f>OI_param_acr_Dec</f>
        <v>#REF!</v>
      </c>
    </row>
    <row r="289" spans="1:5" x14ac:dyDescent="0.25">
      <c r="A289" s="1" t="s">
        <v>242</v>
      </c>
      <c r="B289" t="s">
        <v>579</v>
      </c>
      <c r="C289" t="s">
        <v>580</v>
      </c>
      <c r="D289" t="e">
        <f>OI_param_mdfc</f>
        <v>#REF!</v>
      </c>
    </row>
    <row r="290" spans="1:5" x14ac:dyDescent="0.25">
      <c r="A290" s="1" t="s">
        <v>242</v>
      </c>
      <c r="B290" t="s">
        <v>581</v>
      </c>
      <c r="C290" t="s">
        <v>582</v>
      </c>
      <c r="D290" t="e">
        <f>OI_param_mdfc_var</f>
        <v>#REF!</v>
      </c>
      <c r="E290" t="e">
        <f>(D290="&lt;Choose&gt;")</f>
        <v>#REF!</v>
      </c>
    </row>
    <row r="291" spans="1:5" x14ac:dyDescent="0.25">
      <c r="A291" s="1" t="s">
        <v>242</v>
      </c>
      <c r="B291" t="s">
        <v>583</v>
      </c>
      <c r="C291" t="s">
        <v>584</v>
      </c>
      <c r="D291" t="e">
        <f>OI_param_mdfc_Jan</f>
        <v>#REF!</v>
      </c>
    </row>
    <row r="292" spans="1:5" x14ac:dyDescent="0.25">
      <c r="A292" s="1" t="s">
        <v>242</v>
      </c>
      <c r="B292" t="s">
        <v>585</v>
      </c>
      <c r="C292" t="s">
        <v>586</v>
      </c>
      <c r="D292" t="e">
        <f>OI_param_mdfc_Feb</f>
        <v>#REF!</v>
      </c>
    </row>
    <row r="293" spans="1:5" x14ac:dyDescent="0.25">
      <c r="A293" s="1" t="s">
        <v>242</v>
      </c>
      <c r="B293" t="s">
        <v>587</v>
      </c>
      <c r="C293" t="s">
        <v>588</v>
      </c>
      <c r="D293" t="e">
        <f>OI_param_mdfc_Mar</f>
        <v>#REF!</v>
      </c>
    </row>
    <row r="294" spans="1:5" x14ac:dyDescent="0.25">
      <c r="A294" s="1" t="s">
        <v>242</v>
      </c>
      <c r="B294" t="s">
        <v>589</v>
      </c>
      <c r="C294" t="s">
        <v>590</v>
      </c>
      <c r="D294" t="e">
        <f>OI_param_mdfc_Apr</f>
        <v>#REF!</v>
      </c>
    </row>
    <row r="295" spans="1:5" x14ac:dyDescent="0.25">
      <c r="A295" s="1" t="s">
        <v>242</v>
      </c>
      <c r="B295" t="s">
        <v>591</v>
      </c>
      <c r="C295" t="s">
        <v>592</v>
      </c>
      <c r="D295" t="e">
        <f>OI_param_mdfc_May</f>
        <v>#REF!</v>
      </c>
    </row>
    <row r="296" spans="1:5" x14ac:dyDescent="0.25">
      <c r="A296" s="1" t="s">
        <v>242</v>
      </c>
      <c r="B296" t="s">
        <v>593</v>
      </c>
      <c r="C296" t="s">
        <v>594</v>
      </c>
      <c r="D296" t="e">
        <f>OI_param_mdfc_Jun</f>
        <v>#REF!</v>
      </c>
    </row>
    <row r="297" spans="1:5" x14ac:dyDescent="0.25">
      <c r="A297" s="1" t="s">
        <v>242</v>
      </c>
      <c r="B297" t="s">
        <v>595</v>
      </c>
      <c r="C297" t="s">
        <v>596</v>
      </c>
      <c r="D297" t="e">
        <f>OI_param_mdfc_Jul</f>
        <v>#REF!</v>
      </c>
    </row>
    <row r="298" spans="1:5" x14ac:dyDescent="0.25">
      <c r="A298" s="1" t="s">
        <v>242</v>
      </c>
      <c r="B298" t="s">
        <v>597</v>
      </c>
      <c r="C298" t="s">
        <v>598</v>
      </c>
      <c r="D298" t="e">
        <f>OI_param_mdfc_Aug</f>
        <v>#REF!</v>
      </c>
    </row>
    <row r="299" spans="1:5" x14ac:dyDescent="0.25">
      <c r="A299" s="1" t="s">
        <v>242</v>
      </c>
      <c r="B299" t="s">
        <v>599</v>
      </c>
      <c r="C299" t="s">
        <v>600</v>
      </c>
      <c r="D299" t="e">
        <f>OI_param_mdfc_Sep</f>
        <v>#REF!</v>
      </c>
    </row>
    <row r="300" spans="1:5" x14ac:dyDescent="0.25">
      <c r="A300" s="1" t="s">
        <v>242</v>
      </c>
      <c r="B300" t="s">
        <v>601</v>
      </c>
      <c r="C300" t="s">
        <v>602</v>
      </c>
      <c r="D300" t="e">
        <f>OI_param_mdfc_Oct</f>
        <v>#REF!</v>
      </c>
    </row>
    <row r="301" spans="1:5" x14ac:dyDescent="0.25">
      <c r="A301" s="1" t="s">
        <v>242</v>
      </c>
      <c r="B301" t="s">
        <v>603</v>
      </c>
      <c r="C301" t="s">
        <v>604</v>
      </c>
      <c r="D301" t="e">
        <f>OI_param_mdfc_Nov</f>
        <v>#REF!</v>
      </c>
    </row>
    <row r="302" spans="1:5" x14ac:dyDescent="0.25">
      <c r="A302" s="1" t="s">
        <v>242</v>
      </c>
      <c r="B302" t="s">
        <v>605</v>
      </c>
      <c r="C302" t="s">
        <v>606</v>
      </c>
      <c r="D302" t="e">
        <f>OI_param_mdfc_Dec</f>
        <v>#REF!</v>
      </c>
    </row>
    <row r="303" spans="1:5" x14ac:dyDescent="0.25">
      <c r="A303" s="1" t="s">
        <v>242</v>
      </c>
      <c r="B303" t="s">
        <v>607</v>
      </c>
      <c r="C303" t="s">
        <v>608</v>
      </c>
      <c r="D303" t="e">
        <f>OI_param_il</f>
        <v>#REF!</v>
      </c>
    </row>
    <row r="304" spans="1:5" x14ac:dyDescent="0.25">
      <c r="A304" s="1" t="s">
        <v>242</v>
      </c>
      <c r="B304" t="s">
        <v>609</v>
      </c>
      <c r="C304" t="s">
        <v>610</v>
      </c>
      <c r="D304" t="e">
        <f>OI_param_il_var</f>
        <v>#REF!</v>
      </c>
      <c r="E304" t="e">
        <f>(D304="&lt;Choose&gt;")</f>
        <v>#REF!</v>
      </c>
    </row>
    <row r="305" spans="1:5" x14ac:dyDescent="0.25">
      <c r="A305" s="1" t="s">
        <v>242</v>
      </c>
      <c r="B305" t="s">
        <v>611</v>
      </c>
      <c r="C305" t="s">
        <v>612</v>
      </c>
      <c r="D305" t="e">
        <f>OI_param_il_Jan</f>
        <v>#REF!</v>
      </c>
    </row>
    <row r="306" spans="1:5" x14ac:dyDescent="0.25">
      <c r="A306" s="1" t="s">
        <v>242</v>
      </c>
      <c r="B306" t="s">
        <v>613</v>
      </c>
      <c r="C306" t="s">
        <v>614</v>
      </c>
      <c r="D306" t="e">
        <f>OI_param_il_Feb</f>
        <v>#REF!</v>
      </c>
    </row>
    <row r="307" spans="1:5" x14ac:dyDescent="0.25">
      <c r="A307" s="1" t="s">
        <v>242</v>
      </c>
      <c r="B307" t="s">
        <v>615</v>
      </c>
      <c r="C307" t="s">
        <v>616</v>
      </c>
      <c r="D307" t="e">
        <f>OI_param_il_Mar</f>
        <v>#REF!</v>
      </c>
    </row>
    <row r="308" spans="1:5" x14ac:dyDescent="0.25">
      <c r="A308" s="1" t="s">
        <v>242</v>
      </c>
      <c r="B308" t="s">
        <v>617</v>
      </c>
      <c r="C308" t="s">
        <v>618</v>
      </c>
      <c r="D308" t="e">
        <f>OI_param_il_Apr</f>
        <v>#REF!</v>
      </c>
    </row>
    <row r="309" spans="1:5" x14ac:dyDescent="0.25">
      <c r="A309" s="1" t="s">
        <v>242</v>
      </c>
      <c r="B309" t="s">
        <v>619</v>
      </c>
      <c r="C309" t="s">
        <v>620</v>
      </c>
      <c r="D309" t="e">
        <f>OI_param_il_May</f>
        <v>#REF!</v>
      </c>
    </row>
    <row r="310" spans="1:5" x14ac:dyDescent="0.25">
      <c r="A310" s="1" t="s">
        <v>242</v>
      </c>
      <c r="B310" t="s">
        <v>621</v>
      </c>
      <c r="C310" t="s">
        <v>622</v>
      </c>
      <c r="D310" t="e">
        <f>OI_param_il_Jun</f>
        <v>#REF!</v>
      </c>
    </row>
    <row r="311" spans="1:5" x14ac:dyDescent="0.25">
      <c r="A311" s="1" t="s">
        <v>242</v>
      </c>
      <c r="B311" t="s">
        <v>623</v>
      </c>
      <c r="C311" t="s">
        <v>624</v>
      </c>
      <c r="D311" t="e">
        <f>OI_param_il_Jul</f>
        <v>#REF!</v>
      </c>
    </row>
    <row r="312" spans="1:5" x14ac:dyDescent="0.25">
      <c r="A312" s="1" t="s">
        <v>242</v>
      </c>
      <c r="B312" t="s">
        <v>625</v>
      </c>
      <c r="C312" t="s">
        <v>626</v>
      </c>
      <c r="D312" t="e">
        <f>OI_param_il_Aug</f>
        <v>#REF!</v>
      </c>
    </row>
    <row r="313" spans="1:5" x14ac:dyDescent="0.25">
      <c r="A313" s="1" t="s">
        <v>242</v>
      </c>
      <c r="B313" t="s">
        <v>627</v>
      </c>
      <c r="C313" t="s">
        <v>628</v>
      </c>
      <c r="D313" t="e">
        <f>OI_param_il_Sep</f>
        <v>#REF!</v>
      </c>
    </row>
    <row r="314" spans="1:5" x14ac:dyDescent="0.25">
      <c r="A314" s="1" t="s">
        <v>242</v>
      </c>
      <c r="B314" t="s">
        <v>629</v>
      </c>
      <c r="C314" t="s">
        <v>630</v>
      </c>
      <c r="D314" t="e">
        <f>OI_param_il_Oct</f>
        <v>#REF!</v>
      </c>
    </row>
    <row r="315" spans="1:5" x14ac:dyDescent="0.25">
      <c r="A315" s="1" t="s">
        <v>242</v>
      </c>
      <c r="B315" t="s">
        <v>631</v>
      </c>
      <c r="C315" t="s">
        <v>632</v>
      </c>
      <c r="D315" t="e">
        <f>OI_param_il_Nov</f>
        <v>#REF!</v>
      </c>
    </row>
    <row r="316" spans="1:5" x14ac:dyDescent="0.25">
      <c r="A316" s="1" t="s">
        <v>242</v>
      </c>
      <c r="B316" t="s">
        <v>633</v>
      </c>
      <c r="C316" t="s">
        <v>634</v>
      </c>
      <c r="D316" t="e">
        <f>OI_param_il_Dec</f>
        <v>#REF!</v>
      </c>
    </row>
    <row r="317" spans="1:5" x14ac:dyDescent="0.25">
      <c r="A317" s="1" t="s">
        <v>242</v>
      </c>
      <c r="B317" t="s">
        <v>635</v>
      </c>
      <c r="C317" t="s">
        <v>636</v>
      </c>
      <c r="D317" t="e">
        <f>OI_param_srte</f>
        <v>#REF!</v>
      </c>
      <c r="E317" t="e">
        <f t="shared" ref="E317:E347" si="7">(D317=0)</f>
        <v>#REF!</v>
      </c>
    </row>
    <row r="318" spans="1:5" x14ac:dyDescent="0.25">
      <c r="A318" s="1" t="s">
        <v>242</v>
      </c>
      <c r="B318" t="s">
        <v>637</v>
      </c>
      <c r="C318" t="s">
        <v>638</v>
      </c>
      <c r="D318" t="e">
        <f>OI_param_ssd</f>
        <v>#REF!</v>
      </c>
      <c r="E318" t="e">
        <f t="shared" si="7"/>
        <v>#REF!</v>
      </c>
    </row>
    <row r="319" spans="1:5" x14ac:dyDescent="0.25">
      <c r="A319" s="1" t="s">
        <v>242</v>
      </c>
      <c r="B319" t="s">
        <v>639</v>
      </c>
      <c r="C319" t="s">
        <v>640</v>
      </c>
      <c r="D319" t="e">
        <f>OI_param_aacd</f>
        <v>#REF!</v>
      </c>
      <c r="E319" t="e">
        <f t="shared" si="7"/>
        <v>#REF!</v>
      </c>
    </row>
    <row r="320" spans="1:5" x14ac:dyDescent="0.25">
      <c r="A320" s="1" t="s">
        <v>242</v>
      </c>
      <c r="B320" t="s">
        <v>641</v>
      </c>
      <c r="C320" t="s">
        <v>642</v>
      </c>
      <c r="D320" t="e">
        <f>OI_dtl_nst</f>
        <v>#REF!</v>
      </c>
      <c r="E320" t="e">
        <f t="shared" si="7"/>
        <v>#REF!</v>
      </c>
    </row>
    <row r="321" spans="1:5" x14ac:dyDescent="0.25">
      <c r="A321" s="1" t="s">
        <v>242</v>
      </c>
      <c r="B321" t="s">
        <v>643</v>
      </c>
      <c r="C321" t="s">
        <v>644</v>
      </c>
      <c r="D321" t="e">
        <f>OI_dtl_tuds</f>
        <v>#REF!</v>
      </c>
      <c r="E321" t="e">
        <f t="shared" si="7"/>
        <v>#REF!</v>
      </c>
    </row>
    <row r="322" spans="1:5" x14ac:dyDescent="0.25">
      <c r="A322" s="1" t="s">
        <v>242</v>
      </c>
      <c r="B322" t="s">
        <v>645</v>
      </c>
      <c r="C322" t="s">
        <v>646</v>
      </c>
      <c r="D322" t="e">
        <f>OI_dtl_rtcpmin</f>
        <v>#REF!</v>
      </c>
      <c r="E322" t="e">
        <f t="shared" si="7"/>
        <v>#REF!</v>
      </c>
    </row>
    <row r="323" spans="1:5" x14ac:dyDescent="0.25">
      <c r="A323" s="1" t="s">
        <v>242</v>
      </c>
      <c r="B323" t="s">
        <v>647</v>
      </c>
      <c r="C323" t="s">
        <v>648</v>
      </c>
      <c r="D323" t="e">
        <f>OI_dtl_rtdpmin</f>
        <v>#REF!</v>
      </c>
      <c r="E323" t="e">
        <f t="shared" si="7"/>
        <v>#REF!</v>
      </c>
    </row>
    <row r="324" spans="1:5" x14ac:dyDescent="0.25">
      <c r="A324" s="1" t="s">
        <v>242</v>
      </c>
      <c r="B324" t="s">
        <v>649</v>
      </c>
      <c r="C324" t="s">
        <v>650</v>
      </c>
      <c r="D324" t="e">
        <f>OI_dtl_dtrdpmin</f>
        <v>#REF!</v>
      </c>
      <c r="E324" t="e">
        <f t="shared" si="7"/>
        <v>#REF!</v>
      </c>
    </row>
    <row r="325" spans="1:5" x14ac:dyDescent="0.25">
      <c r="A325" s="1" t="s">
        <v>242</v>
      </c>
      <c r="B325" t="s">
        <v>651</v>
      </c>
      <c r="C325" t="s">
        <v>652</v>
      </c>
      <c r="D325" t="e">
        <f>OI_dtl_dtrcpmin</f>
        <v>#REF!</v>
      </c>
      <c r="E325" t="e">
        <f t="shared" si="7"/>
        <v>#REF!</v>
      </c>
    </row>
    <row r="326" spans="1:5" x14ac:dyDescent="0.25">
      <c r="A326" s="1" t="s">
        <v>242</v>
      </c>
      <c r="B326" t="s">
        <v>653</v>
      </c>
      <c r="C326" t="s">
        <v>654</v>
      </c>
      <c r="D326" t="e">
        <f>OI_rr_dtdrate</f>
        <v>#REF!</v>
      </c>
      <c r="E326" t="e">
        <f t="shared" si="7"/>
        <v>#REF!</v>
      </c>
    </row>
    <row r="327" spans="1:5" x14ac:dyDescent="0.25">
      <c r="A327" s="1" t="s">
        <v>242</v>
      </c>
      <c r="B327" t="s">
        <v>655</v>
      </c>
      <c r="C327" t="s">
        <v>656</v>
      </c>
      <c r="D327" t="e">
        <f>OI_rr_dtd</f>
        <v>#REF!</v>
      </c>
      <c r="E327" t="e">
        <f t="shared" si="7"/>
        <v>#REF!</v>
      </c>
    </row>
    <row r="328" spans="1:5" x14ac:dyDescent="0.25">
      <c r="A328" s="1" t="s">
        <v>242</v>
      </c>
      <c r="B328" t="s">
        <v>657</v>
      </c>
      <c r="C328" t="s">
        <v>658</v>
      </c>
      <c r="D328" t="e">
        <f>OI_rr_ctc</f>
        <v>#REF!</v>
      </c>
      <c r="E328" t="e">
        <f t="shared" si="7"/>
        <v>#REF!</v>
      </c>
    </row>
    <row r="329" spans="1:5" x14ac:dyDescent="0.25">
      <c r="A329" s="1" t="s">
        <v>242</v>
      </c>
      <c r="B329" t="s">
        <v>659</v>
      </c>
      <c r="C329" t="s">
        <v>660</v>
      </c>
      <c r="D329" t="e">
        <f>OI_rr_ctcrate</f>
        <v>#REF!</v>
      </c>
      <c r="E329" t="e">
        <f t="shared" si="7"/>
        <v>#REF!</v>
      </c>
    </row>
    <row r="330" spans="1:5" x14ac:dyDescent="0.25">
      <c r="A330" s="1" t="s">
        <v>242</v>
      </c>
      <c r="B330" t="s">
        <v>661</v>
      </c>
      <c r="C330" t="s">
        <v>662</v>
      </c>
      <c r="D330" t="e">
        <f>OI_rr_rrrhighmin</f>
        <v>#REF!</v>
      </c>
      <c r="E330" t="e">
        <f t="shared" si="7"/>
        <v>#REF!</v>
      </c>
    </row>
    <row r="331" spans="1:5" x14ac:dyDescent="0.25">
      <c r="A331" s="1" t="s">
        <v>242</v>
      </c>
      <c r="B331" t="s">
        <v>663</v>
      </c>
      <c r="C331" t="s">
        <v>664</v>
      </c>
      <c r="D331" t="e">
        <f>OI_rr_rrrhighmax</f>
        <v>#REF!</v>
      </c>
      <c r="E331" t="e">
        <f t="shared" si="7"/>
        <v>#REF!</v>
      </c>
    </row>
    <row r="332" spans="1:5" x14ac:dyDescent="0.25">
      <c r="A332" s="1" t="s">
        <v>242</v>
      </c>
      <c r="B332" t="s">
        <v>665</v>
      </c>
      <c r="C332" t="s">
        <v>666</v>
      </c>
      <c r="D332" t="e">
        <f>OI_rr_rrrhighavg</f>
        <v>#REF!</v>
      </c>
      <c r="E332" t="e">
        <f t="shared" si="7"/>
        <v>#REF!</v>
      </c>
    </row>
    <row r="333" spans="1:5" x14ac:dyDescent="0.25">
      <c r="A333" s="1" t="s">
        <v>242</v>
      </c>
      <c r="B333" t="s">
        <v>667</v>
      </c>
      <c r="C333" t="s">
        <v>668</v>
      </c>
      <c r="D333" t="e">
        <f>OI_rr_rrrhighlimit</f>
        <v>#REF!</v>
      </c>
      <c r="E333" t="e">
        <f t="shared" si="7"/>
        <v>#REF!</v>
      </c>
    </row>
    <row r="334" spans="1:5" x14ac:dyDescent="0.25">
      <c r="A334" s="1" t="s">
        <v>242</v>
      </c>
      <c r="B334" t="s">
        <v>669</v>
      </c>
      <c r="C334" t="s">
        <v>670</v>
      </c>
      <c r="D334" t="e">
        <f>OI_rr_rrrlowmin</f>
        <v>#REF!</v>
      </c>
      <c r="E334" t="e">
        <f t="shared" si="7"/>
        <v>#REF!</v>
      </c>
    </row>
    <row r="335" spans="1:5" x14ac:dyDescent="0.25">
      <c r="A335" s="1" t="s">
        <v>242</v>
      </c>
      <c r="B335" t="s">
        <v>671</v>
      </c>
      <c r="C335" t="s">
        <v>672</v>
      </c>
      <c r="D335" t="e">
        <f>OI_rr_rrrlowmax</f>
        <v>#REF!</v>
      </c>
      <c r="E335" t="e">
        <f t="shared" si="7"/>
        <v>#REF!</v>
      </c>
    </row>
    <row r="336" spans="1:5" x14ac:dyDescent="0.25">
      <c r="A336" s="1" t="s">
        <v>242</v>
      </c>
      <c r="B336" t="s">
        <v>673</v>
      </c>
      <c r="C336" t="s">
        <v>674</v>
      </c>
      <c r="D336" t="e">
        <f>OI_rr_rrrlowavg</f>
        <v>#REF!</v>
      </c>
      <c r="E336" t="e">
        <f t="shared" si="7"/>
        <v>#REF!</v>
      </c>
    </row>
    <row r="337" spans="1:5" x14ac:dyDescent="0.25">
      <c r="A337" s="1" t="s">
        <v>242</v>
      </c>
      <c r="B337" t="s">
        <v>675</v>
      </c>
      <c r="C337" t="s">
        <v>676</v>
      </c>
      <c r="D337" t="e">
        <f>OI_rr_rrrlowlimit</f>
        <v>#REF!</v>
      </c>
      <c r="E337" t="e">
        <f t="shared" si="7"/>
        <v>#REF!</v>
      </c>
    </row>
    <row r="338" spans="1:5" x14ac:dyDescent="0.25">
      <c r="A338" s="1" t="s">
        <v>242</v>
      </c>
      <c r="B338" t="s">
        <v>677</v>
      </c>
      <c r="C338" t="s">
        <v>678</v>
      </c>
      <c r="D338" t="e">
        <f>OI_cl_maxdc</f>
        <v>#REF!</v>
      </c>
      <c r="E338" t="e">
        <f t="shared" si="7"/>
        <v>#REF!</v>
      </c>
    </row>
    <row r="339" spans="1:5" x14ac:dyDescent="0.25">
      <c r="A339" s="1" t="s">
        <v>242</v>
      </c>
      <c r="B339" t="s">
        <v>679</v>
      </c>
      <c r="C339" t="s">
        <v>680</v>
      </c>
      <c r="D339" t="e">
        <f>OI_cl_maxmc</f>
        <v>#REF!</v>
      </c>
      <c r="E339" t="e">
        <f t="shared" si="7"/>
        <v>#REF!</v>
      </c>
    </row>
    <row r="340" spans="1:5" x14ac:dyDescent="0.25">
      <c r="A340" s="1" t="s">
        <v>242</v>
      </c>
      <c r="B340" t="s">
        <v>681</v>
      </c>
      <c r="C340" t="s">
        <v>682</v>
      </c>
      <c r="D340" t="e">
        <f>OI_cl_maxac</f>
        <v>#REF!</v>
      </c>
      <c r="E340" t="e">
        <f t="shared" si="7"/>
        <v>#REF!</v>
      </c>
    </row>
    <row r="341" spans="1:5" x14ac:dyDescent="0.25">
      <c r="A341" s="1" t="s">
        <v>242</v>
      </c>
      <c r="B341" t="s">
        <v>683</v>
      </c>
      <c r="C341" t="s">
        <v>684</v>
      </c>
      <c r="D341" t="e">
        <f>OI_cl_maxlc</f>
        <v>#REF!</v>
      </c>
      <c r="E341" t="e">
        <f t="shared" si="7"/>
        <v>#REF!</v>
      </c>
    </row>
    <row r="342" spans="1:5" x14ac:dyDescent="0.25">
      <c r="A342" s="1" t="s">
        <v>242</v>
      </c>
      <c r="B342" t="s">
        <v>685</v>
      </c>
      <c r="C342" t="s">
        <v>686</v>
      </c>
      <c r="D342" t="e">
        <f>OI_as_rrspin</f>
        <v>#REF!</v>
      </c>
      <c r="E342" t="e">
        <f t="shared" si="7"/>
        <v>#REF!</v>
      </c>
    </row>
    <row r="343" spans="1:5" x14ac:dyDescent="0.25">
      <c r="A343" s="1" t="s">
        <v>242</v>
      </c>
      <c r="B343" t="s">
        <v>687</v>
      </c>
      <c r="C343" t="s">
        <v>688</v>
      </c>
      <c r="D343" t="e">
        <f>OI_as_minorspin</f>
        <v>#REF!</v>
      </c>
      <c r="E343" t="e">
        <f t="shared" si="7"/>
        <v>#REF!</v>
      </c>
    </row>
    <row r="344" spans="1:5" x14ac:dyDescent="0.25">
      <c r="A344" s="1" t="s">
        <v>242</v>
      </c>
      <c r="B344" t="s">
        <v>689</v>
      </c>
      <c r="C344" t="s">
        <v>690</v>
      </c>
      <c r="D344" t="e">
        <f>OI_as_maxorspin</f>
        <v>#REF!</v>
      </c>
      <c r="E344" t="e">
        <f t="shared" si="7"/>
        <v>#REF!</v>
      </c>
    </row>
    <row r="345" spans="1:5" x14ac:dyDescent="0.25">
      <c r="A345" s="1" t="s">
        <v>242</v>
      </c>
      <c r="B345" t="s">
        <v>691</v>
      </c>
      <c r="C345" t="s">
        <v>692</v>
      </c>
      <c r="D345" t="e">
        <f>OI_as_belspin</f>
        <v>#REF!</v>
      </c>
      <c r="E345" t="e">
        <f t="shared" si="7"/>
        <v>#REF!</v>
      </c>
    </row>
    <row r="346" spans="1:5" x14ac:dyDescent="0.25">
      <c r="A346" s="1" t="s">
        <v>242</v>
      </c>
      <c r="B346" t="s">
        <v>693</v>
      </c>
      <c r="C346" t="s">
        <v>694</v>
      </c>
      <c r="D346" t="e">
        <f>OI_as_ascspin</f>
        <v>#REF!</v>
      </c>
      <c r="E346" t="e">
        <f t="shared" si="7"/>
        <v>#REF!</v>
      </c>
    </row>
    <row r="347" spans="1:5" x14ac:dyDescent="0.25">
      <c r="A347" s="1" t="s">
        <v>242</v>
      </c>
      <c r="B347" t="s">
        <v>695</v>
      </c>
      <c r="C347" t="s">
        <v>696</v>
      </c>
      <c r="D347" t="e">
        <f>OI_as_errspin</f>
        <v>#REF!</v>
      </c>
      <c r="E347" t="e">
        <f t="shared" si="7"/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2:N223"/>
  <sheetViews>
    <sheetView topLeftCell="A34" workbookViewId="0">
      <selection activeCell="C224" sqref="C224"/>
    </sheetView>
  </sheetViews>
  <sheetFormatPr defaultRowHeight="15" x14ac:dyDescent="0.25"/>
  <cols>
    <col min="2" max="2" width="24.7109375" customWidth="1"/>
    <col min="4" max="4" width="12.7109375" customWidth="1"/>
  </cols>
  <sheetData>
    <row r="2" spans="2:14" x14ac:dyDescent="0.25">
      <c r="B2" t="s">
        <v>697</v>
      </c>
      <c r="C2" t="s">
        <v>698</v>
      </c>
      <c r="N2" s="21"/>
    </row>
    <row r="3" spans="2:14" x14ac:dyDescent="0.25">
      <c r="C3" t="s">
        <v>699</v>
      </c>
    </row>
    <row r="4" spans="2:14" x14ac:dyDescent="0.25">
      <c r="C4" t="s">
        <v>700</v>
      </c>
    </row>
    <row r="6" spans="2:14" x14ac:dyDescent="0.25">
      <c r="B6" t="s">
        <v>701</v>
      </c>
      <c r="C6" t="s">
        <v>698</v>
      </c>
    </row>
    <row r="7" spans="2:14" x14ac:dyDescent="0.25">
      <c r="C7" t="s">
        <v>702</v>
      </c>
    </row>
    <row r="8" spans="2:14" x14ac:dyDescent="0.25">
      <c r="C8" t="s">
        <v>703</v>
      </c>
    </row>
    <row r="10" spans="2:14" x14ac:dyDescent="0.25">
      <c r="B10" t="s">
        <v>123</v>
      </c>
      <c r="C10" t="s">
        <v>698</v>
      </c>
    </row>
    <row r="11" spans="2:14" x14ac:dyDescent="0.25">
      <c r="C11" t="s">
        <v>704</v>
      </c>
    </row>
    <row r="12" spans="2:14" x14ac:dyDescent="0.25">
      <c r="C12" t="s">
        <v>705</v>
      </c>
    </row>
    <row r="13" spans="2:14" x14ac:dyDescent="0.25">
      <c r="C13" t="s">
        <v>706</v>
      </c>
    </row>
    <row r="14" spans="2:14" x14ac:dyDescent="0.25">
      <c r="C14" t="s">
        <v>707</v>
      </c>
    </row>
    <row r="15" spans="2:14" x14ac:dyDescent="0.25">
      <c r="C15" t="s">
        <v>708</v>
      </c>
    </row>
    <row r="17" spans="2:3" x14ac:dyDescent="0.25">
      <c r="B17" t="s">
        <v>127</v>
      </c>
      <c r="C17" t="s">
        <v>698</v>
      </c>
    </row>
    <row r="18" spans="2:3" x14ac:dyDescent="0.25">
      <c r="C18" t="s">
        <v>709</v>
      </c>
    </row>
    <row r="19" spans="2:3" x14ac:dyDescent="0.25">
      <c r="C19" t="s">
        <v>710</v>
      </c>
    </row>
    <row r="20" spans="2:3" x14ac:dyDescent="0.25">
      <c r="C20" t="s">
        <v>711</v>
      </c>
    </row>
    <row r="21" spans="2:3" x14ac:dyDescent="0.25">
      <c r="C21" t="s">
        <v>712</v>
      </c>
    </row>
    <row r="23" spans="2:3" x14ac:dyDescent="0.25">
      <c r="B23" t="s">
        <v>713</v>
      </c>
      <c r="C23" t="s">
        <v>698</v>
      </c>
    </row>
    <row r="24" spans="2:3" x14ac:dyDescent="0.25">
      <c r="C24" t="s">
        <v>714</v>
      </c>
    </row>
    <row r="25" spans="2:3" x14ac:dyDescent="0.25">
      <c r="C25" t="s">
        <v>715</v>
      </c>
    </row>
    <row r="26" spans="2:3" x14ac:dyDescent="0.25">
      <c r="C26" t="s">
        <v>716</v>
      </c>
    </row>
    <row r="30" spans="2:3" x14ac:dyDescent="0.25">
      <c r="B30" t="s">
        <v>139</v>
      </c>
      <c r="C30" t="s">
        <v>698</v>
      </c>
    </row>
    <row r="31" spans="2:3" x14ac:dyDescent="0.25">
      <c r="C31" t="s">
        <v>717</v>
      </c>
    </row>
    <row r="32" spans="2:3" x14ac:dyDescent="0.25">
      <c r="C32" t="s">
        <v>718</v>
      </c>
    </row>
    <row r="33" spans="2:11" x14ac:dyDescent="0.25">
      <c r="C33" t="s">
        <v>719</v>
      </c>
    </row>
    <row r="34" spans="2:11" x14ac:dyDescent="0.25">
      <c r="C34" t="s">
        <v>720</v>
      </c>
    </row>
    <row r="35" spans="2:11" x14ac:dyDescent="0.25">
      <c r="C35" t="s">
        <v>721</v>
      </c>
    </row>
    <row r="36" spans="2:11" x14ac:dyDescent="0.25">
      <c r="C36" t="s">
        <v>722</v>
      </c>
    </row>
    <row r="37" spans="2:11" x14ac:dyDescent="0.25">
      <c r="C37" t="s">
        <v>723</v>
      </c>
    </row>
    <row r="39" spans="2:11" x14ac:dyDescent="0.25">
      <c r="B39" t="s">
        <v>724</v>
      </c>
      <c r="C39" s="1" t="s">
        <v>698</v>
      </c>
      <c r="D39" t="s">
        <v>698</v>
      </c>
      <c r="E39" t="s">
        <v>717</v>
      </c>
      <c r="F39" t="s">
        <v>718</v>
      </c>
      <c r="G39" t="s">
        <v>719</v>
      </c>
      <c r="H39" t="s">
        <v>720</v>
      </c>
      <c r="I39" t="s">
        <v>721</v>
      </c>
      <c r="J39" t="s">
        <v>722</v>
      </c>
      <c r="K39" t="s">
        <v>723</v>
      </c>
    </row>
    <row r="40" spans="2:11" x14ac:dyDescent="0.25">
      <c r="C40" s="1" t="str">
        <f ca="1">OFFSET($D40,0,MATCH('Project Information'!$C$26,Lists!$D$39:$K$39,0)-1)</f>
        <v/>
      </c>
      <c r="D40" s="21" t="s">
        <v>725</v>
      </c>
      <c r="E40" t="s">
        <v>723</v>
      </c>
      <c r="F40" t="s">
        <v>723</v>
      </c>
      <c r="G40" t="s">
        <v>723</v>
      </c>
      <c r="H40" t="s">
        <v>726</v>
      </c>
      <c r="I40" t="s">
        <v>723</v>
      </c>
      <c r="J40" t="s">
        <v>723</v>
      </c>
      <c r="K40" t="s">
        <v>723</v>
      </c>
    </row>
    <row r="41" spans="2:11" x14ac:dyDescent="0.25">
      <c r="C41" s="1" t="str">
        <f ca="1">OFFSET($D41,0,MATCH('Project Information'!$C$26,Lists!$D$39:$K$39,0)-1)</f>
        <v/>
      </c>
      <c r="D41" s="21" t="s">
        <v>725</v>
      </c>
      <c r="E41" s="21" t="s">
        <v>725</v>
      </c>
      <c r="F41" s="21" t="s">
        <v>725</v>
      </c>
      <c r="G41" s="21" t="s">
        <v>725</v>
      </c>
      <c r="H41" t="s">
        <v>727</v>
      </c>
      <c r="I41" s="21" t="s">
        <v>725</v>
      </c>
      <c r="J41" s="21" t="s">
        <v>725</v>
      </c>
      <c r="K41" s="21" t="s">
        <v>725</v>
      </c>
    </row>
    <row r="42" spans="2:11" x14ac:dyDescent="0.25">
      <c r="C42" s="1" t="str">
        <f ca="1">OFFSET($D42,0,MATCH('Project Information'!$C$26,Lists!$D$39:$K$39,0)-1)</f>
        <v/>
      </c>
      <c r="D42" s="21" t="s">
        <v>725</v>
      </c>
      <c r="E42" s="21" t="s">
        <v>725</v>
      </c>
      <c r="F42" s="21" t="s">
        <v>725</v>
      </c>
      <c r="G42" s="21" t="s">
        <v>725</v>
      </c>
      <c r="H42" t="s">
        <v>728</v>
      </c>
      <c r="I42" s="21" t="s">
        <v>725</v>
      </c>
      <c r="J42" s="21" t="s">
        <v>725</v>
      </c>
      <c r="K42" s="21" t="s">
        <v>725</v>
      </c>
    </row>
    <row r="43" spans="2:11" x14ac:dyDescent="0.25">
      <c r="C43" s="1" t="str">
        <f ca="1">OFFSET($D43,0,MATCH('Project Information'!$C$26,Lists!$D$39:$K$39,0)-1)</f>
        <v/>
      </c>
      <c r="D43" s="21" t="s">
        <v>725</v>
      </c>
      <c r="E43" s="21" t="s">
        <v>725</v>
      </c>
      <c r="F43" s="21" t="s">
        <v>725</v>
      </c>
      <c r="G43" s="21" t="s">
        <v>725</v>
      </c>
      <c r="H43" t="s">
        <v>723</v>
      </c>
      <c r="I43" s="21" t="s">
        <v>725</v>
      </c>
      <c r="J43" s="21" t="s">
        <v>725</v>
      </c>
      <c r="K43" s="21" t="s">
        <v>725</v>
      </c>
    </row>
    <row r="44" spans="2:11" x14ac:dyDescent="0.25">
      <c r="C44" s="1" t="str">
        <f ca="1">OFFSET($D44,0,MATCH('Project Information'!$C$26,Lists!$D$39:$K$39,0)-1)</f>
        <v/>
      </c>
      <c r="D44" s="21" t="s">
        <v>725</v>
      </c>
      <c r="E44" s="21" t="s">
        <v>725</v>
      </c>
      <c r="F44" s="21" t="s">
        <v>725</v>
      </c>
      <c r="G44" s="21" t="s">
        <v>725</v>
      </c>
      <c r="H44" s="21" t="s">
        <v>725</v>
      </c>
      <c r="I44" s="21" t="s">
        <v>725</v>
      </c>
      <c r="J44" s="21" t="s">
        <v>725</v>
      </c>
      <c r="K44" s="21" t="s">
        <v>725</v>
      </c>
    </row>
    <row r="45" spans="2:11" x14ac:dyDescent="0.25">
      <c r="C45" s="1" t="str">
        <f ca="1">OFFSET($D45,0,MATCH('Project Information'!$C$26,Lists!$D$39:$K$39,0)-1)</f>
        <v/>
      </c>
      <c r="D45" s="21" t="s">
        <v>725</v>
      </c>
      <c r="E45" s="21" t="s">
        <v>725</v>
      </c>
      <c r="F45" t="s">
        <v>725</v>
      </c>
      <c r="G45" t="s">
        <v>725</v>
      </c>
      <c r="H45" s="21" t="s">
        <v>725</v>
      </c>
      <c r="K45" s="21" t="s">
        <v>725</v>
      </c>
    </row>
    <row r="46" spans="2:11" x14ac:dyDescent="0.25">
      <c r="C46" s="1" t="str">
        <f ca="1">OFFSET($D46,0,MATCH('Project Information'!$C$26,Lists!$D$39:$K$39,0)-1)</f>
        <v/>
      </c>
      <c r="D46" s="21" t="s">
        <v>725</v>
      </c>
      <c r="E46" s="21" t="s">
        <v>725</v>
      </c>
      <c r="F46" s="21" t="s">
        <v>725</v>
      </c>
      <c r="G46" s="21" t="s">
        <v>725</v>
      </c>
      <c r="H46" s="21" t="s">
        <v>725</v>
      </c>
      <c r="I46" t="s">
        <v>725</v>
      </c>
      <c r="K46" s="21" t="s">
        <v>725</v>
      </c>
    </row>
    <row r="47" spans="2:11" x14ac:dyDescent="0.25">
      <c r="D47" s="21" t="s">
        <v>725</v>
      </c>
      <c r="E47" s="21" t="s">
        <v>725</v>
      </c>
      <c r="F47" s="21" t="s">
        <v>725</v>
      </c>
      <c r="G47" s="21" t="s">
        <v>725</v>
      </c>
      <c r="H47" s="21" t="s">
        <v>725</v>
      </c>
      <c r="I47" s="21" t="s">
        <v>725</v>
      </c>
    </row>
    <row r="49" spans="2:7" x14ac:dyDescent="0.25">
      <c r="B49" t="s">
        <v>143</v>
      </c>
      <c r="C49" s="1" t="s">
        <v>698</v>
      </c>
      <c r="D49" t="s">
        <v>698</v>
      </c>
      <c r="E49" t="str">
        <f>H40</f>
        <v>Solid-electrode Batteries</v>
      </c>
      <c r="F49" t="s">
        <v>727</v>
      </c>
    </row>
    <row r="50" spans="2:7" x14ac:dyDescent="0.25">
      <c r="C50" s="1" t="str">
        <f ca="1">IFERROR(OFFSET($D50,0,MATCH('Project Information'!$C$27,Lists!$D$49:$G$49,0)-1),"n/a")</f>
        <v>n/a</v>
      </c>
      <c r="D50" s="21" t="s">
        <v>725</v>
      </c>
      <c r="E50" t="s">
        <v>729</v>
      </c>
      <c r="F50" t="s">
        <v>730</v>
      </c>
    </row>
    <row r="51" spans="2:7" x14ac:dyDescent="0.25">
      <c r="C51" s="1" t="str">
        <f ca="1">IFERROR(OFFSET($D51,0,MATCH('Project Information'!$C$27,Lists!$D$49:$G$49,0)-1),"")</f>
        <v/>
      </c>
      <c r="D51" s="21" t="s">
        <v>725</v>
      </c>
      <c r="E51" t="s">
        <v>731</v>
      </c>
      <c r="F51" t="s">
        <v>732</v>
      </c>
    </row>
    <row r="52" spans="2:7" x14ac:dyDescent="0.25">
      <c r="C52" s="1" t="str">
        <f ca="1">IFERROR(OFFSET($D52,0,MATCH('Project Information'!$C$27,Lists!$D$49:$G$49,0)-1),"")</f>
        <v/>
      </c>
      <c r="D52" s="21" t="s">
        <v>725</v>
      </c>
      <c r="E52" t="s">
        <v>733</v>
      </c>
      <c r="F52" t="s">
        <v>734</v>
      </c>
    </row>
    <row r="53" spans="2:7" x14ac:dyDescent="0.25">
      <c r="C53" s="1" t="str">
        <f ca="1">IFERROR(OFFSET($D53,0,MATCH('Project Information'!$C$27,Lists!$D$49:$G$49,0)-1),"")</f>
        <v/>
      </c>
      <c r="D53" s="21" t="s">
        <v>725</v>
      </c>
      <c r="E53" t="s">
        <v>735</v>
      </c>
      <c r="F53" s="21" t="s">
        <v>723</v>
      </c>
      <c r="G53" s="21" t="s">
        <v>725</v>
      </c>
    </row>
    <row r="54" spans="2:7" x14ac:dyDescent="0.25">
      <c r="C54" s="1" t="str">
        <f ca="1">IFERROR(OFFSET($D54,0,MATCH('Project Information'!$C$27,Lists!$D$49:$G$49,0)-1),"")</f>
        <v/>
      </c>
      <c r="D54" s="21" t="s">
        <v>725</v>
      </c>
      <c r="E54" t="s">
        <v>723</v>
      </c>
      <c r="F54" s="21" t="s">
        <v>725</v>
      </c>
      <c r="G54" s="21" t="s">
        <v>725</v>
      </c>
    </row>
    <row r="56" spans="2:7" x14ac:dyDescent="0.25">
      <c r="B56" t="s">
        <v>736</v>
      </c>
      <c r="C56" s="1" t="s">
        <v>698</v>
      </c>
      <c r="D56" t="s">
        <v>698</v>
      </c>
      <c r="E56" t="s">
        <v>731</v>
      </c>
    </row>
    <row r="57" spans="2:7" x14ac:dyDescent="0.25">
      <c r="C57" s="1" t="str">
        <f ca="1">IFERROR(OFFSET($D57,0,MATCH('Project Information'!$C$28,Lists!$D$56:$E$56,0)-1),"n/a")</f>
        <v>n/a</v>
      </c>
      <c r="D57" s="21" t="s">
        <v>725</v>
      </c>
      <c r="E57" t="s">
        <v>737</v>
      </c>
    </row>
    <row r="58" spans="2:7" x14ac:dyDescent="0.25">
      <c r="C58" s="1" t="str">
        <f ca="1">IFERROR(OFFSET($D58,0,MATCH('Project Information'!$C$28,Lists!$D$56:$E$56,0)-1),"")</f>
        <v/>
      </c>
      <c r="D58" s="21" t="s">
        <v>725</v>
      </c>
      <c r="E58" t="s">
        <v>738</v>
      </c>
    </row>
    <row r="59" spans="2:7" x14ac:dyDescent="0.25">
      <c r="C59" s="1" t="str">
        <f ca="1">IFERROR(OFFSET($D59,0,MATCH('Project Information'!$C$28,Lists!$D$56:$E$56,0)-1),"")</f>
        <v/>
      </c>
      <c r="D59" s="21" t="s">
        <v>725</v>
      </c>
      <c r="E59" t="s">
        <v>739</v>
      </c>
    </row>
    <row r="60" spans="2:7" x14ac:dyDescent="0.25">
      <c r="C60" s="1" t="str">
        <f ca="1">IFERROR(OFFSET($D60,0,MATCH('Project Information'!$C$28,Lists!$D$56:$E$56,0)-1),"")</f>
        <v/>
      </c>
      <c r="D60" s="21" t="s">
        <v>725</v>
      </c>
      <c r="E60" t="s">
        <v>740</v>
      </c>
    </row>
    <row r="61" spans="2:7" x14ac:dyDescent="0.25">
      <c r="C61" s="1" t="str">
        <f ca="1">IFERROR(OFFSET($D61,0,MATCH('Project Information'!$C$28,Lists!$D$56:$E$56,0)-1),"")</f>
        <v/>
      </c>
      <c r="D61" s="21" t="s">
        <v>725</v>
      </c>
      <c r="E61" t="s">
        <v>741</v>
      </c>
    </row>
    <row r="62" spans="2:7" x14ac:dyDescent="0.25">
      <c r="C62" s="1" t="str">
        <f ca="1">IFERROR(OFFSET($D62,0,MATCH('Project Information'!$C$28,Lists!$D$56:$E$56,0)-1),"")</f>
        <v/>
      </c>
      <c r="D62" s="21" t="s">
        <v>725</v>
      </c>
      <c r="E62" t="s">
        <v>742</v>
      </c>
    </row>
    <row r="63" spans="2:7" x14ac:dyDescent="0.25">
      <c r="C63" s="1" t="str">
        <f ca="1">IFERROR(OFFSET($D63,0,MATCH('Project Information'!$C$28,Lists!$D$56:$E$56,0)-1),"")</f>
        <v/>
      </c>
      <c r="D63" s="21" t="s">
        <v>725</v>
      </c>
      <c r="E63" t="s">
        <v>723</v>
      </c>
    </row>
    <row r="65" spans="2:3" x14ac:dyDescent="0.25">
      <c r="B65" t="s">
        <v>743</v>
      </c>
      <c r="C65" t="s">
        <v>698</v>
      </c>
    </row>
    <row r="66" spans="2:3" x14ac:dyDescent="0.25">
      <c r="C66" t="s">
        <v>744</v>
      </c>
    </row>
    <row r="67" spans="2:3" x14ac:dyDescent="0.25">
      <c r="C67" t="s">
        <v>745</v>
      </c>
    </row>
    <row r="68" spans="2:3" x14ac:dyDescent="0.25">
      <c r="C68" t="s">
        <v>746</v>
      </c>
    </row>
    <row r="69" spans="2:3" x14ac:dyDescent="0.25">
      <c r="C69" t="s">
        <v>747</v>
      </c>
    </row>
    <row r="70" spans="2:3" x14ac:dyDescent="0.25">
      <c r="C70" t="s">
        <v>748</v>
      </c>
    </row>
    <row r="71" spans="2:3" x14ac:dyDescent="0.25">
      <c r="C71" t="s">
        <v>749</v>
      </c>
    </row>
    <row r="74" spans="2:3" x14ac:dyDescent="0.25">
      <c r="B74" t="s">
        <v>750</v>
      </c>
      <c r="C74" t="s">
        <v>698</v>
      </c>
    </row>
    <row r="75" spans="2:3" x14ac:dyDescent="0.25">
      <c r="C75" t="s">
        <v>751</v>
      </c>
    </row>
    <row r="76" spans="2:3" x14ac:dyDescent="0.25">
      <c r="C76" t="s">
        <v>752</v>
      </c>
    </row>
    <row r="77" spans="2:3" x14ac:dyDescent="0.25">
      <c r="C77" t="s">
        <v>753</v>
      </c>
    </row>
    <row r="78" spans="2:3" x14ac:dyDescent="0.25">
      <c r="C78" t="s">
        <v>754</v>
      </c>
    </row>
    <row r="83" spans="2:3" x14ac:dyDescent="0.25">
      <c r="B83" t="s">
        <v>755</v>
      </c>
      <c r="C83" t="s">
        <v>698</v>
      </c>
    </row>
    <row r="84" spans="2:3" x14ac:dyDescent="0.25">
      <c r="C84" t="s">
        <v>756</v>
      </c>
    </row>
    <row r="85" spans="2:3" x14ac:dyDescent="0.25">
      <c r="C85" t="s">
        <v>757</v>
      </c>
    </row>
    <row r="86" spans="2:3" x14ac:dyDescent="0.25">
      <c r="C86" t="s">
        <v>758</v>
      </c>
    </row>
    <row r="88" spans="2:3" x14ac:dyDescent="0.25">
      <c r="B88" t="s">
        <v>759</v>
      </c>
      <c r="C88" t="s">
        <v>698</v>
      </c>
    </row>
    <row r="89" spans="2:3" x14ac:dyDescent="0.25">
      <c r="C89" t="s">
        <v>760</v>
      </c>
    </row>
    <row r="90" spans="2:3" x14ac:dyDescent="0.25">
      <c r="C90" t="s">
        <v>761</v>
      </c>
    </row>
    <row r="91" spans="2:3" x14ac:dyDescent="0.25">
      <c r="C91" t="s">
        <v>762</v>
      </c>
    </row>
    <row r="92" spans="2:3" x14ac:dyDescent="0.25">
      <c r="C92" t="s">
        <v>763</v>
      </c>
    </row>
    <row r="101" spans="2:3" x14ac:dyDescent="0.25">
      <c r="B101" t="s">
        <v>764</v>
      </c>
      <c r="C101" t="s">
        <v>698</v>
      </c>
    </row>
    <row r="102" spans="2:3" x14ac:dyDescent="0.25">
      <c r="C102" t="s">
        <v>765</v>
      </c>
    </row>
    <row r="103" spans="2:3" x14ac:dyDescent="0.25">
      <c r="C103" t="s">
        <v>766</v>
      </c>
    </row>
    <row r="105" spans="2:3" x14ac:dyDescent="0.25">
      <c r="B105" t="s">
        <v>767</v>
      </c>
      <c r="C105" t="s">
        <v>698</v>
      </c>
    </row>
    <row r="106" spans="2:3" x14ac:dyDescent="0.25">
      <c r="C106" t="s">
        <v>768</v>
      </c>
    </row>
    <row r="107" spans="2:3" x14ac:dyDescent="0.25">
      <c r="C107" t="s">
        <v>769</v>
      </c>
    </row>
    <row r="108" spans="2:3" x14ac:dyDescent="0.25">
      <c r="C108" t="s">
        <v>770</v>
      </c>
    </row>
    <row r="109" spans="2:3" x14ac:dyDescent="0.25">
      <c r="C109" t="s">
        <v>771</v>
      </c>
    </row>
    <row r="111" spans="2:3" x14ac:dyDescent="0.25">
      <c r="B111" t="s">
        <v>772</v>
      </c>
      <c r="C111" t="s">
        <v>698</v>
      </c>
    </row>
    <row r="112" spans="2:3" x14ac:dyDescent="0.25">
      <c r="C112" t="s">
        <v>773</v>
      </c>
    </row>
    <row r="113" spans="2:3" x14ac:dyDescent="0.25">
      <c r="C113" t="s">
        <v>774</v>
      </c>
    </row>
    <row r="114" spans="2:3" x14ac:dyDescent="0.25">
      <c r="C114" t="s">
        <v>775</v>
      </c>
    </row>
    <row r="115" spans="2:3" x14ac:dyDescent="0.25">
      <c r="C115" t="s">
        <v>776</v>
      </c>
    </row>
    <row r="117" spans="2:3" x14ac:dyDescent="0.25">
      <c r="B117" t="s">
        <v>777</v>
      </c>
      <c r="C117" t="s">
        <v>698</v>
      </c>
    </row>
    <row r="118" spans="2:3" x14ac:dyDescent="0.25">
      <c r="C118" t="s">
        <v>778</v>
      </c>
    </row>
    <row r="119" spans="2:3" x14ac:dyDescent="0.25">
      <c r="C119" t="s">
        <v>779</v>
      </c>
    </row>
    <row r="120" spans="2:3" x14ac:dyDescent="0.25">
      <c r="C120" t="s">
        <v>780</v>
      </c>
    </row>
    <row r="121" spans="2:3" x14ac:dyDescent="0.25">
      <c r="C121" t="s">
        <v>781</v>
      </c>
    </row>
    <row r="122" spans="2:3" x14ac:dyDescent="0.25">
      <c r="C122" t="s">
        <v>782</v>
      </c>
    </row>
    <row r="123" spans="2:3" x14ac:dyDescent="0.25">
      <c r="C123" t="s">
        <v>783</v>
      </c>
    </row>
    <row r="124" spans="2:3" x14ac:dyDescent="0.25">
      <c r="C124" t="s">
        <v>784</v>
      </c>
    </row>
    <row r="125" spans="2:3" x14ac:dyDescent="0.25">
      <c r="C125" t="s">
        <v>785</v>
      </c>
    </row>
    <row r="126" spans="2:3" x14ac:dyDescent="0.25">
      <c r="C126" t="s">
        <v>786</v>
      </c>
    </row>
    <row r="128" spans="2:3" x14ac:dyDescent="0.25">
      <c r="B128" t="s">
        <v>787</v>
      </c>
      <c r="C128" t="s">
        <v>698</v>
      </c>
    </row>
    <row r="129" spans="2:5" x14ac:dyDescent="0.25">
      <c r="C129" t="s">
        <v>788</v>
      </c>
    </row>
    <row r="130" spans="2:5" x14ac:dyDescent="0.25">
      <c r="C130" t="s">
        <v>789</v>
      </c>
    </row>
    <row r="132" spans="2:5" x14ac:dyDescent="0.25">
      <c r="B132" t="s">
        <v>790</v>
      </c>
      <c r="C132" t="s">
        <v>698</v>
      </c>
    </row>
    <row r="133" spans="2:5" x14ac:dyDescent="0.25">
      <c r="C133" t="s">
        <v>791</v>
      </c>
    </row>
    <row r="134" spans="2:5" x14ac:dyDescent="0.25">
      <c r="C134" t="s">
        <v>792</v>
      </c>
    </row>
    <row r="136" spans="2:5" x14ac:dyDescent="0.25">
      <c r="B136" t="s">
        <v>793</v>
      </c>
      <c r="C136" s="1" t="s">
        <v>698</v>
      </c>
      <c r="D136" t="s">
        <v>791</v>
      </c>
      <c r="E136" t="s">
        <v>792</v>
      </c>
    </row>
    <row r="137" spans="2:5" x14ac:dyDescent="0.25">
      <c r="C137" s="1" t="str">
        <f ca="1">IFERROR(OFFSET($D137,0,MATCH(Proj_pi_8,$C$133:$C$134,0)-1),"n/a")</f>
        <v>n/a</v>
      </c>
      <c r="D137" t="s">
        <v>794</v>
      </c>
      <c r="E137" t="s">
        <v>794</v>
      </c>
    </row>
    <row r="138" spans="2:5" x14ac:dyDescent="0.25">
      <c r="C138" s="1" t="str">
        <f t="shared" ref="C138:C169" ca="1" si="0">IFERROR(OFFSET($D138,0,MATCH(Proj_pi_8,$C$133:$C$134,0)-1),"")</f>
        <v/>
      </c>
      <c r="D138" t="s">
        <v>795</v>
      </c>
      <c r="E138" t="s">
        <v>796</v>
      </c>
    </row>
    <row r="139" spans="2:5" x14ac:dyDescent="0.25">
      <c r="C139" s="1" t="str">
        <f t="shared" ca="1" si="0"/>
        <v/>
      </c>
      <c r="D139" t="s">
        <v>797</v>
      </c>
      <c r="E139" t="s">
        <v>798</v>
      </c>
    </row>
    <row r="140" spans="2:5" x14ac:dyDescent="0.25">
      <c r="C140" s="1" t="str">
        <f t="shared" ca="1" si="0"/>
        <v/>
      </c>
      <c r="D140" t="s">
        <v>799</v>
      </c>
      <c r="E140" t="s">
        <v>723</v>
      </c>
    </row>
    <row r="141" spans="2:5" x14ac:dyDescent="0.25">
      <c r="C141" s="1" t="str">
        <f t="shared" ca="1" si="0"/>
        <v/>
      </c>
      <c r="D141" t="s">
        <v>800</v>
      </c>
      <c r="E141" s="21" t="s">
        <v>725</v>
      </c>
    </row>
    <row r="142" spans="2:5" x14ac:dyDescent="0.25">
      <c r="C142" s="1" t="str">
        <f t="shared" ca="1" si="0"/>
        <v/>
      </c>
      <c r="D142" t="s">
        <v>801</v>
      </c>
      <c r="E142" s="21" t="s">
        <v>725</v>
      </c>
    </row>
    <row r="143" spans="2:5" x14ac:dyDescent="0.25">
      <c r="C143" s="1" t="str">
        <f t="shared" ca="1" si="0"/>
        <v/>
      </c>
      <c r="D143" t="s">
        <v>802</v>
      </c>
      <c r="E143" s="21" t="s">
        <v>725</v>
      </c>
    </row>
    <row r="144" spans="2:5" x14ac:dyDescent="0.25">
      <c r="C144" s="1" t="str">
        <f t="shared" ca="1" si="0"/>
        <v/>
      </c>
      <c r="D144" t="s">
        <v>803</v>
      </c>
      <c r="E144" s="21" t="s">
        <v>725</v>
      </c>
    </row>
    <row r="145" spans="3:5" x14ac:dyDescent="0.25">
      <c r="C145" s="1" t="str">
        <f t="shared" ca="1" si="0"/>
        <v/>
      </c>
      <c r="D145" t="s">
        <v>804</v>
      </c>
      <c r="E145" s="21" t="s">
        <v>725</v>
      </c>
    </row>
    <row r="146" spans="3:5" x14ac:dyDescent="0.25">
      <c r="C146" s="1" t="str">
        <f t="shared" ca="1" si="0"/>
        <v/>
      </c>
      <c r="D146" t="s">
        <v>805</v>
      </c>
      <c r="E146" s="21" t="s">
        <v>725</v>
      </c>
    </row>
    <row r="147" spans="3:5" x14ac:dyDescent="0.25">
      <c r="C147" s="1" t="str">
        <f t="shared" ca="1" si="0"/>
        <v/>
      </c>
      <c r="D147" t="s">
        <v>806</v>
      </c>
      <c r="E147" s="21" t="s">
        <v>725</v>
      </c>
    </row>
    <row r="148" spans="3:5" x14ac:dyDescent="0.25">
      <c r="C148" s="1" t="str">
        <f t="shared" ca="1" si="0"/>
        <v/>
      </c>
      <c r="D148" t="s">
        <v>807</v>
      </c>
      <c r="E148" s="21" t="s">
        <v>725</v>
      </c>
    </row>
    <row r="149" spans="3:5" x14ac:dyDescent="0.25">
      <c r="C149" s="1" t="str">
        <f t="shared" ca="1" si="0"/>
        <v/>
      </c>
      <c r="D149" t="s">
        <v>808</v>
      </c>
      <c r="E149" s="21" t="s">
        <v>725</v>
      </c>
    </row>
    <row r="150" spans="3:5" x14ac:dyDescent="0.25">
      <c r="C150" s="1" t="str">
        <f t="shared" ca="1" si="0"/>
        <v/>
      </c>
      <c r="D150" t="s">
        <v>809</v>
      </c>
      <c r="E150" s="21" t="s">
        <v>725</v>
      </c>
    </row>
    <row r="151" spans="3:5" x14ac:dyDescent="0.25">
      <c r="C151" s="1" t="str">
        <f t="shared" ca="1" si="0"/>
        <v/>
      </c>
      <c r="D151" t="s">
        <v>810</v>
      </c>
      <c r="E151" s="21" t="s">
        <v>725</v>
      </c>
    </row>
    <row r="152" spans="3:5" x14ac:dyDescent="0.25">
      <c r="C152" s="1" t="str">
        <f t="shared" ca="1" si="0"/>
        <v/>
      </c>
      <c r="D152" t="s">
        <v>811</v>
      </c>
      <c r="E152" s="21" t="s">
        <v>725</v>
      </c>
    </row>
    <row r="153" spans="3:5" x14ac:dyDescent="0.25">
      <c r="C153" s="1" t="str">
        <f t="shared" ca="1" si="0"/>
        <v/>
      </c>
      <c r="D153" t="s">
        <v>812</v>
      </c>
      <c r="E153" s="21" t="s">
        <v>725</v>
      </c>
    </row>
    <row r="154" spans="3:5" x14ac:dyDescent="0.25">
      <c r="C154" s="1" t="str">
        <f t="shared" ca="1" si="0"/>
        <v/>
      </c>
      <c r="D154" t="s">
        <v>813</v>
      </c>
      <c r="E154" s="21" t="s">
        <v>725</v>
      </c>
    </row>
    <row r="155" spans="3:5" x14ac:dyDescent="0.25">
      <c r="C155" s="1" t="str">
        <f t="shared" ca="1" si="0"/>
        <v/>
      </c>
      <c r="D155" t="s">
        <v>814</v>
      </c>
      <c r="E155" s="21" t="s">
        <v>725</v>
      </c>
    </row>
    <row r="156" spans="3:5" x14ac:dyDescent="0.25">
      <c r="C156" s="1" t="str">
        <f t="shared" ca="1" si="0"/>
        <v/>
      </c>
      <c r="D156" t="s">
        <v>815</v>
      </c>
      <c r="E156" s="21" t="s">
        <v>725</v>
      </c>
    </row>
    <row r="157" spans="3:5" x14ac:dyDescent="0.25">
      <c r="C157" s="1" t="str">
        <f t="shared" ca="1" si="0"/>
        <v/>
      </c>
      <c r="D157" t="s">
        <v>816</v>
      </c>
      <c r="E157" s="21" t="s">
        <v>725</v>
      </c>
    </row>
    <row r="158" spans="3:5" x14ac:dyDescent="0.25">
      <c r="C158" s="1" t="str">
        <f t="shared" ca="1" si="0"/>
        <v/>
      </c>
      <c r="D158" t="s">
        <v>817</v>
      </c>
      <c r="E158" s="21" t="s">
        <v>725</v>
      </c>
    </row>
    <row r="159" spans="3:5" x14ac:dyDescent="0.25">
      <c r="C159" s="1" t="str">
        <f t="shared" ca="1" si="0"/>
        <v/>
      </c>
      <c r="D159" t="s">
        <v>818</v>
      </c>
      <c r="E159" s="21" t="s">
        <v>725</v>
      </c>
    </row>
    <row r="160" spans="3:5" x14ac:dyDescent="0.25">
      <c r="C160" s="1" t="str">
        <f t="shared" ca="1" si="0"/>
        <v/>
      </c>
      <c r="D160" t="s">
        <v>819</v>
      </c>
      <c r="E160" s="21" t="s">
        <v>725</v>
      </c>
    </row>
    <row r="161" spans="3:5" x14ac:dyDescent="0.25">
      <c r="C161" s="1" t="str">
        <f t="shared" ca="1" si="0"/>
        <v/>
      </c>
      <c r="D161" t="s">
        <v>820</v>
      </c>
      <c r="E161" s="21" t="s">
        <v>725</v>
      </c>
    </row>
    <row r="162" spans="3:5" x14ac:dyDescent="0.25">
      <c r="C162" s="1" t="str">
        <f t="shared" ca="1" si="0"/>
        <v/>
      </c>
      <c r="D162" t="s">
        <v>821</v>
      </c>
      <c r="E162" s="21" t="s">
        <v>725</v>
      </c>
    </row>
    <row r="163" spans="3:5" x14ac:dyDescent="0.25">
      <c r="C163" s="1" t="str">
        <f t="shared" ca="1" si="0"/>
        <v/>
      </c>
      <c r="D163" t="s">
        <v>822</v>
      </c>
      <c r="E163" s="21" t="s">
        <v>725</v>
      </c>
    </row>
    <row r="164" spans="3:5" x14ac:dyDescent="0.25">
      <c r="C164" s="1" t="str">
        <f t="shared" ca="1" si="0"/>
        <v/>
      </c>
      <c r="D164" t="s">
        <v>823</v>
      </c>
      <c r="E164" s="21" t="s">
        <v>725</v>
      </c>
    </row>
    <row r="165" spans="3:5" x14ac:dyDescent="0.25">
      <c r="C165" s="1" t="str">
        <f t="shared" ca="1" si="0"/>
        <v/>
      </c>
      <c r="D165" t="s">
        <v>824</v>
      </c>
      <c r="E165" s="21" t="s">
        <v>725</v>
      </c>
    </row>
    <row r="166" spans="3:5" x14ac:dyDescent="0.25">
      <c r="C166" s="1" t="str">
        <f t="shared" ca="1" si="0"/>
        <v/>
      </c>
      <c r="D166" t="s">
        <v>825</v>
      </c>
      <c r="E166" s="21" t="s">
        <v>725</v>
      </c>
    </row>
    <row r="167" spans="3:5" x14ac:dyDescent="0.25">
      <c r="C167" s="1" t="str">
        <f t="shared" ca="1" si="0"/>
        <v/>
      </c>
      <c r="D167" t="s">
        <v>826</v>
      </c>
      <c r="E167" s="21" t="s">
        <v>725</v>
      </c>
    </row>
    <row r="168" spans="3:5" x14ac:dyDescent="0.25">
      <c r="C168" s="1" t="str">
        <f t="shared" ca="1" si="0"/>
        <v/>
      </c>
      <c r="D168" t="s">
        <v>827</v>
      </c>
      <c r="E168" s="21" t="s">
        <v>725</v>
      </c>
    </row>
    <row r="169" spans="3:5" x14ac:dyDescent="0.25">
      <c r="C169" s="1" t="str">
        <f t="shared" ca="1" si="0"/>
        <v/>
      </c>
      <c r="D169" t="s">
        <v>828</v>
      </c>
      <c r="E169" s="21" t="s">
        <v>725</v>
      </c>
    </row>
    <row r="170" spans="3:5" x14ac:dyDescent="0.25">
      <c r="C170" s="1" t="str">
        <f t="shared" ref="C170:C201" ca="1" si="1">IFERROR(OFFSET($D170,0,MATCH(Proj_pi_8,$C$133:$C$134,0)-1),"")</f>
        <v/>
      </c>
      <c r="D170" t="s">
        <v>829</v>
      </c>
      <c r="E170" s="21" t="s">
        <v>725</v>
      </c>
    </row>
    <row r="171" spans="3:5" x14ac:dyDescent="0.25">
      <c r="C171" s="1" t="str">
        <f t="shared" ca="1" si="1"/>
        <v/>
      </c>
      <c r="D171" t="s">
        <v>830</v>
      </c>
      <c r="E171" s="21" t="s">
        <v>725</v>
      </c>
    </row>
    <row r="172" spans="3:5" x14ac:dyDescent="0.25">
      <c r="C172" s="1" t="str">
        <f t="shared" ca="1" si="1"/>
        <v/>
      </c>
      <c r="D172" t="s">
        <v>831</v>
      </c>
      <c r="E172" s="21" t="s">
        <v>725</v>
      </c>
    </row>
    <row r="173" spans="3:5" x14ac:dyDescent="0.25">
      <c r="C173" s="1" t="str">
        <f t="shared" ca="1" si="1"/>
        <v/>
      </c>
      <c r="D173" t="s">
        <v>832</v>
      </c>
      <c r="E173" s="21" t="s">
        <v>725</v>
      </c>
    </row>
    <row r="174" spans="3:5" x14ac:dyDescent="0.25">
      <c r="C174" s="1" t="str">
        <f t="shared" ca="1" si="1"/>
        <v/>
      </c>
      <c r="D174" t="s">
        <v>833</v>
      </c>
      <c r="E174" s="21" t="s">
        <v>725</v>
      </c>
    </row>
    <row r="175" spans="3:5" x14ac:dyDescent="0.25">
      <c r="C175" s="1" t="str">
        <f t="shared" ca="1" si="1"/>
        <v/>
      </c>
      <c r="D175" t="s">
        <v>834</v>
      </c>
      <c r="E175" s="21" t="s">
        <v>725</v>
      </c>
    </row>
    <row r="176" spans="3:5" x14ac:dyDescent="0.25">
      <c r="C176" s="1" t="str">
        <f t="shared" ca="1" si="1"/>
        <v/>
      </c>
      <c r="D176" t="s">
        <v>835</v>
      </c>
      <c r="E176" s="21" t="s">
        <v>725</v>
      </c>
    </row>
    <row r="177" spans="3:5" x14ac:dyDescent="0.25">
      <c r="C177" s="1" t="str">
        <f t="shared" ca="1" si="1"/>
        <v/>
      </c>
      <c r="D177" t="s">
        <v>836</v>
      </c>
      <c r="E177" s="21" t="s">
        <v>725</v>
      </c>
    </row>
    <row r="178" spans="3:5" x14ac:dyDescent="0.25">
      <c r="C178" s="1" t="str">
        <f t="shared" ca="1" si="1"/>
        <v/>
      </c>
      <c r="D178" t="s">
        <v>837</v>
      </c>
      <c r="E178" s="21" t="s">
        <v>725</v>
      </c>
    </row>
    <row r="179" spans="3:5" x14ac:dyDescent="0.25">
      <c r="C179" s="1" t="str">
        <f t="shared" ca="1" si="1"/>
        <v/>
      </c>
      <c r="D179" t="s">
        <v>838</v>
      </c>
      <c r="E179" s="21" t="s">
        <v>725</v>
      </c>
    </row>
    <row r="180" spans="3:5" x14ac:dyDescent="0.25">
      <c r="C180" s="1" t="str">
        <f t="shared" ca="1" si="1"/>
        <v/>
      </c>
      <c r="D180" t="s">
        <v>839</v>
      </c>
      <c r="E180" s="21" t="s">
        <v>725</v>
      </c>
    </row>
    <row r="181" spans="3:5" x14ac:dyDescent="0.25">
      <c r="C181" s="1" t="str">
        <f t="shared" ca="1" si="1"/>
        <v/>
      </c>
      <c r="D181" t="s">
        <v>840</v>
      </c>
      <c r="E181" s="21" t="s">
        <v>725</v>
      </c>
    </row>
    <row r="182" spans="3:5" x14ac:dyDescent="0.25">
      <c r="C182" s="1" t="str">
        <f t="shared" ca="1" si="1"/>
        <v/>
      </c>
      <c r="D182" t="s">
        <v>841</v>
      </c>
      <c r="E182" s="21" t="s">
        <v>725</v>
      </c>
    </row>
    <row r="183" spans="3:5" x14ac:dyDescent="0.25">
      <c r="C183" s="1" t="str">
        <f t="shared" ca="1" si="1"/>
        <v/>
      </c>
      <c r="D183" t="s">
        <v>842</v>
      </c>
      <c r="E183" s="21" t="s">
        <v>725</v>
      </c>
    </row>
    <row r="184" spans="3:5" x14ac:dyDescent="0.25">
      <c r="C184" s="1" t="str">
        <f t="shared" ca="1" si="1"/>
        <v/>
      </c>
      <c r="D184" t="s">
        <v>843</v>
      </c>
      <c r="E184" s="21" t="s">
        <v>725</v>
      </c>
    </row>
    <row r="185" spans="3:5" x14ac:dyDescent="0.25">
      <c r="C185" s="1" t="str">
        <f t="shared" ca="1" si="1"/>
        <v/>
      </c>
      <c r="D185" t="s">
        <v>844</v>
      </c>
      <c r="E185" s="21" t="s">
        <v>725</v>
      </c>
    </row>
    <row r="186" spans="3:5" x14ac:dyDescent="0.25">
      <c r="C186" s="1" t="str">
        <f t="shared" ca="1" si="1"/>
        <v/>
      </c>
      <c r="D186" t="s">
        <v>845</v>
      </c>
      <c r="E186" s="21" t="s">
        <v>725</v>
      </c>
    </row>
    <row r="187" spans="3:5" x14ac:dyDescent="0.25">
      <c r="C187" s="1" t="str">
        <f t="shared" ca="1" si="1"/>
        <v/>
      </c>
      <c r="D187" t="s">
        <v>846</v>
      </c>
      <c r="E187" s="21" t="s">
        <v>725</v>
      </c>
    </row>
    <row r="188" spans="3:5" x14ac:dyDescent="0.25">
      <c r="C188" s="1" t="str">
        <f t="shared" ca="1" si="1"/>
        <v/>
      </c>
      <c r="D188" t="s">
        <v>847</v>
      </c>
      <c r="E188" s="21" t="s">
        <v>725</v>
      </c>
    </row>
    <row r="189" spans="3:5" x14ac:dyDescent="0.25">
      <c r="C189" s="1" t="str">
        <f t="shared" ca="1" si="1"/>
        <v/>
      </c>
      <c r="D189" t="s">
        <v>848</v>
      </c>
      <c r="E189" s="21" t="s">
        <v>725</v>
      </c>
    </row>
    <row r="190" spans="3:5" x14ac:dyDescent="0.25">
      <c r="C190" s="1" t="str">
        <f t="shared" ca="1" si="1"/>
        <v/>
      </c>
      <c r="D190" t="s">
        <v>849</v>
      </c>
      <c r="E190" s="21" t="s">
        <v>725</v>
      </c>
    </row>
    <row r="191" spans="3:5" x14ac:dyDescent="0.25">
      <c r="C191" s="1" t="str">
        <f t="shared" ca="1" si="1"/>
        <v/>
      </c>
      <c r="D191" t="s">
        <v>850</v>
      </c>
      <c r="E191" s="21" t="s">
        <v>725</v>
      </c>
    </row>
    <row r="192" spans="3:5" x14ac:dyDescent="0.25">
      <c r="C192" s="1" t="str">
        <f t="shared" ca="1" si="1"/>
        <v/>
      </c>
      <c r="D192" t="s">
        <v>851</v>
      </c>
      <c r="E192" s="21" t="s">
        <v>725</v>
      </c>
    </row>
    <row r="193" spans="3:5" x14ac:dyDescent="0.25">
      <c r="C193" s="1" t="str">
        <f t="shared" ca="1" si="1"/>
        <v/>
      </c>
      <c r="D193" t="s">
        <v>852</v>
      </c>
      <c r="E193" s="21" t="s">
        <v>725</v>
      </c>
    </row>
    <row r="194" spans="3:5" x14ac:dyDescent="0.25">
      <c r="C194" s="1" t="str">
        <f t="shared" ca="1" si="1"/>
        <v/>
      </c>
      <c r="D194" t="s">
        <v>853</v>
      </c>
      <c r="E194" s="21" t="s">
        <v>725</v>
      </c>
    </row>
    <row r="195" spans="3:5" x14ac:dyDescent="0.25">
      <c r="C195" s="1" t="str">
        <f t="shared" ca="1" si="1"/>
        <v/>
      </c>
      <c r="D195" t="s">
        <v>854</v>
      </c>
      <c r="E195" s="21" t="s">
        <v>725</v>
      </c>
    </row>
    <row r="196" spans="3:5" x14ac:dyDescent="0.25">
      <c r="C196" s="1" t="str">
        <f t="shared" ca="1" si="1"/>
        <v/>
      </c>
      <c r="D196" t="s">
        <v>855</v>
      </c>
      <c r="E196" s="21" t="s">
        <v>725</v>
      </c>
    </row>
    <row r="197" spans="3:5" x14ac:dyDescent="0.25">
      <c r="C197" s="1" t="str">
        <f t="shared" ca="1" si="1"/>
        <v/>
      </c>
      <c r="D197" t="s">
        <v>856</v>
      </c>
      <c r="E197" s="21" t="s">
        <v>725</v>
      </c>
    </row>
    <row r="198" spans="3:5" x14ac:dyDescent="0.25">
      <c r="C198" s="1" t="str">
        <f t="shared" ca="1" si="1"/>
        <v/>
      </c>
      <c r="D198" t="s">
        <v>857</v>
      </c>
      <c r="E198" s="21" t="s">
        <v>725</v>
      </c>
    </row>
    <row r="199" spans="3:5" x14ac:dyDescent="0.25">
      <c r="C199" s="1" t="str">
        <f t="shared" ca="1" si="1"/>
        <v/>
      </c>
      <c r="D199" t="s">
        <v>858</v>
      </c>
      <c r="E199" s="21" t="s">
        <v>725</v>
      </c>
    </row>
    <row r="200" spans="3:5" x14ac:dyDescent="0.25">
      <c r="C200" s="1" t="str">
        <f t="shared" ca="1" si="1"/>
        <v/>
      </c>
      <c r="D200" t="s">
        <v>859</v>
      </c>
      <c r="E200" s="21" t="s">
        <v>725</v>
      </c>
    </row>
    <row r="201" spans="3:5" x14ac:dyDescent="0.25">
      <c r="C201" s="1" t="str">
        <f t="shared" ca="1" si="1"/>
        <v/>
      </c>
      <c r="D201" t="s">
        <v>860</v>
      </c>
      <c r="E201" s="21" t="s">
        <v>725</v>
      </c>
    </row>
    <row r="202" spans="3:5" x14ac:dyDescent="0.25">
      <c r="C202" s="1" t="str">
        <f t="shared" ref="C202:C219" ca="1" si="2">IFERROR(OFFSET($D202,0,MATCH(Proj_pi_8,$C$133:$C$134,0)-1),"")</f>
        <v/>
      </c>
      <c r="D202" t="s">
        <v>861</v>
      </c>
      <c r="E202" s="21" t="s">
        <v>725</v>
      </c>
    </row>
    <row r="203" spans="3:5" x14ac:dyDescent="0.25">
      <c r="C203" s="1" t="str">
        <f t="shared" ca="1" si="2"/>
        <v/>
      </c>
      <c r="D203" t="s">
        <v>862</v>
      </c>
      <c r="E203" s="21" t="s">
        <v>725</v>
      </c>
    </row>
    <row r="204" spans="3:5" x14ac:dyDescent="0.25">
      <c r="C204" s="1" t="str">
        <f t="shared" ca="1" si="2"/>
        <v/>
      </c>
      <c r="D204" t="s">
        <v>863</v>
      </c>
      <c r="E204" s="21" t="s">
        <v>725</v>
      </c>
    </row>
    <row r="205" spans="3:5" x14ac:dyDescent="0.25">
      <c r="C205" s="1" t="str">
        <f t="shared" ca="1" si="2"/>
        <v/>
      </c>
      <c r="D205" t="s">
        <v>864</v>
      </c>
      <c r="E205" s="21" t="s">
        <v>725</v>
      </c>
    </row>
    <row r="206" spans="3:5" x14ac:dyDescent="0.25">
      <c r="C206" s="1" t="str">
        <f t="shared" ca="1" si="2"/>
        <v/>
      </c>
      <c r="D206" t="s">
        <v>865</v>
      </c>
      <c r="E206" s="21" t="s">
        <v>725</v>
      </c>
    </row>
    <row r="207" spans="3:5" x14ac:dyDescent="0.25">
      <c r="C207" s="1" t="str">
        <f t="shared" ca="1" si="2"/>
        <v/>
      </c>
      <c r="D207" t="s">
        <v>866</v>
      </c>
      <c r="E207" s="21" t="s">
        <v>725</v>
      </c>
    </row>
    <row r="208" spans="3:5" x14ac:dyDescent="0.25">
      <c r="C208" s="1" t="str">
        <f t="shared" ca="1" si="2"/>
        <v/>
      </c>
      <c r="D208" t="s">
        <v>867</v>
      </c>
      <c r="E208" s="21" t="s">
        <v>725</v>
      </c>
    </row>
    <row r="209" spans="2:5" x14ac:dyDescent="0.25">
      <c r="C209" s="1" t="str">
        <f t="shared" ca="1" si="2"/>
        <v/>
      </c>
      <c r="D209" t="s">
        <v>868</v>
      </c>
      <c r="E209" s="21" t="s">
        <v>725</v>
      </c>
    </row>
    <row r="210" spans="2:5" x14ac:dyDescent="0.25">
      <c r="C210" s="1" t="str">
        <f t="shared" ca="1" si="2"/>
        <v/>
      </c>
      <c r="D210" t="s">
        <v>869</v>
      </c>
      <c r="E210" s="21" t="s">
        <v>725</v>
      </c>
    </row>
    <row r="211" spans="2:5" x14ac:dyDescent="0.25">
      <c r="C211" s="1" t="str">
        <f t="shared" ca="1" si="2"/>
        <v/>
      </c>
      <c r="D211" t="s">
        <v>870</v>
      </c>
      <c r="E211" s="21" t="s">
        <v>725</v>
      </c>
    </row>
    <row r="212" spans="2:5" x14ac:dyDescent="0.25">
      <c r="C212" s="1" t="str">
        <f t="shared" ca="1" si="2"/>
        <v/>
      </c>
      <c r="D212" t="s">
        <v>871</v>
      </c>
      <c r="E212" s="21" t="s">
        <v>725</v>
      </c>
    </row>
    <row r="213" spans="2:5" x14ac:dyDescent="0.25">
      <c r="C213" s="1" t="str">
        <f t="shared" ca="1" si="2"/>
        <v/>
      </c>
      <c r="D213" t="s">
        <v>872</v>
      </c>
      <c r="E213" s="21" t="s">
        <v>725</v>
      </c>
    </row>
    <row r="214" spans="2:5" x14ac:dyDescent="0.25">
      <c r="C214" s="1" t="str">
        <f t="shared" ca="1" si="2"/>
        <v/>
      </c>
      <c r="D214" t="s">
        <v>873</v>
      </c>
      <c r="E214" s="21" t="s">
        <v>725</v>
      </c>
    </row>
    <row r="215" spans="2:5" x14ac:dyDescent="0.25">
      <c r="C215" s="1" t="str">
        <f t="shared" ca="1" si="2"/>
        <v/>
      </c>
      <c r="D215" t="s">
        <v>874</v>
      </c>
      <c r="E215" s="21" t="s">
        <v>725</v>
      </c>
    </row>
    <row r="216" spans="2:5" x14ac:dyDescent="0.25">
      <c r="C216" s="1" t="str">
        <f t="shared" ca="1" si="2"/>
        <v/>
      </c>
      <c r="D216" t="s">
        <v>875</v>
      </c>
      <c r="E216" s="21" t="s">
        <v>725</v>
      </c>
    </row>
    <row r="217" spans="2:5" x14ac:dyDescent="0.25">
      <c r="C217" s="1" t="str">
        <f t="shared" ca="1" si="2"/>
        <v/>
      </c>
      <c r="D217" t="s">
        <v>876</v>
      </c>
      <c r="E217" s="21" t="s">
        <v>725</v>
      </c>
    </row>
    <row r="218" spans="2:5" x14ac:dyDescent="0.25">
      <c r="C218" s="1" t="str">
        <f t="shared" ca="1" si="2"/>
        <v/>
      </c>
      <c r="D218" t="s">
        <v>877</v>
      </c>
      <c r="E218" s="21" t="s">
        <v>725</v>
      </c>
    </row>
    <row r="219" spans="2:5" x14ac:dyDescent="0.25">
      <c r="C219" s="1" t="str">
        <f t="shared" ca="1" si="2"/>
        <v/>
      </c>
      <c r="D219" t="s">
        <v>878</v>
      </c>
      <c r="E219" s="21" t="s">
        <v>725</v>
      </c>
    </row>
    <row r="221" spans="2:5" x14ac:dyDescent="0.25">
      <c r="B221" t="s">
        <v>879</v>
      </c>
      <c r="C221" t="s">
        <v>698</v>
      </c>
    </row>
    <row r="222" spans="2:5" x14ac:dyDescent="0.25">
      <c r="C222" t="s">
        <v>880</v>
      </c>
    </row>
    <row r="223" spans="2:5" x14ac:dyDescent="0.25">
      <c r="C223" t="s">
        <v>881</v>
      </c>
      <c r="D223" t="s">
        <v>882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6"/>
  <sheetViews>
    <sheetView workbookViewId="0">
      <selection activeCell="B3" sqref="B3"/>
    </sheetView>
  </sheetViews>
  <sheetFormatPr defaultRowHeight="15" x14ac:dyDescent="0.25"/>
  <cols>
    <col min="2" max="2" width="24.28515625" bestFit="1" customWidth="1"/>
    <col min="4" max="4" width="9.7109375" bestFit="1" customWidth="1"/>
    <col min="5" max="5" width="32.7109375" customWidth="1"/>
  </cols>
  <sheetData>
    <row r="2" spans="2:5" x14ac:dyDescent="0.25">
      <c r="B2" s="3"/>
      <c r="C2" s="4" t="s">
        <v>883</v>
      </c>
      <c r="D2" s="4" t="s">
        <v>884</v>
      </c>
      <c r="E2" s="5" t="s">
        <v>885</v>
      </c>
    </row>
    <row r="3" spans="2:5" x14ac:dyDescent="0.25">
      <c r="B3" s="51" t="s">
        <v>5</v>
      </c>
      <c r="C3" s="6">
        <f>COUNTIFS(All_Fields!$E$2:$E$347,"TRUE",All_Fields!$A$2:$A$347,Validation!$B3)</f>
        <v>31</v>
      </c>
      <c r="D3" s="6">
        <f>COUNTIFS(All_Fields!$E$2:$E$347,"FALSE",All_Fields!$A$2:$A$347,Validation!$B3)</f>
        <v>0</v>
      </c>
      <c r="E3" s="7" t="str">
        <f>D3&amp;" out of "&amp;SUM(C3:D3)&amp;" required fields completed."</f>
        <v>0 out of 31 required fields completed.</v>
      </c>
    </row>
    <row r="4" spans="2:5" x14ac:dyDescent="0.25">
      <c r="B4" s="51" t="s">
        <v>106</v>
      </c>
      <c r="C4" s="6">
        <f>COUNTIFS(All_Fields!$E$2:$E$347,"TRUE",All_Fields!$A$2:$A$347,Validation!$B4)</f>
        <v>27</v>
      </c>
      <c r="D4" s="6">
        <f>COUNTIFS(All_Fields!$E$2:$E$347,"FALSE",All_Fields!$A$2:$A$347,Validation!$B4)</f>
        <v>2</v>
      </c>
      <c r="E4" s="7" t="str">
        <f t="shared" ref="E4:E6" si="0">D4&amp;" out of "&amp;SUM(C4:D4)&amp;" required fields completed."</f>
        <v>2 out of 29 required fields completed.</v>
      </c>
    </row>
    <row r="5" spans="2:5" x14ac:dyDescent="0.25">
      <c r="B5" s="51" t="s">
        <v>209</v>
      </c>
      <c r="C5" s="6">
        <f>COUNTIFS(All_Fields!$E$2:$E$347,"TRUE",All_Fields!$A$2:$A$347,Validation!$B5)</f>
        <v>0</v>
      </c>
      <c r="D5" s="6">
        <f>COUNTIFS(All_Fields!$E$2:$E$347,"FALSE",All_Fields!$A$2:$A$347,Validation!$B5)</f>
        <v>0</v>
      </c>
      <c r="E5" s="7" t="str">
        <f t="shared" si="0"/>
        <v>0 out of 0 required fields completed.</v>
      </c>
    </row>
    <row r="6" spans="2:5" x14ac:dyDescent="0.25">
      <c r="B6" s="52" t="s">
        <v>242</v>
      </c>
      <c r="C6" s="12">
        <f>COUNTIFS(All_Fields!$E$2:$E$347,"TRUE",All_Fields!$A$2:$A$347,Validation!$B6)</f>
        <v>0</v>
      </c>
      <c r="D6" s="12">
        <f>COUNTIFS(All_Fields!$E$2:$E$347,"FALSE",All_Fields!$A$2:$A$347,Validation!$B6)</f>
        <v>0</v>
      </c>
      <c r="E6" s="13" t="str">
        <f t="shared" si="0"/>
        <v>0 out of 0 required fields completed.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B1:K28"/>
  <sheetViews>
    <sheetView showGridLines="0" zoomScale="85" zoomScaleNormal="85" workbookViewId="0">
      <selection activeCell="B4" sqref="B4"/>
    </sheetView>
  </sheetViews>
  <sheetFormatPr defaultRowHeight="15" x14ac:dyDescent="0.25"/>
  <cols>
    <col min="2" max="2" width="52" customWidth="1"/>
  </cols>
  <sheetData>
    <row r="1" spans="2:11" ht="15.75" thickBot="1" x14ac:dyDescent="0.3"/>
    <row r="2" spans="2:11" ht="19.5" thickTop="1" x14ac:dyDescent="0.3">
      <c r="B2" s="26" t="s">
        <v>886</v>
      </c>
      <c r="C2" s="95" t="s">
        <v>887</v>
      </c>
      <c r="D2" s="27"/>
      <c r="E2" s="27"/>
      <c r="F2" s="27"/>
      <c r="G2" s="27"/>
      <c r="H2" s="27"/>
      <c r="I2" s="23"/>
      <c r="J2" s="6"/>
      <c r="K2" s="6"/>
    </row>
    <row r="3" spans="2:11" ht="18.75" x14ac:dyDescent="0.3">
      <c r="B3" s="163">
        <v>43738</v>
      </c>
      <c r="C3" s="96"/>
      <c r="D3" s="6"/>
      <c r="E3" s="6"/>
      <c r="F3" s="6"/>
      <c r="G3" s="6"/>
      <c r="H3" s="6"/>
      <c r="I3" s="24"/>
      <c r="J3" s="6"/>
      <c r="K3" s="6"/>
    </row>
    <row r="4" spans="2:11" ht="15.75" thickBot="1" x14ac:dyDescent="0.3">
      <c r="B4" s="22"/>
      <c r="C4" s="28"/>
      <c r="D4" s="28"/>
      <c r="E4" s="28"/>
      <c r="F4" s="28"/>
      <c r="G4" s="28"/>
      <c r="H4" s="28"/>
      <c r="I4" s="25"/>
      <c r="J4" s="6"/>
      <c r="K4" s="6"/>
    </row>
    <row r="5" spans="2:11" ht="15.75" thickTop="1" x14ac:dyDescent="0.25"/>
    <row r="6" spans="2:11" x14ac:dyDescent="0.25">
      <c r="B6" s="32" t="s">
        <v>888</v>
      </c>
      <c r="C6" s="33"/>
      <c r="D6" s="33"/>
      <c r="E6" s="33"/>
      <c r="F6" s="33"/>
      <c r="G6" s="33"/>
      <c r="H6" s="33"/>
      <c r="I6" s="34"/>
    </row>
    <row r="7" spans="2:11" x14ac:dyDescent="0.25">
      <c r="B7" s="166" t="s">
        <v>889</v>
      </c>
      <c r="C7" s="16"/>
      <c r="D7" s="6"/>
      <c r="E7" s="6"/>
      <c r="F7" s="6"/>
      <c r="G7" s="6"/>
      <c r="H7" s="6"/>
      <c r="I7" s="7"/>
    </row>
    <row r="8" spans="2:11" x14ac:dyDescent="0.25">
      <c r="B8" s="166"/>
      <c r="C8" s="6"/>
      <c r="D8" s="6"/>
      <c r="E8" s="6"/>
      <c r="F8" s="6"/>
      <c r="G8" s="6"/>
      <c r="H8" s="6"/>
      <c r="I8" s="7"/>
    </row>
    <row r="9" spans="2:11" x14ac:dyDescent="0.25">
      <c r="B9" s="103"/>
      <c r="C9" s="6"/>
      <c r="D9" s="6"/>
      <c r="E9" s="6"/>
      <c r="F9" s="6"/>
      <c r="G9" s="6"/>
      <c r="H9" s="6"/>
      <c r="I9" s="7"/>
    </row>
    <row r="10" spans="2:11" x14ac:dyDescent="0.25">
      <c r="B10" s="166" t="s">
        <v>890</v>
      </c>
      <c r="C10" s="12" t="s">
        <v>698</v>
      </c>
      <c r="D10" s="6"/>
      <c r="E10" s="6"/>
      <c r="F10" s="6"/>
      <c r="G10" s="6"/>
      <c r="H10" s="6"/>
      <c r="I10" s="7"/>
    </row>
    <row r="11" spans="2:11" x14ac:dyDescent="0.25">
      <c r="B11" s="166"/>
      <c r="C11" s="4"/>
      <c r="D11" s="6"/>
      <c r="E11" s="6"/>
      <c r="F11" s="6"/>
      <c r="G11" s="6"/>
      <c r="H11" s="6"/>
      <c r="I11" s="7"/>
    </row>
    <row r="12" spans="2:11" x14ac:dyDescent="0.25">
      <c r="B12" s="103"/>
      <c r="C12" s="6"/>
      <c r="D12" s="6"/>
      <c r="E12" s="6"/>
      <c r="F12" s="6"/>
      <c r="G12" s="6"/>
      <c r="H12" s="6"/>
      <c r="I12" s="7"/>
    </row>
    <row r="13" spans="2:11" x14ac:dyDescent="0.25">
      <c r="B13" s="30" t="s">
        <v>891</v>
      </c>
      <c r="C13" s="29"/>
      <c r="D13" s="12"/>
      <c r="E13" s="12"/>
      <c r="F13" s="12"/>
      <c r="G13" s="12"/>
      <c r="H13" s="12"/>
      <c r="I13" s="13"/>
    </row>
    <row r="15" spans="2:11" x14ac:dyDescent="0.25">
      <c r="B15" s="32" t="s">
        <v>892</v>
      </c>
      <c r="C15" s="33"/>
      <c r="D15" s="33"/>
      <c r="E15" s="33"/>
      <c r="F15" s="33"/>
      <c r="G15" s="33"/>
      <c r="H15" s="33"/>
      <c r="I15" s="34"/>
    </row>
    <row r="16" spans="2:11" x14ac:dyDescent="0.25">
      <c r="B16" s="8" t="s">
        <v>893</v>
      </c>
      <c r="C16" s="6"/>
      <c r="D16" s="6"/>
      <c r="E16" s="6"/>
      <c r="F16" s="6"/>
      <c r="G16" s="6"/>
      <c r="H16" s="6"/>
      <c r="I16" s="7"/>
    </row>
    <row r="17" spans="2:9" x14ac:dyDescent="0.25">
      <c r="B17" s="8" t="s">
        <v>5</v>
      </c>
      <c r="C17" s="6"/>
      <c r="D17" s="6"/>
      <c r="E17" s="6"/>
      <c r="F17" s="6"/>
      <c r="G17" s="6"/>
      <c r="H17" s="6"/>
      <c r="I17" s="7"/>
    </row>
    <row r="18" spans="2:9" x14ac:dyDescent="0.25">
      <c r="B18" s="8" t="s">
        <v>106</v>
      </c>
      <c r="C18" s="6"/>
      <c r="D18" s="6"/>
      <c r="E18" s="6"/>
      <c r="F18" s="6"/>
      <c r="G18" s="6"/>
      <c r="H18" s="6"/>
      <c r="I18" s="7"/>
    </row>
    <row r="19" spans="2:9" x14ac:dyDescent="0.25">
      <c r="B19" s="8" t="s">
        <v>242</v>
      </c>
      <c r="C19" s="6"/>
      <c r="D19" s="6"/>
      <c r="E19" s="6"/>
      <c r="F19" s="6"/>
      <c r="G19" s="6"/>
      <c r="H19" s="6"/>
      <c r="I19" s="7"/>
    </row>
    <row r="20" spans="2:9" x14ac:dyDescent="0.25">
      <c r="B20" s="11" t="s">
        <v>209</v>
      </c>
      <c r="C20" s="12"/>
      <c r="D20" s="12"/>
      <c r="E20" s="12"/>
      <c r="F20" s="12"/>
      <c r="G20" s="12"/>
      <c r="H20" s="12"/>
      <c r="I20" s="13"/>
    </row>
    <row r="22" spans="2:9" x14ac:dyDescent="0.25">
      <c r="B22" s="32" t="s">
        <v>893</v>
      </c>
      <c r="C22" s="33"/>
      <c r="D22" s="33"/>
      <c r="E22" s="33"/>
      <c r="F22" s="33"/>
      <c r="G22" s="33"/>
      <c r="H22" s="33"/>
      <c r="I22" s="34"/>
    </row>
    <row r="23" spans="2:9" x14ac:dyDescent="0.25">
      <c r="B23" s="8" t="s">
        <v>894</v>
      </c>
      <c r="C23" s="6"/>
      <c r="D23" s="6"/>
      <c r="E23" s="6"/>
      <c r="F23" s="6"/>
      <c r="G23" s="6"/>
      <c r="H23" s="6"/>
      <c r="I23" s="7"/>
    </row>
    <row r="24" spans="2:9" x14ac:dyDescent="0.25">
      <c r="B24" s="8" t="s">
        <v>895</v>
      </c>
      <c r="C24" s="6"/>
      <c r="D24" s="6"/>
      <c r="E24" s="6"/>
      <c r="F24" s="6"/>
      <c r="G24" s="6"/>
      <c r="H24" s="6"/>
      <c r="I24" s="7"/>
    </row>
    <row r="25" spans="2:9" x14ac:dyDescent="0.25">
      <c r="B25" s="8" t="s">
        <v>896</v>
      </c>
      <c r="C25" s="6"/>
      <c r="D25" s="6"/>
      <c r="E25" s="6"/>
      <c r="F25" s="6"/>
      <c r="G25" s="6"/>
      <c r="H25" s="6"/>
      <c r="I25" s="7"/>
    </row>
    <row r="26" spans="2:9" x14ac:dyDescent="0.25">
      <c r="B26" s="8" t="s">
        <v>897</v>
      </c>
      <c r="C26" s="6"/>
      <c r="D26" s="6"/>
      <c r="E26" s="6"/>
      <c r="F26" s="6"/>
      <c r="G26" s="6"/>
      <c r="H26" s="6"/>
      <c r="I26" s="7"/>
    </row>
    <row r="27" spans="2:9" x14ac:dyDescent="0.25">
      <c r="B27" s="8" t="s">
        <v>898</v>
      </c>
      <c r="C27" s="6"/>
      <c r="D27" s="6"/>
      <c r="E27" s="6"/>
      <c r="F27" s="6"/>
      <c r="G27" s="6"/>
      <c r="H27" s="6"/>
      <c r="I27" s="7"/>
    </row>
    <row r="28" spans="2:9" x14ac:dyDescent="0.25">
      <c r="B28" s="31" t="s">
        <v>899</v>
      </c>
      <c r="C28" s="12"/>
      <c r="D28" s="12"/>
      <c r="E28" s="12"/>
      <c r="F28" s="12"/>
      <c r="G28" s="12"/>
      <c r="H28" s="12"/>
      <c r="I28" s="13"/>
    </row>
  </sheetData>
  <mergeCells count="2">
    <mergeCell ref="B7:B8"/>
    <mergeCell ref="B10:B11"/>
  </mergeCells>
  <conditionalFormatting sqref="C7">
    <cfRule type="containsBlanks" dxfId="96" priority="2">
      <formula>LEN(TRIM(C7))=0</formula>
    </cfRule>
  </conditionalFormatting>
  <conditionalFormatting sqref="C10">
    <cfRule type="containsText" dxfId="95" priority="1" operator="containsText" text="&lt;Choose&gt;">
      <formula>NOT(ISERROR(SEARCH("&lt;Choose&gt;",C10)))</formula>
    </cfRule>
  </conditionalFormatting>
  <dataValidations count="1">
    <dataValidation type="list" allowBlank="1" showInputMessage="1" showErrorMessage="1" sqref="C10" xr:uid="{00000000-0002-0000-0300-000000000000}">
      <formula1>"&lt;Choose&gt;,Yes,No"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autoPageBreaks="0"/>
  </sheetPr>
  <dimension ref="B1:N41"/>
  <sheetViews>
    <sheetView showGridLines="0" topLeftCell="A28" zoomScaleNormal="100" zoomScaleSheetLayoutView="90" workbookViewId="0">
      <selection activeCell="B4" sqref="B4"/>
    </sheetView>
  </sheetViews>
  <sheetFormatPr defaultRowHeight="15" x14ac:dyDescent="0.25"/>
  <cols>
    <col min="1" max="1" width="5.28515625" customWidth="1"/>
    <col min="2" max="2" width="17.7109375" customWidth="1"/>
    <col min="3" max="3" width="28.140625" customWidth="1"/>
    <col min="4" max="4" width="14.5703125" customWidth="1"/>
    <col min="5" max="5" width="9.28515625" customWidth="1"/>
    <col min="6" max="6" width="9.7109375" customWidth="1"/>
    <col min="8" max="8" width="13.28515625" customWidth="1"/>
    <col min="9" max="9" width="10.28515625" customWidth="1"/>
    <col min="10" max="10" width="2.7109375" customWidth="1"/>
    <col min="11" max="11" width="15.7109375" customWidth="1"/>
    <col min="12" max="12" width="10.5703125" customWidth="1"/>
    <col min="13" max="13" width="12.7109375" customWidth="1"/>
    <col min="14" max="14" width="11.28515625" bestFit="1" customWidth="1"/>
  </cols>
  <sheetData>
    <row r="1" spans="2:11" ht="15.75" thickBot="1" x14ac:dyDescent="0.3"/>
    <row r="2" spans="2:11" ht="19.5" thickTop="1" x14ac:dyDescent="0.3">
      <c r="B2" s="26" t="s">
        <v>900</v>
      </c>
      <c r="C2" s="27"/>
      <c r="D2" s="27"/>
      <c r="E2" s="95" t="s">
        <v>887</v>
      </c>
      <c r="F2" s="27"/>
      <c r="G2" s="27"/>
      <c r="H2" s="27"/>
      <c r="I2" s="27"/>
      <c r="J2" s="27"/>
      <c r="K2" s="23"/>
    </row>
    <row r="3" spans="2:11" ht="18.75" x14ac:dyDescent="0.3">
      <c r="B3" s="163">
        <v>43738</v>
      </c>
      <c r="C3" s="6"/>
      <c r="D3" s="6"/>
      <c r="E3" s="96"/>
      <c r="G3" s="6"/>
      <c r="H3" s="6"/>
      <c r="I3" s="6"/>
      <c r="J3" s="6"/>
      <c r="K3" s="24"/>
    </row>
    <row r="4" spans="2:11" ht="15.75" thickBot="1" x14ac:dyDescent="0.3">
      <c r="B4" s="22" t="str">
        <f>Validation!$E$3</f>
        <v>0 out of 31 required fields completed.</v>
      </c>
      <c r="C4" s="28"/>
      <c r="D4" s="28"/>
      <c r="E4" s="28"/>
      <c r="F4" s="28"/>
      <c r="G4" s="28"/>
      <c r="H4" s="28"/>
      <c r="I4" s="28"/>
      <c r="J4" s="28"/>
      <c r="K4" s="25"/>
    </row>
    <row r="5" spans="2:11" ht="15.75" thickTop="1" x14ac:dyDescent="0.25">
      <c r="B5" s="14"/>
    </row>
    <row r="6" spans="2:11" x14ac:dyDescent="0.25">
      <c r="B6" s="32" t="s">
        <v>5</v>
      </c>
      <c r="C6" s="33"/>
      <c r="D6" s="33"/>
      <c r="E6" s="33"/>
      <c r="F6" s="33"/>
      <c r="G6" s="33"/>
      <c r="H6" s="34"/>
      <c r="I6" s="6"/>
    </row>
    <row r="7" spans="2:11" x14ac:dyDescent="0.25">
      <c r="B7" s="167" t="s">
        <v>901</v>
      </c>
      <c r="C7" s="6"/>
      <c r="D7" s="6"/>
      <c r="E7" s="6"/>
      <c r="F7" s="6"/>
      <c r="G7" s="6"/>
      <c r="H7" s="7"/>
      <c r="I7" s="6"/>
    </row>
    <row r="8" spans="2:11" x14ac:dyDescent="0.25">
      <c r="B8" s="167"/>
      <c r="C8" s="104"/>
      <c r="D8" s="6"/>
      <c r="E8" s="6"/>
      <c r="F8" s="6"/>
      <c r="G8" s="6"/>
      <c r="H8" s="7"/>
      <c r="I8" s="6"/>
    </row>
    <row r="9" spans="2:11" x14ac:dyDescent="0.25">
      <c r="B9" s="8" t="s">
        <v>902</v>
      </c>
      <c r="C9" s="104"/>
      <c r="D9" s="6"/>
      <c r="E9" s="6"/>
      <c r="F9" s="6"/>
      <c r="G9" s="6"/>
      <c r="H9" s="7"/>
      <c r="I9" s="6"/>
    </row>
    <row r="10" spans="2:11" x14ac:dyDescent="0.25">
      <c r="B10" s="8" t="s">
        <v>903</v>
      </c>
      <c r="C10" s="104"/>
      <c r="D10" s="6"/>
      <c r="E10" s="6"/>
      <c r="F10" s="6"/>
      <c r="G10" s="6"/>
      <c r="H10" s="7"/>
      <c r="I10" s="6"/>
    </row>
    <row r="11" spans="2:11" x14ac:dyDescent="0.25">
      <c r="B11" s="8" t="s">
        <v>904</v>
      </c>
      <c r="C11" s="104"/>
      <c r="D11" s="6" t="s">
        <v>905</v>
      </c>
      <c r="E11" s="104"/>
      <c r="F11" s="6"/>
      <c r="G11" s="6"/>
      <c r="H11" s="7"/>
      <c r="I11" s="6"/>
    </row>
    <row r="12" spans="2:11" x14ac:dyDescent="0.25">
      <c r="B12" s="8" t="s">
        <v>906</v>
      </c>
      <c r="C12" s="104"/>
      <c r="D12" s="6"/>
      <c r="E12" s="6"/>
      <c r="F12" s="6"/>
      <c r="G12" s="6"/>
      <c r="H12" s="7"/>
      <c r="I12" s="6"/>
    </row>
    <row r="13" spans="2:11" x14ac:dyDescent="0.25">
      <c r="B13" s="8" t="s">
        <v>907</v>
      </c>
      <c r="C13" s="104"/>
      <c r="D13" s="6"/>
      <c r="E13" s="6"/>
      <c r="F13" s="6"/>
      <c r="G13" s="6"/>
      <c r="H13" s="7"/>
      <c r="I13" s="6"/>
    </row>
    <row r="14" spans="2:11" x14ac:dyDescent="0.25">
      <c r="B14" s="8" t="s">
        <v>20</v>
      </c>
      <c r="C14" s="6"/>
      <c r="D14" s="6"/>
      <c r="E14" s="42" t="s">
        <v>698</v>
      </c>
      <c r="F14" s="6"/>
      <c r="G14" s="6"/>
      <c r="H14" s="7"/>
      <c r="I14" s="6"/>
    </row>
    <row r="15" spans="2:11" x14ac:dyDescent="0.25">
      <c r="B15" s="9" t="s">
        <v>908</v>
      </c>
      <c r="C15" s="6"/>
      <c r="D15" s="6"/>
      <c r="E15" s="6"/>
      <c r="F15" s="10" t="s">
        <v>909</v>
      </c>
      <c r="G15" s="6"/>
      <c r="H15" s="7"/>
      <c r="I15" s="6"/>
    </row>
    <row r="16" spans="2:11" x14ac:dyDescent="0.25">
      <c r="B16" s="8" t="s">
        <v>910</v>
      </c>
      <c r="C16" s="104"/>
      <c r="D16" s="6"/>
      <c r="E16" s="6"/>
      <c r="F16" s="6" t="s">
        <v>910</v>
      </c>
      <c r="G16" s="104"/>
      <c r="H16" s="7"/>
      <c r="I16" s="6"/>
    </row>
    <row r="17" spans="2:14" x14ac:dyDescent="0.25">
      <c r="B17" s="8" t="s">
        <v>911</v>
      </c>
      <c r="C17" s="104"/>
      <c r="D17" s="6"/>
      <c r="E17" s="6"/>
      <c r="F17" s="6" t="s">
        <v>911</v>
      </c>
      <c r="G17" s="104"/>
      <c r="H17" s="7"/>
      <c r="I17" s="6"/>
    </row>
    <row r="18" spans="2:14" x14ac:dyDescent="0.25">
      <c r="B18" s="8" t="s">
        <v>912</v>
      </c>
      <c r="C18" s="104"/>
      <c r="D18" s="6"/>
      <c r="E18" s="6"/>
      <c r="F18" s="6" t="s">
        <v>912</v>
      </c>
      <c r="G18" s="104"/>
      <c r="H18" s="7"/>
      <c r="I18" s="6"/>
    </row>
    <row r="19" spans="2:14" x14ac:dyDescent="0.25">
      <c r="B19" s="8" t="s">
        <v>913</v>
      </c>
      <c r="C19" s="104"/>
      <c r="D19" s="6"/>
      <c r="E19" s="6"/>
      <c r="F19" s="6" t="s">
        <v>913</v>
      </c>
      <c r="G19" s="104"/>
      <c r="H19" s="7"/>
      <c r="I19" s="6"/>
    </row>
    <row r="20" spans="2:14" x14ac:dyDescent="0.25">
      <c r="B20" s="8" t="s">
        <v>914</v>
      </c>
      <c r="C20" s="104"/>
      <c r="D20" s="6"/>
      <c r="E20" s="6"/>
      <c r="F20" s="6" t="s">
        <v>914</v>
      </c>
      <c r="G20" s="104"/>
      <c r="H20" s="7"/>
      <c r="I20" s="6"/>
    </row>
    <row r="21" spans="2:14" x14ac:dyDescent="0.25">
      <c r="B21" s="11" t="s">
        <v>915</v>
      </c>
      <c r="C21" s="41"/>
      <c r="D21" s="12"/>
      <c r="E21" s="12"/>
      <c r="F21" s="12" t="s">
        <v>915</v>
      </c>
      <c r="G21" s="41"/>
      <c r="H21" s="13"/>
      <c r="I21" s="6"/>
    </row>
    <row r="23" spans="2:14" x14ac:dyDescent="0.25">
      <c r="B23" s="32" t="s">
        <v>916</v>
      </c>
      <c r="C23" s="33"/>
      <c r="D23" s="33"/>
      <c r="E23" s="33"/>
      <c r="F23" s="34"/>
      <c r="M23" s="1"/>
      <c r="N23" s="2"/>
    </row>
    <row r="24" spans="2:14" x14ac:dyDescent="0.25">
      <c r="B24" s="8"/>
      <c r="C24" s="6"/>
      <c r="D24" s="6"/>
      <c r="E24" s="6"/>
      <c r="F24" s="7"/>
      <c r="M24" s="1"/>
      <c r="N24" s="2"/>
    </row>
    <row r="25" spans="2:14" x14ac:dyDescent="0.25">
      <c r="B25" s="8" t="s">
        <v>46</v>
      </c>
      <c r="C25" s="104"/>
      <c r="D25" s="6"/>
      <c r="E25" s="6"/>
      <c r="F25" s="7"/>
      <c r="M25" s="1"/>
      <c r="N25" s="2"/>
    </row>
    <row r="26" spans="2:14" x14ac:dyDescent="0.25">
      <c r="B26" s="8" t="s">
        <v>902</v>
      </c>
      <c r="C26" s="104"/>
      <c r="D26" s="6"/>
      <c r="E26" s="6"/>
      <c r="F26" s="7"/>
      <c r="M26" s="1"/>
      <c r="N26" s="2"/>
    </row>
    <row r="27" spans="2:14" x14ac:dyDescent="0.25">
      <c r="B27" s="8" t="s">
        <v>903</v>
      </c>
      <c r="C27" s="104"/>
      <c r="D27" s="6"/>
      <c r="E27" s="6"/>
      <c r="F27" s="7"/>
      <c r="M27" s="1"/>
      <c r="N27" s="2"/>
    </row>
    <row r="28" spans="2:14" x14ac:dyDescent="0.25">
      <c r="B28" s="8" t="s">
        <v>904</v>
      </c>
      <c r="C28" s="104"/>
      <c r="D28" s="6" t="s">
        <v>905</v>
      </c>
      <c r="E28" s="104"/>
      <c r="F28" s="7"/>
      <c r="M28" s="1"/>
      <c r="N28" s="2"/>
    </row>
    <row r="29" spans="2:14" x14ac:dyDescent="0.25">
      <c r="B29" s="8" t="s">
        <v>906</v>
      </c>
      <c r="C29" s="104"/>
      <c r="D29" s="6"/>
      <c r="E29" s="6"/>
      <c r="F29" s="7"/>
      <c r="M29" s="1"/>
      <c r="N29" s="2"/>
    </row>
    <row r="30" spans="2:14" x14ac:dyDescent="0.25">
      <c r="B30" s="8" t="s">
        <v>907</v>
      </c>
      <c r="C30" s="104"/>
      <c r="D30" s="6"/>
      <c r="E30" s="6"/>
      <c r="F30" s="7"/>
      <c r="M30" s="1"/>
      <c r="N30" s="2"/>
    </row>
    <row r="31" spans="2:14" x14ac:dyDescent="0.25">
      <c r="B31" s="11" t="s">
        <v>20</v>
      </c>
      <c r="C31" s="12"/>
      <c r="D31" s="12"/>
      <c r="E31" s="42" t="s">
        <v>698</v>
      </c>
      <c r="F31" s="13"/>
      <c r="M31" s="1"/>
      <c r="N31" s="2"/>
    </row>
    <row r="32" spans="2:14" x14ac:dyDescent="0.25">
      <c r="M32" s="1"/>
      <c r="N32" s="2"/>
    </row>
    <row r="34" spans="2:6" x14ac:dyDescent="0.25">
      <c r="B34" s="32" t="s">
        <v>917</v>
      </c>
      <c r="C34" s="33"/>
      <c r="D34" s="33"/>
      <c r="E34" s="33"/>
      <c r="F34" s="34"/>
    </row>
    <row r="35" spans="2:6" x14ac:dyDescent="0.25">
      <c r="B35" s="8" t="s">
        <v>918</v>
      </c>
      <c r="C35" s="6"/>
      <c r="D35" s="6" t="s">
        <v>919</v>
      </c>
      <c r="E35" s="6" t="s">
        <v>920</v>
      </c>
      <c r="F35" s="7"/>
    </row>
    <row r="36" spans="2:6" x14ac:dyDescent="0.25">
      <c r="B36" s="37"/>
      <c r="C36" s="36"/>
      <c r="D36" s="36"/>
      <c r="E36" s="36"/>
      <c r="F36" s="38"/>
    </row>
    <row r="37" spans="2:6" x14ac:dyDescent="0.25">
      <c r="B37" s="37"/>
      <c r="C37" s="36"/>
      <c r="D37" s="36"/>
      <c r="E37" s="36"/>
      <c r="F37" s="38"/>
    </row>
    <row r="38" spans="2:6" x14ac:dyDescent="0.25">
      <c r="B38" s="37"/>
      <c r="C38" s="36"/>
      <c r="D38" s="36"/>
      <c r="E38" s="36"/>
      <c r="F38" s="38"/>
    </row>
    <row r="39" spans="2:6" x14ac:dyDescent="0.25">
      <c r="B39" s="40"/>
      <c r="C39" s="42"/>
      <c r="D39" s="42"/>
      <c r="E39" s="42"/>
      <c r="F39" s="43"/>
    </row>
    <row r="40" spans="2:6" ht="20.65" customHeight="1" x14ac:dyDescent="0.25">
      <c r="D40" s="17">
        <f>SUM(D36:D39)</f>
        <v>0</v>
      </c>
      <c r="E40" s="18" t="str">
        <f>IF(SUM($D$36:$D$39)&lt;&gt;1,"Total must be 100%","")</f>
        <v>Total must be 100%</v>
      </c>
      <c r="F40" s="19"/>
    </row>
    <row r="41" spans="2:6" ht="14.65" customHeight="1" x14ac:dyDescent="0.25">
      <c r="D41" s="15"/>
      <c r="E41" s="20"/>
      <c r="F41" s="6"/>
    </row>
  </sheetData>
  <mergeCells count="1">
    <mergeCell ref="B7:B8"/>
  </mergeCells>
  <conditionalFormatting sqref="C25:C30">
    <cfRule type="containsBlanks" dxfId="94" priority="18">
      <formula>LEN(TRIM(C25))=0</formula>
    </cfRule>
  </conditionalFormatting>
  <conditionalFormatting sqref="E28">
    <cfRule type="containsBlanks" dxfId="93" priority="17">
      <formula>LEN(TRIM(E28))=0</formula>
    </cfRule>
  </conditionalFormatting>
  <conditionalFormatting sqref="E11">
    <cfRule type="containsBlanks" dxfId="92" priority="16">
      <formula>LEN(TRIM(E11))=0</formula>
    </cfRule>
  </conditionalFormatting>
  <conditionalFormatting sqref="C8">
    <cfRule type="containsBlanks" dxfId="91" priority="15">
      <formula>LEN(TRIM(C8))=0</formula>
    </cfRule>
  </conditionalFormatting>
  <conditionalFormatting sqref="C9:C13">
    <cfRule type="containsBlanks" dxfId="90" priority="14">
      <formula>LEN(TRIM(C9))=0</formula>
    </cfRule>
  </conditionalFormatting>
  <conditionalFormatting sqref="C16:C21">
    <cfRule type="containsBlanks" dxfId="89" priority="13">
      <formula>LEN(TRIM(C16))=0</formula>
    </cfRule>
  </conditionalFormatting>
  <conditionalFormatting sqref="G16:G21">
    <cfRule type="containsBlanks" dxfId="88" priority="12">
      <formula>LEN(TRIM(G16))=0</formula>
    </cfRule>
  </conditionalFormatting>
  <conditionalFormatting sqref="E31">
    <cfRule type="containsText" dxfId="87" priority="11" operator="containsText" text="&lt;Choose&gt;">
      <formula>NOT(ISERROR(SEARCH("&lt;Choose&gt;",E31)))</formula>
    </cfRule>
  </conditionalFormatting>
  <conditionalFormatting sqref="E14">
    <cfRule type="containsText" dxfId="86" priority="1" operator="containsText" text="&lt;Choose&gt;">
      <formula>NOT(ISERROR(SEARCH("&lt;Choose&gt;",E14)))</formula>
    </cfRule>
  </conditionalFormatting>
  <dataValidations count="1">
    <dataValidation type="list" allowBlank="1" showInputMessage="1" showErrorMessage="1" sqref="E31 E14" xr:uid="{00000000-0002-0000-0400-000000000000}">
      <formula1>"&lt;Choose&gt;,Yes,No"</formula1>
    </dataValidation>
  </dataValidation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B1:H67"/>
  <sheetViews>
    <sheetView showGridLines="0" topLeftCell="A19" zoomScaleNormal="100" workbookViewId="0">
      <selection activeCell="B22" sqref="B22"/>
    </sheetView>
  </sheetViews>
  <sheetFormatPr defaultColWidth="8.7109375" defaultRowHeight="15" x14ac:dyDescent="0.25"/>
  <cols>
    <col min="1" max="1" width="8.7109375" style="53"/>
    <col min="2" max="2" width="47.5703125" style="53" customWidth="1"/>
    <col min="3" max="3" width="38.7109375" style="53" customWidth="1"/>
    <col min="4" max="4" width="8.7109375" style="53"/>
    <col min="5" max="5" width="4.7109375" style="53" customWidth="1"/>
    <col min="6" max="6" width="29.42578125" style="53" customWidth="1"/>
    <col min="7" max="7" width="21.28515625" style="53" customWidth="1"/>
    <col min="8" max="8" width="13.28515625" style="53" customWidth="1"/>
    <col min="9" max="16384" width="8.7109375" style="53"/>
  </cols>
  <sheetData>
    <row r="1" spans="2:8" ht="15.75" thickBot="1" x14ac:dyDescent="0.3"/>
    <row r="2" spans="2:8" ht="19.5" thickTop="1" x14ac:dyDescent="0.3">
      <c r="B2" s="54" t="s">
        <v>921</v>
      </c>
      <c r="C2" s="95" t="s">
        <v>887</v>
      </c>
      <c r="D2" s="55"/>
      <c r="E2" s="55"/>
      <c r="F2" s="55"/>
      <c r="G2" s="56"/>
    </row>
    <row r="3" spans="2:8" ht="18.75" x14ac:dyDescent="0.3">
      <c r="B3" s="163">
        <v>43738</v>
      </c>
      <c r="C3" s="96"/>
      <c r="D3" s="50"/>
      <c r="E3" s="50"/>
      <c r="F3" s="50"/>
      <c r="G3" s="57"/>
    </row>
    <row r="4" spans="2:8" ht="15.75" thickBot="1" x14ac:dyDescent="0.3">
      <c r="B4" s="58" t="str">
        <f>Validation!E4</f>
        <v>2 out of 29 required fields completed.</v>
      </c>
      <c r="C4" s="59"/>
      <c r="D4" s="59"/>
      <c r="E4" s="59"/>
      <c r="F4" s="59"/>
      <c r="G4" s="60"/>
    </row>
    <row r="5" spans="2:8" ht="15.75" thickTop="1" x14ac:dyDescent="0.25"/>
    <row r="6" spans="2:8" x14ac:dyDescent="0.25">
      <c r="B6" s="61" t="s">
        <v>106</v>
      </c>
      <c r="C6" s="62"/>
      <c r="D6" s="62"/>
      <c r="E6" s="62"/>
      <c r="F6" s="62"/>
      <c r="G6" s="63"/>
      <c r="H6" s="64"/>
    </row>
    <row r="7" spans="2:8" x14ac:dyDescent="0.25">
      <c r="B7" s="65" t="s">
        <v>107</v>
      </c>
      <c r="C7" s="168"/>
      <c r="D7" s="168"/>
      <c r="E7" s="168"/>
      <c r="F7" s="168"/>
      <c r="G7" s="169"/>
      <c r="H7" s="64"/>
    </row>
    <row r="8" spans="2:8" x14ac:dyDescent="0.25">
      <c r="B8" s="66" t="s">
        <v>902</v>
      </c>
      <c r="C8" s="168"/>
      <c r="D8" s="168"/>
      <c r="E8" s="168"/>
      <c r="F8" s="168"/>
      <c r="G8" s="169"/>
      <c r="H8" s="64"/>
    </row>
    <row r="9" spans="2:8" x14ac:dyDescent="0.25">
      <c r="B9" s="66" t="s">
        <v>904</v>
      </c>
      <c r="C9" s="104"/>
      <c r="D9" s="64"/>
      <c r="E9" s="64"/>
      <c r="F9" s="64"/>
      <c r="G9" s="68"/>
      <c r="H9" s="64"/>
    </row>
    <row r="10" spans="2:8" x14ac:dyDescent="0.25">
      <c r="B10" s="66" t="s">
        <v>903</v>
      </c>
      <c r="C10" s="104"/>
      <c r="D10" s="64"/>
      <c r="E10" s="64"/>
      <c r="F10" s="64" t="s">
        <v>905</v>
      </c>
      <c r="G10" s="105"/>
      <c r="H10" s="64"/>
    </row>
    <row r="11" spans="2:8" x14ac:dyDescent="0.25">
      <c r="B11" s="66" t="s">
        <v>922</v>
      </c>
      <c r="C11" s="104"/>
      <c r="D11" s="64"/>
      <c r="E11" s="64"/>
      <c r="F11" s="64" t="s">
        <v>923</v>
      </c>
      <c r="G11" s="105"/>
      <c r="H11" s="64"/>
    </row>
    <row r="12" spans="2:8" x14ac:dyDescent="0.25">
      <c r="B12" s="66"/>
      <c r="C12" s="64"/>
      <c r="D12" s="64"/>
      <c r="E12" s="64"/>
      <c r="F12" s="64"/>
      <c r="G12" s="68"/>
      <c r="H12" s="64"/>
    </row>
    <row r="13" spans="2:8" x14ac:dyDescent="0.25">
      <c r="B13" s="66" t="s">
        <v>133</v>
      </c>
      <c r="C13" s="104"/>
      <c r="D13" s="64"/>
      <c r="E13" s="64"/>
      <c r="F13" s="64"/>
      <c r="G13" s="68"/>
      <c r="H13" s="64"/>
    </row>
    <row r="14" spans="2:8" x14ac:dyDescent="0.25">
      <c r="B14" s="66" t="s">
        <v>135</v>
      </c>
      <c r="C14" s="104"/>
      <c r="D14" s="64"/>
      <c r="E14" s="64"/>
      <c r="F14" s="64"/>
      <c r="G14" s="68"/>
      <c r="H14" s="64"/>
    </row>
    <row r="15" spans="2:8" x14ac:dyDescent="0.25">
      <c r="B15" s="66" t="s">
        <v>924</v>
      </c>
      <c r="C15" s="104"/>
      <c r="D15" s="64"/>
      <c r="E15" s="64"/>
      <c r="F15" s="64"/>
      <c r="G15" s="68"/>
      <c r="H15" s="64"/>
    </row>
    <row r="16" spans="2:8" x14ac:dyDescent="0.25">
      <c r="B16" s="66" t="s">
        <v>925</v>
      </c>
      <c r="C16" s="104"/>
      <c r="D16" s="64"/>
      <c r="E16" s="64"/>
      <c r="F16" s="64"/>
      <c r="G16" s="68"/>
      <c r="H16" s="64"/>
    </row>
    <row r="17" spans="2:8" x14ac:dyDescent="0.25">
      <c r="B17" s="66"/>
      <c r="C17" s="39"/>
      <c r="D17" s="64"/>
      <c r="E17" s="64"/>
      <c r="F17" s="64"/>
      <c r="G17" s="68"/>
      <c r="H17" s="64"/>
    </row>
    <row r="18" spans="2:8" x14ac:dyDescent="0.25">
      <c r="B18" s="66" t="s">
        <v>123</v>
      </c>
      <c r="C18" s="39" t="s">
        <v>698</v>
      </c>
      <c r="D18" s="69"/>
      <c r="E18" s="64"/>
      <c r="F18" s="64"/>
      <c r="G18" s="68"/>
      <c r="H18" s="64"/>
    </row>
    <row r="19" spans="2:8" x14ac:dyDescent="0.25">
      <c r="B19" s="66" t="s">
        <v>125</v>
      </c>
      <c r="C19" s="39" t="s">
        <v>698</v>
      </c>
      <c r="D19" s="69"/>
      <c r="E19" s="64"/>
      <c r="F19" s="64"/>
      <c r="G19" s="68"/>
      <c r="H19" s="64"/>
    </row>
    <row r="20" spans="2:8" x14ac:dyDescent="0.25">
      <c r="B20" s="66" t="s">
        <v>127</v>
      </c>
      <c r="C20" s="39" t="s">
        <v>698</v>
      </c>
      <c r="D20" s="69"/>
      <c r="E20" s="64"/>
      <c r="F20" s="64"/>
      <c r="G20" s="68"/>
      <c r="H20" s="64"/>
    </row>
    <row r="21" spans="2:8" x14ac:dyDescent="0.25">
      <c r="B21" s="66" t="s">
        <v>1083</v>
      </c>
      <c r="C21" s="104"/>
      <c r="D21" s="69"/>
      <c r="E21" s="64"/>
      <c r="F21" s="64"/>
      <c r="G21" s="68"/>
      <c r="H21" s="64"/>
    </row>
    <row r="22" spans="2:8" x14ac:dyDescent="0.25">
      <c r="B22" s="66"/>
      <c r="C22" s="91"/>
      <c r="D22" s="64"/>
      <c r="E22" s="64"/>
      <c r="F22" s="64"/>
      <c r="G22" s="68"/>
      <c r="H22" s="64"/>
    </row>
    <row r="23" spans="2:8" x14ac:dyDescent="0.25">
      <c r="B23" s="70"/>
      <c r="C23" s="92"/>
      <c r="D23" s="71"/>
      <c r="E23" s="71"/>
      <c r="F23" s="71"/>
      <c r="G23" s="72"/>
      <c r="H23" s="64"/>
    </row>
    <row r="24" spans="2:8" ht="15.6" customHeight="1" x14ac:dyDescent="0.25">
      <c r="B24" s="73"/>
    </row>
    <row r="25" spans="2:8" x14ac:dyDescent="0.25">
      <c r="B25" s="61" t="s">
        <v>926</v>
      </c>
      <c r="C25" s="62"/>
      <c r="D25" s="74"/>
      <c r="E25" s="62"/>
      <c r="F25" s="62"/>
      <c r="G25" s="63"/>
      <c r="H25" s="64"/>
    </row>
    <row r="26" spans="2:8" x14ac:dyDescent="0.25">
      <c r="B26" s="65" t="s">
        <v>139</v>
      </c>
      <c r="C26" s="39" t="s">
        <v>698</v>
      </c>
      <c r="D26" s="75"/>
      <c r="E26" s="64"/>
      <c r="F26" s="47" t="s">
        <v>927</v>
      </c>
      <c r="G26" s="48"/>
      <c r="H26" s="64"/>
    </row>
    <row r="27" spans="2:8" x14ac:dyDescent="0.25">
      <c r="B27" s="65" t="s">
        <v>141</v>
      </c>
      <c r="C27" s="104"/>
      <c r="D27" s="75"/>
      <c r="E27" s="64"/>
      <c r="F27" s="47" t="s">
        <v>928</v>
      </c>
      <c r="G27" s="48"/>
      <c r="H27" s="64"/>
    </row>
    <row r="28" spans="2:8" x14ac:dyDescent="0.25">
      <c r="B28" s="65" t="s">
        <v>143</v>
      </c>
      <c r="C28" s="104"/>
      <c r="D28" s="75"/>
      <c r="E28" s="64"/>
      <c r="F28" s="47" t="s">
        <v>929</v>
      </c>
      <c r="G28" s="48"/>
      <c r="H28" s="64"/>
    </row>
    <row r="29" spans="2:8" x14ac:dyDescent="0.25">
      <c r="B29" s="76"/>
      <c r="C29" s="64"/>
      <c r="D29" s="64"/>
      <c r="E29" s="64"/>
      <c r="F29" s="64"/>
      <c r="G29" s="68"/>
      <c r="H29" s="64"/>
    </row>
    <row r="30" spans="2:8" x14ac:dyDescent="0.25">
      <c r="B30" s="66" t="s">
        <v>1079</v>
      </c>
      <c r="C30" s="104"/>
      <c r="D30" s="69"/>
      <c r="E30" s="64"/>
      <c r="F30" s="64"/>
      <c r="G30" s="68"/>
      <c r="H30" s="64"/>
    </row>
    <row r="31" spans="2:8" x14ac:dyDescent="0.25">
      <c r="B31" s="66" t="s">
        <v>1080</v>
      </c>
      <c r="C31" s="104"/>
      <c r="D31" s="69"/>
      <c r="E31" s="64"/>
      <c r="F31" s="64"/>
      <c r="G31" s="68"/>
      <c r="H31" s="64"/>
    </row>
    <row r="32" spans="2:8" x14ac:dyDescent="0.25">
      <c r="B32" s="66" t="s">
        <v>161</v>
      </c>
      <c r="C32" s="104"/>
      <c r="D32" s="69"/>
      <c r="E32" s="64"/>
      <c r="F32" s="64"/>
      <c r="G32" s="68"/>
      <c r="H32" s="64"/>
    </row>
    <row r="33" spans="2:8" x14ac:dyDescent="0.25">
      <c r="B33" s="70" t="s">
        <v>163</v>
      </c>
      <c r="C33" s="41"/>
      <c r="D33" s="78"/>
      <c r="E33" s="71"/>
      <c r="F33" s="71"/>
      <c r="G33" s="72"/>
      <c r="H33" s="64"/>
    </row>
    <row r="35" spans="2:8" x14ac:dyDescent="0.25">
      <c r="B35" s="61" t="s">
        <v>930</v>
      </c>
      <c r="C35" s="62"/>
      <c r="D35" s="62"/>
      <c r="E35" s="62"/>
      <c r="F35" s="62"/>
      <c r="G35" s="63"/>
      <c r="H35" s="64"/>
    </row>
    <row r="36" spans="2:8" x14ac:dyDescent="0.25">
      <c r="B36" s="66" t="s">
        <v>931</v>
      </c>
      <c r="C36" s="104"/>
      <c r="D36" s="67"/>
      <c r="E36" s="64"/>
      <c r="F36" s="64" t="s">
        <v>932</v>
      </c>
      <c r="G36" s="44"/>
      <c r="H36" s="64"/>
    </row>
    <row r="37" spans="2:8" x14ac:dyDescent="0.25">
      <c r="B37" s="66" t="s">
        <v>933</v>
      </c>
      <c r="C37" s="104"/>
      <c r="D37" s="67"/>
      <c r="E37" s="64"/>
      <c r="F37" s="64" t="s">
        <v>934</v>
      </c>
      <c r="G37" s="44"/>
      <c r="H37" s="64"/>
    </row>
    <row r="38" spans="2:8" x14ac:dyDescent="0.25">
      <c r="B38" s="66" t="s">
        <v>935</v>
      </c>
      <c r="C38" s="104"/>
      <c r="D38" s="67"/>
      <c r="E38" s="64"/>
      <c r="F38" s="64" t="s">
        <v>936</v>
      </c>
      <c r="G38" s="44"/>
      <c r="H38" s="64"/>
    </row>
    <row r="39" spans="2:8" x14ac:dyDescent="0.25">
      <c r="B39" s="66" t="s">
        <v>937</v>
      </c>
      <c r="C39" s="104"/>
      <c r="D39" s="67"/>
      <c r="E39" s="64"/>
      <c r="F39" s="64" t="s">
        <v>938</v>
      </c>
      <c r="G39" s="44"/>
      <c r="H39" s="64"/>
    </row>
    <row r="40" spans="2:8" x14ac:dyDescent="0.25">
      <c r="B40" s="80" t="s">
        <v>939</v>
      </c>
      <c r="C40" s="67"/>
      <c r="D40" s="67"/>
      <c r="E40" s="64"/>
      <c r="F40" s="64"/>
      <c r="G40" s="79"/>
      <c r="H40" s="64"/>
    </row>
    <row r="41" spans="2:8" x14ac:dyDescent="0.25">
      <c r="B41" s="66" t="s">
        <v>940</v>
      </c>
      <c r="C41" s="104"/>
      <c r="D41" s="67"/>
      <c r="E41" s="64"/>
      <c r="F41" s="64"/>
      <c r="G41" s="79"/>
      <c r="H41" s="64"/>
    </row>
    <row r="42" spans="2:8" x14ac:dyDescent="0.25">
      <c r="B42" s="66" t="s">
        <v>941</v>
      </c>
      <c r="C42" s="104"/>
      <c r="D42" s="67"/>
      <c r="E42" s="64"/>
      <c r="F42" s="64" t="s">
        <v>942</v>
      </c>
      <c r="G42" s="44"/>
      <c r="H42" s="64"/>
    </row>
    <row r="43" spans="2:8" x14ac:dyDescent="0.25">
      <c r="B43" s="66" t="s">
        <v>943</v>
      </c>
      <c r="C43" s="104"/>
      <c r="D43" s="67"/>
      <c r="E43" s="64"/>
      <c r="F43" s="64"/>
      <c r="G43" s="79"/>
      <c r="H43" s="64"/>
    </row>
    <row r="44" spans="2:8" x14ac:dyDescent="0.25">
      <c r="B44" s="66" t="s">
        <v>944</v>
      </c>
      <c r="C44" s="104"/>
      <c r="D44" s="67"/>
      <c r="E44" s="64"/>
      <c r="F44" s="64" t="s">
        <v>945</v>
      </c>
      <c r="G44" s="44"/>
      <c r="H44" s="64"/>
    </row>
    <row r="45" spans="2:8" x14ac:dyDescent="0.25">
      <c r="B45" s="66" t="s">
        <v>946</v>
      </c>
      <c r="C45" s="104"/>
      <c r="D45" s="67"/>
      <c r="E45" s="64"/>
      <c r="F45" s="64"/>
      <c r="G45" s="79"/>
      <c r="H45" s="64"/>
    </row>
    <row r="46" spans="2:8" x14ac:dyDescent="0.25">
      <c r="B46" s="66" t="s">
        <v>947</v>
      </c>
      <c r="C46" s="104"/>
      <c r="D46" s="67"/>
      <c r="E46" s="64"/>
      <c r="F46" s="64" t="s">
        <v>948</v>
      </c>
      <c r="G46" s="44"/>
      <c r="H46" s="64"/>
    </row>
    <row r="47" spans="2:8" x14ac:dyDescent="0.25">
      <c r="B47" s="66" t="s">
        <v>949</v>
      </c>
      <c r="C47" s="104"/>
      <c r="D47" s="67"/>
      <c r="E47" s="64"/>
      <c r="F47" s="64"/>
      <c r="G47" s="79"/>
      <c r="H47" s="64"/>
    </row>
    <row r="48" spans="2:8" x14ac:dyDescent="0.25">
      <c r="B48" s="70" t="s">
        <v>950</v>
      </c>
      <c r="C48" s="41"/>
      <c r="D48" s="77"/>
      <c r="E48" s="71"/>
      <c r="F48" s="71" t="s">
        <v>951</v>
      </c>
      <c r="G48" s="45"/>
      <c r="H48" s="64"/>
    </row>
    <row r="49" spans="2:8" x14ac:dyDescent="0.25">
      <c r="B49" s="75"/>
      <c r="C49" s="64"/>
      <c r="D49" s="64"/>
      <c r="E49" s="64"/>
      <c r="F49" s="64"/>
      <c r="G49" s="64"/>
      <c r="H49" s="64"/>
    </row>
    <row r="50" spans="2:8" x14ac:dyDescent="0.25">
      <c r="H50" s="64"/>
    </row>
    <row r="51" spans="2:8" x14ac:dyDescent="0.25">
      <c r="H51" s="64"/>
    </row>
    <row r="52" spans="2:8" x14ac:dyDescent="0.25">
      <c r="H52" s="64"/>
    </row>
    <row r="53" spans="2:8" x14ac:dyDescent="0.25">
      <c r="B53" s="64"/>
      <c r="C53" s="64"/>
      <c r="D53" s="64"/>
      <c r="E53" s="64"/>
      <c r="F53" s="64"/>
      <c r="G53" s="64"/>
    </row>
    <row r="54" spans="2:8" ht="28.15" customHeight="1" x14ac:dyDescent="0.25">
      <c r="B54" s="64"/>
      <c r="C54" s="64"/>
      <c r="D54" s="64"/>
      <c r="E54" s="64"/>
      <c r="F54" s="64"/>
      <c r="G54" s="64"/>
    </row>
    <row r="55" spans="2:8" x14ac:dyDescent="0.25">
      <c r="B55" s="64"/>
      <c r="C55" s="64"/>
      <c r="D55" s="64"/>
      <c r="E55" s="64"/>
      <c r="F55" s="64"/>
      <c r="G55" s="64"/>
    </row>
    <row r="56" spans="2:8" x14ac:dyDescent="0.25">
      <c r="B56" s="64"/>
      <c r="C56" s="64"/>
      <c r="D56" s="64"/>
      <c r="E56" s="64"/>
      <c r="F56" s="64"/>
      <c r="G56" s="64"/>
    </row>
    <row r="57" spans="2:8" x14ac:dyDescent="0.25">
      <c r="B57" s="64"/>
      <c r="C57" s="64"/>
      <c r="D57" s="64"/>
      <c r="E57" s="64"/>
      <c r="F57" s="64"/>
      <c r="G57" s="64"/>
    </row>
    <row r="58" spans="2:8" x14ac:dyDescent="0.25">
      <c r="B58" s="64"/>
      <c r="C58" s="64"/>
      <c r="D58" s="64"/>
      <c r="E58" s="64"/>
      <c r="F58" s="64"/>
      <c r="G58" s="64"/>
    </row>
    <row r="59" spans="2:8" x14ac:dyDescent="0.25">
      <c r="B59" s="64"/>
      <c r="C59" s="64"/>
      <c r="D59" s="64"/>
      <c r="E59" s="64"/>
      <c r="F59" s="64"/>
      <c r="G59" s="64"/>
    </row>
    <row r="60" spans="2:8" ht="54.6" customHeight="1" x14ac:dyDescent="0.25">
      <c r="B60" s="64"/>
      <c r="C60" s="64"/>
      <c r="D60" s="64"/>
      <c r="E60" s="64"/>
      <c r="F60" s="64"/>
      <c r="G60" s="64"/>
      <c r="H60" s="81"/>
    </row>
    <row r="61" spans="2:8" x14ac:dyDescent="0.25">
      <c r="B61" s="64"/>
      <c r="C61" s="64"/>
      <c r="D61" s="64"/>
      <c r="E61" s="64"/>
      <c r="F61" s="64"/>
      <c r="G61" s="64"/>
      <c r="H61" s="64"/>
    </row>
    <row r="63" spans="2:8" x14ac:dyDescent="0.25">
      <c r="H63" s="64"/>
    </row>
    <row r="64" spans="2:8" ht="30" customHeight="1" x14ac:dyDescent="0.25">
      <c r="H64" s="82"/>
    </row>
    <row r="65" spans="8:8" x14ac:dyDescent="0.25">
      <c r="H65" s="64"/>
    </row>
    <row r="66" spans="8:8" x14ac:dyDescent="0.25">
      <c r="H66" s="64"/>
    </row>
    <row r="67" spans="8:8" x14ac:dyDescent="0.25">
      <c r="H67" s="64"/>
    </row>
  </sheetData>
  <mergeCells count="2">
    <mergeCell ref="C7:G7"/>
    <mergeCell ref="C8:G8"/>
  </mergeCells>
  <conditionalFormatting sqref="C30:C33">
    <cfRule type="containsBlanks" dxfId="85" priority="90">
      <formula>LEN(TRIM(C30))=0</formula>
    </cfRule>
  </conditionalFormatting>
  <conditionalFormatting sqref="C36:C37">
    <cfRule type="containsBlanks" dxfId="84" priority="68">
      <formula>LEN(TRIM(C36))=0</formula>
    </cfRule>
  </conditionalFormatting>
  <conditionalFormatting sqref="G36:G37">
    <cfRule type="containsBlanks" dxfId="83" priority="67">
      <formula>LEN(TRIM(G36))=0</formula>
    </cfRule>
  </conditionalFormatting>
  <conditionalFormatting sqref="C7:C10">
    <cfRule type="containsBlanks" dxfId="82" priority="61">
      <formula>LEN(TRIM(C7))=0</formula>
    </cfRule>
  </conditionalFormatting>
  <conditionalFormatting sqref="G11">
    <cfRule type="containsBlanks" dxfId="81" priority="63">
      <formula>LEN(TRIM(G11))=0</formula>
    </cfRule>
  </conditionalFormatting>
  <conditionalFormatting sqref="C11">
    <cfRule type="containsBlanks" dxfId="80" priority="64">
      <formula>LEN(TRIM(C11))=0</formula>
    </cfRule>
  </conditionalFormatting>
  <conditionalFormatting sqref="G10">
    <cfRule type="containsBlanks" dxfId="79" priority="62">
      <formula>LEN(TRIM(G10))=0</formula>
    </cfRule>
  </conditionalFormatting>
  <conditionalFormatting sqref="C19">
    <cfRule type="containsText" dxfId="78" priority="60" operator="containsText" text="&lt;Choose&gt;">
      <formula>NOT(ISERROR(SEARCH("&lt;Choose&gt;",C19)))</formula>
    </cfRule>
  </conditionalFormatting>
  <conditionalFormatting sqref="C18">
    <cfRule type="containsText" dxfId="77" priority="57" operator="containsText" text="&lt;Choose&gt;">
      <formula>NOT(ISERROR(SEARCH("&lt;Choose&gt;",C18)))</formula>
    </cfRule>
  </conditionalFormatting>
  <conditionalFormatting sqref="C20">
    <cfRule type="containsText" dxfId="76" priority="56" operator="containsText" text="&lt;Choose&gt;">
      <formula>NOT(ISERROR(SEARCH("&lt;Choose&gt;",C20)))</formula>
    </cfRule>
  </conditionalFormatting>
  <conditionalFormatting sqref="C26">
    <cfRule type="containsText" dxfId="75" priority="54" operator="containsText" text="&lt;Choose&gt;">
      <formula>NOT(ISERROR(SEARCH("&lt;Choose&gt;",C26)))</formula>
    </cfRule>
  </conditionalFormatting>
  <conditionalFormatting sqref="F26">
    <cfRule type="expression" dxfId="74" priority="52">
      <formula>C26="Other"</formula>
    </cfRule>
  </conditionalFormatting>
  <conditionalFormatting sqref="G26">
    <cfRule type="notContainsBlanks" dxfId="73" priority="20">
      <formula>LEN(TRIM(G26))&gt;0</formula>
    </cfRule>
    <cfRule type="expression" dxfId="72" priority="51">
      <formula>C26="Other"</formula>
    </cfRule>
  </conditionalFormatting>
  <conditionalFormatting sqref="C38:C39 C41:C42">
    <cfRule type="containsBlanks" dxfId="71" priority="38">
      <formula>LEN(TRIM(C38))=0</formula>
    </cfRule>
  </conditionalFormatting>
  <conditionalFormatting sqref="G38:G39 G42">
    <cfRule type="containsBlanks" dxfId="70" priority="37">
      <formula>LEN(TRIM(G38))=0</formula>
    </cfRule>
  </conditionalFormatting>
  <conditionalFormatting sqref="C21">
    <cfRule type="containsBlanks" dxfId="69" priority="31">
      <formula>LEN(TRIM(C21))=0</formula>
    </cfRule>
  </conditionalFormatting>
  <conditionalFormatting sqref="C17">
    <cfRule type="containsText" dxfId="68" priority="34" operator="containsText" text="&lt;Choose&gt;">
      <formula>NOT(ISERROR(SEARCH("&lt;Choose&gt;",C17)))</formula>
    </cfRule>
  </conditionalFormatting>
  <conditionalFormatting sqref="C43:C44">
    <cfRule type="containsBlanks" dxfId="67" priority="26">
      <formula>LEN(TRIM(C43))=0</formula>
    </cfRule>
  </conditionalFormatting>
  <conditionalFormatting sqref="G44">
    <cfRule type="containsBlanks" dxfId="66" priority="25">
      <formula>LEN(TRIM(G44))=0</formula>
    </cfRule>
  </conditionalFormatting>
  <conditionalFormatting sqref="C47:C48">
    <cfRule type="containsBlanks" dxfId="65" priority="24">
      <formula>LEN(TRIM(C47))=0</formula>
    </cfRule>
  </conditionalFormatting>
  <conditionalFormatting sqref="G48">
    <cfRule type="containsBlanks" dxfId="64" priority="23">
      <formula>LEN(TRIM(G48))=0</formula>
    </cfRule>
  </conditionalFormatting>
  <conditionalFormatting sqref="C45:C46">
    <cfRule type="containsBlanks" dxfId="63" priority="22">
      <formula>LEN(TRIM(C45))=0</formula>
    </cfRule>
  </conditionalFormatting>
  <conditionalFormatting sqref="G46">
    <cfRule type="containsBlanks" dxfId="62" priority="21">
      <formula>LEN(TRIM(G46))=0</formula>
    </cfRule>
  </conditionalFormatting>
  <conditionalFormatting sqref="F27">
    <cfRule type="expression" dxfId="61" priority="18">
      <formula>C27="Other"</formula>
    </cfRule>
  </conditionalFormatting>
  <conditionalFormatting sqref="G27">
    <cfRule type="notContainsBlanks" dxfId="60" priority="16">
      <formula>LEN(TRIM(G27))&gt;0</formula>
    </cfRule>
    <cfRule type="expression" dxfId="59" priority="17">
      <formula>C27="Other"</formula>
    </cfRule>
  </conditionalFormatting>
  <conditionalFormatting sqref="F28">
    <cfRule type="expression" dxfId="58" priority="15">
      <formula>C28="Other"</formula>
    </cfRule>
  </conditionalFormatting>
  <conditionalFormatting sqref="G28">
    <cfRule type="notContainsBlanks" dxfId="57" priority="13">
      <formula>LEN(TRIM(G28))&gt;0</formula>
    </cfRule>
    <cfRule type="expression" dxfId="56" priority="14">
      <formula>C28="Other"</formula>
    </cfRule>
  </conditionalFormatting>
  <conditionalFormatting sqref="C22">
    <cfRule type="containsText" dxfId="55" priority="12" operator="containsText" text="&lt;Choose&gt;">
      <formula>NOT(ISERROR(SEARCH("&lt;Choose&gt;",C22)))</formula>
    </cfRule>
  </conditionalFormatting>
  <conditionalFormatting sqref="C23">
    <cfRule type="containsText" dxfId="54" priority="10" operator="containsText" text="&lt;Choose&gt;">
      <formula>NOT(ISERROR(SEARCH("&lt;Choose&gt;",C23)))</formula>
    </cfRule>
  </conditionalFormatting>
  <conditionalFormatting sqref="C14">
    <cfRule type="containsBlanks" dxfId="53" priority="8">
      <formula>LEN(TRIM(C14))=0</formula>
    </cfRule>
  </conditionalFormatting>
  <conditionalFormatting sqref="C13">
    <cfRule type="containsBlanks" dxfId="52" priority="7">
      <formula>LEN(TRIM(C13))=0</formula>
    </cfRule>
  </conditionalFormatting>
  <conditionalFormatting sqref="C15:C16">
    <cfRule type="containsBlanks" dxfId="51" priority="6">
      <formula>LEN(TRIM(C15))=0</formula>
    </cfRule>
  </conditionalFormatting>
  <conditionalFormatting sqref="B16">
    <cfRule type="expression" dxfId="50" priority="5">
      <formula>#REF!&lt;&gt;"ConEd"</formula>
    </cfRule>
  </conditionalFormatting>
  <conditionalFormatting sqref="C28">
    <cfRule type="containsBlanks" dxfId="49" priority="2">
      <formula>LEN(TRIM(C28))=0</formula>
    </cfRule>
  </conditionalFormatting>
  <conditionalFormatting sqref="C27">
    <cfRule type="containsBlanks" dxfId="48" priority="1">
      <formula>LEN(TRIM(C27))=0</formula>
    </cfRule>
  </conditionalFormatting>
  <dataValidations disablePrompts="1" count="3">
    <dataValidation type="list" allowBlank="1" showInputMessage="1" showErrorMessage="1" sqref="C19" xr:uid="{00000000-0002-0000-0500-000000000000}">
      <formula1>"&lt;Choose&gt;,Yes,No"</formula1>
    </dataValidation>
    <dataValidation type="list" allowBlank="1" showInputMessage="1" showErrorMessage="1" sqref="C18" xr:uid="{00000000-0002-0000-0500-000001000000}">
      <formula1>"&lt;Choose&gt;,Own,Lease,License,Option to Own/Lease,Site control not currently available"</formula1>
    </dataValidation>
    <dataValidation type="decimal" errorStyle="information" allowBlank="1" showInputMessage="1" showErrorMessage="1" error="Please enter the voltage as a number only in kV" sqref="C14" xr:uid="{00000000-0002-0000-0500-000002000000}">
      <formula1>0</formula1>
      <formula2>1000</formula2>
    </dataValidation>
  </dataValidations>
  <pageMargins left="0.7" right="0.7" top="0.75" bottom="0.75" header="0.3" footer="0.3"/>
  <pageSetup orientation="landscape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500-000003000000}">
          <x14:formula1>
            <xm:f>Lists!$C$17:$C$21</xm:f>
          </x14:formula1>
          <xm:sqref>C20</xm:sqref>
        </x14:dataValidation>
        <x14:dataValidation type="list" allowBlank="1" showInputMessage="1" showErrorMessage="1" xr:uid="{00000000-0002-0000-0500-000004000000}">
          <x14:formula1>
            <xm:f>Lists!$C$30:$C$37</xm:f>
          </x14:formula1>
          <xm:sqref>C26</xm:sqref>
        </x14:dataValidation>
        <x14:dataValidation type="list" allowBlank="1" showInputMessage="1" showErrorMessage="1" xr:uid="{00000000-0002-0000-0500-000008000000}">
          <x14:formula1>
            <xm:f>Lists!$C$101:$C$103</xm:f>
          </x14:formula1>
          <xm:sqref>C55</xm:sqref>
        </x14:dataValidation>
        <x14:dataValidation type="list" allowBlank="1" showInputMessage="1" showErrorMessage="1" xr:uid="{00000000-0002-0000-0500-000009000000}">
          <x14:formula1>
            <xm:f>Lists!$C$132:$C$134</xm:f>
          </x14:formula1>
          <xm:sqref>C17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BD4C4-8E53-49BD-B645-A2A29A4F6D80}">
  <dimension ref="B1:Q85"/>
  <sheetViews>
    <sheetView tabSelected="1" topLeftCell="A52" zoomScaleNormal="100" workbookViewId="0">
      <selection activeCell="B61" sqref="B61"/>
    </sheetView>
  </sheetViews>
  <sheetFormatPr defaultRowHeight="15" x14ac:dyDescent="0.25"/>
  <cols>
    <col min="2" max="2" width="67.7109375" customWidth="1"/>
    <col min="3" max="3" width="18.7109375" customWidth="1"/>
    <col min="4" max="4" width="14.7109375" customWidth="1"/>
  </cols>
  <sheetData>
    <row r="1" spans="2:17" ht="15.75" thickBot="1" x14ac:dyDescent="0.3"/>
    <row r="2" spans="2:17" ht="18.75" x14ac:dyDescent="0.3">
      <c r="B2" s="139" t="s">
        <v>921</v>
      </c>
      <c r="C2" s="140" t="s">
        <v>887</v>
      </c>
      <c r="D2" s="141"/>
      <c r="E2" s="141"/>
      <c r="F2" s="141"/>
      <c r="G2" s="142"/>
    </row>
    <row r="3" spans="2:17" ht="19.5" thickBot="1" x14ac:dyDescent="0.35">
      <c r="B3" s="161">
        <v>43738</v>
      </c>
      <c r="C3" s="143"/>
      <c r="D3" s="144"/>
      <c r="E3" s="144"/>
      <c r="F3" s="144"/>
      <c r="G3" s="145"/>
    </row>
    <row r="4" spans="2:17" ht="18.75" x14ac:dyDescent="0.3">
      <c r="B4" s="138"/>
      <c r="C4" s="96"/>
      <c r="D4" s="50"/>
      <c r="E4" s="50"/>
      <c r="F4" s="50"/>
      <c r="G4" s="50"/>
    </row>
    <row r="5" spans="2:17" x14ac:dyDescent="0.25">
      <c r="B5" s="170" t="s">
        <v>952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2"/>
    </row>
    <row r="6" spans="2:17" x14ac:dyDescent="0.25">
      <c r="B6" s="170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2"/>
    </row>
    <row r="7" spans="2:17" x14ac:dyDescent="0.25">
      <c r="B7" s="170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2"/>
    </row>
    <row r="8" spans="2:17" x14ac:dyDescent="0.25">
      <c r="B8" s="66" t="s">
        <v>953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8"/>
    </row>
    <row r="9" spans="2:17" x14ac:dyDescent="0.25">
      <c r="B9" s="61"/>
      <c r="C9" s="84"/>
      <c r="D9" s="84"/>
      <c r="E9" s="173" t="s">
        <v>954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5"/>
    </row>
    <row r="10" spans="2:17" x14ac:dyDescent="0.25">
      <c r="B10" s="83" t="s">
        <v>955</v>
      </c>
      <c r="C10" s="86" t="s">
        <v>956</v>
      </c>
      <c r="D10" s="86" t="s">
        <v>957</v>
      </c>
      <c r="E10" s="174"/>
      <c r="F10" s="86" t="s">
        <v>958</v>
      </c>
      <c r="G10" s="86" t="s">
        <v>959</v>
      </c>
      <c r="H10" s="86" t="s">
        <v>960</v>
      </c>
      <c r="I10" s="86" t="s">
        <v>961</v>
      </c>
      <c r="J10" s="86" t="s">
        <v>962</v>
      </c>
      <c r="K10" s="86" t="s">
        <v>963</v>
      </c>
      <c r="L10" s="86" t="s">
        <v>964</v>
      </c>
      <c r="M10" s="86" t="s">
        <v>965</v>
      </c>
      <c r="N10" s="86" t="s">
        <v>966</v>
      </c>
      <c r="O10" s="86" t="s">
        <v>967</v>
      </c>
      <c r="P10" s="86" t="s">
        <v>968</v>
      </c>
      <c r="Q10" s="87" t="s">
        <v>969</v>
      </c>
    </row>
    <row r="11" spans="2:17" x14ac:dyDescent="0.25">
      <c r="B11" s="131" t="s">
        <v>1071</v>
      </c>
      <c r="C11" s="132">
        <f>Proj_ts_9</f>
        <v>0</v>
      </c>
      <c r="D11" s="100" t="s">
        <v>972</v>
      </c>
      <c r="E11" s="49" t="s">
        <v>698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8"/>
    </row>
    <row r="12" spans="2:17" x14ac:dyDescent="0.25">
      <c r="B12" s="131" t="s">
        <v>271</v>
      </c>
      <c r="C12" s="132">
        <f>Proj_ts_10</f>
        <v>0</v>
      </c>
      <c r="D12" s="100" t="s">
        <v>971</v>
      </c>
      <c r="E12" s="49" t="s">
        <v>698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8"/>
    </row>
    <row r="13" spans="2:17" x14ac:dyDescent="0.25">
      <c r="B13" s="131" t="s">
        <v>243</v>
      </c>
      <c r="C13" s="132"/>
      <c r="D13" s="100" t="s">
        <v>970</v>
      </c>
      <c r="E13" s="49" t="s">
        <v>698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8"/>
    </row>
    <row r="14" spans="2:17" x14ac:dyDescent="0.25">
      <c r="B14" s="159" t="s">
        <v>1069</v>
      </c>
      <c r="C14" s="132"/>
      <c r="D14" s="100" t="s">
        <v>972</v>
      </c>
      <c r="E14" s="49" t="s">
        <v>698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8"/>
    </row>
    <row r="15" spans="2:17" x14ac:dyDescent="0.25">
      <c r="B15" s="160" t="s">
        <v>327</v>
      </c>
      <c r="C15" s="35"/>
      <c r="D15" s="64" t="s">
        <v>971</v>
      </c>
      <c r="E15" s="90" t="s">
        <v>698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8"/>
    </row>
    <row r="16" spans="2:17" x14ac:dyDescent="0.25">
      <c r="B16" s="160" t="s">
        <v>355</v>
      </c>
      <c r="C16" s="35"/>
      <c r="D16" s="64" t="s">
        <v>971</v>
      </c>
      <c r="E16" s="90" t="s">
        <v>698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8"/>
    </row>
    <row r="17" spans="2:17" x14ac:dyDescent="0.25">
      <c r="B17" s="66" t="s">
        <v>973</v>
      </c>
      <c r="C17" s="35"/>
      <c r="D17" s="50" t="s">
        <v>971</v>
      </c>
      <c r="E17" s="90" t="s">
        <v>698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8"/>
    </row>
    <row r="18" spans="2:17" x14ac:dyDescent="0.25">
      <c r="B18" s="66" t="s">
        <v>974</v>
      </c>
      <c r="C18" s="35"/>
      <c r="D18" s="50" t="s">
        <v>971</v>
      </c>
      <c r="E18" s="90" t="s">
        <v>698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8"/>
    </row>
    <row r="19" spans="2:17" x14ac:dyDescent="0.25">
      <c r="B19" s="66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8"/>
    </row>
    <row r="20" spans="2:17" x14ac:dyDescent="0.25">
      <c r="B20" s="131" t="s">
        <v>975</v>
      </c>
      <c r="C20" s="35"/>
      <c r="D20" s="64" t="s">
        <v>972</v>
      </c>
      <c r="E20" s="49" t="s">
        <v>698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8"/>
    </row>
    <row r="21" spans="2:17" x14ac:dyDescent="0.25">
      <c r="B21" s="131" t="s">
        <v>976</v>
      </c>
      <c r="C21" s="35"/>
      <c r="D21" s="100" t="s">
        <v>972</v>
      </c>
      <c r="E21" s="49" t="s">
        <v>698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8"/>
    </row>
    <row r="22" spans="2:17" x14ac:dyDescent="0.25">
      <c r="B22" s="131" t="s">
        <v>977</v>
      </c>
      <c r="C22" s="35"/>
      <c r="D22" s="132" t="s">
        <v>978</v>
      </c>
      <c r="E22" s="49" t="s">
        <v>698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8"/>
    </row>
    <row r="23" spans="2:17" x14ac:dyDescent="0.25">
      <c r="B23" s="131" t="s">
        <v>979</v>
      </c>
      <c r="C23" s="35"/>
      <c r="D23" s="132" t="s">
        <v>978</v>
      </c>
      <c r="E23" s="49" t="s">
        <v>698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8"/>
    </row>
    <row r="24" spans="2:17" x14ac:dyDescent="0.25">
      <c r="B24" s="131" t="s">
        <v>980</v>
      </c>
      <c r="C24" s="35"/>
      <c r="D24" s="132" t="s">
        <v>981</v>
      </c>
      <c r="E24" s="49" t="s">
        <v>698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8"/>
    </row>
    <row r="25" spans="2:17" x14ac:dyDescent="0.25">
      <c r="B25" s="131" t="s">
        <v>982</v>
      </c>
      <c r="C25" s="35"/>
      <c r="D25" s="100" t="s">
        <v>981</v>
      </c>
      <c r="E25" s="49" t="s">
        <v>698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8"/>
    </row>
    <row r="26" spans="2:17" x14ac:dyDescent="0.25">
      <c r="B26" s="131" t="s">
        <v>1077</v>
      </c>
      <c r="C26" s="35"/>
      <c r="D26" s="100" t="s">
        <v>1078</v>
      </c>
      <c r="E26" s="49" t="s">
        <v>698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8"/>
    </row>
    <row r="27" spans="2:17" x14ac:dyDescent="0.25">
      <c r="B27" s="131" t="s">
        <v>439</v>
      </c>
      <c r="C27" s="35"/>
      <c r="D27" s="100" t="s">
        <v>972</v>
      </c>
      <c r="E27" s="49" t="s">
        <v>698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8"/>
    </row>
    <row r="28" spans="2:17" x14ac:dyDescent="0.25">
      <c r="B28" s="66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8"/>
    </row>
    <row r="29" spans="2:17" x14ac:dyDescent="0.25">
      <c r="B29" s="131" t="s">
        <v>983</v>
      </c>
      <c r="C29" s="35"/>
      <c r="D29" s="100" t="s">
        <v>972</v>
      </c>
      <c r="E29" s="49" t="s">
        <v>698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8"/>
    </row>
    <row r="30" spans="2:17" x14ac:dyDescent="0.25">
      <c r="B30" s="131" t="s">
        <v>984</v>
      </c>
      <c r="C30" s="35"/>
      <c r="D30" s="100" t="s">
        <v>972</v>
      </c>
      <c r="E30" s="49" t="s">
        <v>698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8"/>
    </row>
    <row r="31" spans="2:17" x14ac:dyDescent="0.25">
      <c r="B31" s="131" t="s">
        <v>985</v>
      </c>
      <c r="C31" s="35"/>
      <c r="D31" s="132" t="s">
        <v>978</v>
      </c>
      <c r="E31" s="49" t="s">
        <v>698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8"/>
    </row>
    <row r="32" spans="2:17" x14ac:dyDescent="0.25">
      <c r="B32" s="131" t="s">
        <v>986</v>
      </c>
      <c r="C32" s="35"/>
      <c r="D32" s="132" t="s">
        <v>978</v>
      </c>
      <c r="E32" s="49" t="s">
        <v>698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8"/>
    </row>
    <row r="33" spans="2:17" x14ac:dyDescent="0.25">
      <c r="B33" s="131" t="s">
        <v>987</v>
      </c>
      <c r="C33" s="35"/>
      <c r="D33" s="132" t="s">
        <v>981</v>
      </c>
      <c r="E33" s="49" t="s">
        <v>698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8"/>
    </row>
    <row r="34" spans="2:17" x14ac:dyDescent="0.25">
      <c r="B34" s="131" t="s">
        <v>988</v>
      </c>
      <c r="C34" s="35"/>
      <c r="D34" s="100" t="s">
        <v>981</v>
      </c>
      <c r="E34" s="49" t="s">
        <v>698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8"/>
    </row>
    <row r="35" spans="2:17" x14ac:dyDescent="0.25">
      <c r="B35" s="131" t="s">
        <v>551</v>
      </c>
      <c r="C35" s="35"/>
      <c r="D35" s="100" t="s">
        <v>972</v>
      </c>
      <c r="E35" s="49" t="s">
        <v>698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8"/>
    </row>
    <row r="36" spans="2:17" x14ac:dyDescent="0.25">
      <c r="B36" s="1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8"/>
    </row>
    <row r="37" spans="2:17" x14ac:dyDescent="0.25">
      <c r="B37" s="165" t="s">
        <v>1081</v>
      </c>
      <c r="C37" s="35"/>
      <c r="D37" s="64" t="s">
        <v>989</v>
      </c>
      <c r="E37" s="49" t="s">
        <v>698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8"/>
    </row>
    <row r="38" spans="2:17" x14ac:dyDescent="0.25">
      <c r="B38" s="165" t="s">
        <v>1082</v>
      </c>
      <c r="C38" s="35"/>
      <c r="D38" s="132" t="s">
        <v>1070</v>
      </c>
      <c r="E38" s="49" t="s">
        <v>698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8"/>
    </row>
    <row r="39" spans="2:17" x14ac:dyDescent="0.25">
      <c r="B39" s="165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8"/>
    </row>
    <row r="40" spans="2:17" x14ac:dyDescent="0.25">
      <c r="B40" s="165" t="s">
        <v>1084</v>
      </c>
      <c r="C40" s="35"/>
      <c r="D40" s="64" t="s">
        <v>990</v>
      </c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8"/>
    </row>
    <row r="41" spans="2:17" x14ac:dyDescent="0.25">
      <c r="B41" s="66" t="s">
        <v>637</v>
      </c>
      <c r="C41" s="35"/>
      <c r="D41" s="64" t="s">
        <v>991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8"/>
    </row>
    <row r="42" spans="2:17" x14ac:dyDescent="0.25">
      <c r="B42" s="66" t="s">
        <v>992</v>
      </c>
      <c r="C42" s="35"/>
      <c r="D42" s="50" t="s">
        <v>993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8"/>
    </row>
    <row r="43" spans="2:17" x14ac:dyDescent="0.25">
      <c r="B43" s="66" t="s">
        <v>1074</v>
      </c>
      <c r="C43" s="35"/>
      <c r="D43" s="50" t="s">
        <v>1075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8"/>
    </row>
    <row r="44" spans="2:17" x14ac:dyDescent="0.25">
      <c r="B44" s="70" t="s">
        <v>1074</v>
      </c>
      <c r="C44" s="46"/>
      <c r="D44" s="71" t="s">
        <v>1076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2"/>
    </row>
    <row r="45" spans="2:17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x14ac:dyDescent="0.25">
      <c r="B46" s="61" t="s">
        <v>994</v>
      </c>
      <c r="C46" s="62"/>
      <c r="D46" s="6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</row>
    <row r="47" spans="2:17" x14ac:dyDescent="0.25">
      <c r="B47" s="66" t="s">
        <v>641</v>
      </c>
      <c r="C47" s="35"/>
      <c r="D47" s="68" t="s">
        <v>995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</row>
    <row r="48" spans="2:17" x14ac:dyDescent="0.25">
      <c r="B48" s="66" t="s">
        <v>643</v>
      </c>
      <c r="C48" s="35"/>
      <c r="D48" s="68" t="s">
        <v>995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</row>
    <row r="49" spans="2:17" x14ac:dyDescent="0.25">
      <c r="B49" s="66" t="s">
        <v>645</v>
      </c>
      <c r="C49" s="35"/>
      <c r="D49" s="68" t="s">
        <v>995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  <row r="50" spans="2:17" x14ac:dyDescent="0.25">
      <c r="B50" s="66" t="s">
        <v>647</v>
      </c>
      <c r="C50" s="35"/>
      <c r="D50" s="68" t="s">
        <v>995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</row>
    <row r="51" spans="2:17" x14ac:dyDescent="0.25">
      <c r="B51" s="88" t="s">
        <v>649</v>
      </c>
      <c r="C51" s="35"/>
      <c r="D51" s="68" t="s">
        <v>995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</row>
    <row r="52" spans="2:17" x14ac:dyDescent="0.25">
      <c r="B52" s="89" t="s">
        <v>651</v>
      </c>
      <c r="C52" s="46"/>
      <c r="D52" s="72" t="s">
        <v>995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</row>
    <row r="53" spans="2:17" x14ac:dyDescent="0.25"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</row>
    <row r="54" spans="2:17" x14ac:dyDescent="0.25">
      <c r="B54" s="61" t="s">
        <v>996</v>
      </c>
      <c r="C54" s="62"/>
      <c r="D54" s="62"/>
      <c r="E54" s="62"/>
      <c r="F54" s="62"/>
      <c r="G54" s="62"/>
      <c r="H54" s="62"/>
      <c r="I54" s="62"/>
      <c r="J54" s="62"/>
      <c r="K54" s="63"/>
      <c r="L54" s="53"/>
      <c r="M54" s="53"/>
      <c r="N54" s="53"/>
      <c r="O54" s="53"/>
      <c r="P54" s="53"/>
      <c r="Q54" s="53"/>
    </row>
    <row r="55" spans="2:17" x14ac:dyDescent="0.25">
      <c r="B55" s="131" t="s">
        <v>1086</v>
      </c>
      <c r="C55" s="35"/>
      <c r="D55" s="64" t="s">
        <v>997</v>
      </c>
      <c r="E55" s="64"/>
      <c r="F55" s="64"/>
      <c r="G55" s="64"/>
      <c r="H55" s="64"/>
      <c r="I55" s="64"/>
      <c r="J55" s="64"/>
      <c r="K55" s="68"/>
      <c r="L55" s="53"/>
      <c r="M55" s="53"/>
      <c r="N55" s="53"/>
      <c r="O55" s="53"/>
      <c r="P55" s="53"/>
      <c r="Q55" s="53"/>
    </row>
    <row r="56" spans="2:17" x14ac:dyDescent="0.25">
      <c r="B56" s="131" t="s">
        <v>998</v>
      </c>
      <c r="C56" s="35"/>
      <c r="D56" s="64" t="s">
        <v>997</v>
      </c>
      <c r="E56" s="64"/>
      <c r="F56" s="64"/>
      <c r="G56" s="64"/>
      <c r="H56" s="64"/>
      <c r="I56" s="64"/>
      <c r="J56" s="64"/>
      <c r="K56" s="68"/>
      <c r="L56" s="53"/>
      <c r="M56" s="53"/>
      <c r="N56" s="53"/>
      <c r="O56" s="53"/>
      <c r="P56" s="53"/>
      <c r="Q56" s="53"/>
    </row>
    <row r="57" spans="2:17" x14ac:dyDescent="0.25">
      <c r="B57" s="131" t="s">
        <v>999</v>
      </c>
      <c r="C57" s="35"/>
      <c r="D57" s="64" t="s">
        <v>997</v>
      </c>
      <c r="E57" s="64"/>
      <c r="F57" s="64"/>
      <c r="G57" s="64"/>
      <c r="H57" s="64"/>
      <c r="I57" s="64"/>
      <c r="J57" s="64"/>
      <c r="K57" s="68"/>
      <c r="L57" s="53"/>
      <c r="M57" s="53"/>
      <c r="N57" s="53"/>
      <c r="O57" s="53"/>
      <c r="P57" s="53"/>
      <c r="Q57" s="53"/>
    </row>
    <row r="58" spans="2:17" x14ac:dyDescent="0.25">
      <c r="B58" s="131" t="s">
        <v>1087</v>
      </c>
      <c r="C58" s="35"/>
      <c r="D58" s="64" t="s">
        <v>997</v>
      </c>
      <c r="E58" s="64"/>
      <c r="F58" s="64"/>
      <c r="G58" s="64"/>
      <c r="H58" s="64"/>
      <c r="I58" s="64"/>
      <c r="J58" s="64"/>
      <c r="K58" s="68"/>
      <c r="L58" s="53"/>
      <c r="M58" s="53"/>
      <c r="N58" s="53"/>
      <c r="O58" s="53"/>
      <c r="P58" s="53"/>
      <c r="Q58" s="53"/>
    </row>
    <row r="59" spans="2:17" x14ac:dyDescent="0.25">
      <c r="B59" s="131" t="s">
        <v>1000</v>
      </c>
      <c r="C59" s="35"/>
      <c r="D59" s="100" t="s">
        <v>1001</v>
      </c>
      <c r="E59" s="64"/>
      <c r="F59" s="64"/>
      <c r="G59" s="64"/>
      <c r="H59" s="64"/>
      <c r="I59" s="64"/>
      <c r="J59" s="64"/>
      <c r="K59" s="68"/>
      <c r="L59" s="53"/>
      <c r="M59" s="53"/>
      <c r="N59" s="53"/>
      <c r="O59" s="53"/>
      <c r="P59" s="53"/>
      <c r="Q59" s="53"/>
    </row>
    <row r="60" spans="2:17" x14ac:dyDescent="0.25">
      <c r="B60" s="131" t="s">
        <v>1002</v>
      </c>
      <c r="C60" s="35"/>
      <c r="D60" s="100" t="s">
        <v>1001</v>
      </c>
      <c r="E60" s="64"/>
      <c r="F60" s="64"/>
      <c r="G60" s="64"/>
      <c r="H60" s="64"/>
      <c r="I60" s="64"/>
      <c r="J60" s="64"/>
      <c r="K60" s="68"/>
      <c r="L60" s="53"/>
      <c r="M60" s="53"/>
      <c r="N60" s="53"/>
      <c r="O60" s="53"/>
      <c r="P60" s="53"/>
      <c r="Q60" s="53"/>
    </row>
    <row r="61" spans="2:17" x14ac:dyDescent="0.25">
      <c r="B61" s="131" t="s">
        <v>1003</v>
      </c>
      <c r="C61" s="35"/>
      <c r="D61" s="100" t="s">
        <v>1001</v>
      </c>
      <c r="E61" s="64"/>
      <c r="F61" s="64"/>
      <c r="G61" s="64"/>
      <c r="H61" s="64"/>
      <c r="I61" s="64"/>
      <c r="J61" s="64"/>
      <c r="K61" s="68"/>
      <c r="L61" s="53"/>
      <c r="M61" s="53"/>
      <c r="N61" s="53"/>
      <c r="O61" s="53"/>
      <c r="P61" s="53"/>
      <c r="Q61" s="53"/>
    </row>
    <row r="62" spans="2:17" x14ac:dyDescent="0.25">
      <c r="B62" s="131" t="s">
        <v>1004</v>
      </c>
      <c r="C62" s="35"/>
      <c r="D62" s="100" t="s">
        <v>1001</v>
      </c>
      <c r="E62" s="64"/>
      <c r="F62" s="64"/>
      <c r="G62" s="64"/>
      <c r="H62" s="64"/>
      <c r="I62" s="64"/>
      <c r="J62" s="64"/>
      <c r="K62" s="68"/>
      <c r="L62" s="53"/>
      <c r="M62" s="53"/>
      <c r="N62" s="53"/>
      <c r="O62" s="53"/>
      <c r="P62" s="53"/>
      <c r="Q62" s="53"/>
    </row>
    <row r="63" spans="2:17" x14ac:dyDescent="0.25">
      <c r="B63" s="131" t="s">
        <v>1005</v>
      </c>
      <c r="C63" s="35"/>
      <c r="D63" s="100" t="s">
        <v>1006</v>
      </c>
      <c r="E63" s="35"/>
      <c r="F63" s="64" t="s">
        <v>1007</v>
      </c>
      <c r="G63" s="35"/>
      <c r="H63" s="64" t="s">
        <v>1008</v>
      </c>
      <c r="I63" s="35"/>
      <c r="J63" s="64" t="s">
        <v>1009</v>
      </c>
      <c r="K63" s="68"/>
      <c r="L63" s="53"/>
      <c r="M63" s="53"/>
      <c r="N63" s="53"/>
      <c r="O63" s="53"/>
      <c r="P63" s="53"/>
      <c r="Q63" s="53"/>
    </row>
    <row r="64" spans="2:17" x14ac:dyDescent="0.25">
      <c r="B64" s="133" t="s">
        <v>1010</v>
      </c>
      <c r="C64" s="46"/>
      <c r="D64" s="71" t="s">
        <v>1006</v>
      </c>
      <c r="E64" s="46"/>
      <c r="F64" s="71" t="s">
        <v>1007</v>
      </c>
      <c r="G64" s="46"/>
      <c r="H64" s="71" t="s">
        <v>1008</v>
      </c>
      <c r="I64" s="46"/>
      <c r="J64" s="71" t="s">
        <v>1011</v>
      </c>
      <c r="K64" s="72"/>
      <c r="L64" s="53"/>
      <c r="M64" s="53"/>
      <c r="N64" s="53"/>
      <c r="O64" s="53"/>
      <c r="P64" s="53"/>
      <c r="Q64" s="53"/>
    </row>
    <row r="65" spans="2:17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</row>
    <row r="66" spans="2:17" x14ac:dyDescent="0.25">
      <c r="B66" s="61" t="s">
        <v>1012</v>
      </c>
      <c r="C66" s="62"/>
      <c r="D66" s="6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</row>
    <row r="67" spans="2:17" x14ac:dyDescent="0.25">
      <c r="B67" s="66" t="s">
        <v>677</v>
      </c>
      <c r="C67" s="35"/>
      <c r="D67" s="68" t="s">
        <v>1013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</row>
    <row r="68" spans="2:17" x14ac:dyDescent="0.25">
      <c r="B68" s="66" t="s">
        <v>679</v>
      </c>
      <c r="C68" s="35"/>
      <c r="D68" s="68" t="s">
        <v>1013</v>
      </c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2:17" x14ac:dyDescent="0.25">
      <c r="B69" s="66" t="s">
        <v>681</v>
      </c>
      <c r="C69" s="35"/>
      <c r="D69" s="68" t="s">
        <v>1013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</row>
    <row r="70" spans="2:17" x14ac:dyDescent="0.25">
      <c r="B70" s="70" t="s">
        <v>1085</v>
      </c>
      <c r="C70" s="46"/>
      <c r="D70" s="72" t="s">
        <v>1013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</row>
    <row r="71" spans="2:17" x14ac:dyDescent="0.25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</row>
    <row r="72" spans="2:17" x14ac:dyDescent="0.25">
      <c r="B72" s="134" t="s">
        <v>1014</v>
      </c>
      <c r="C72" s="74"/>
      <c r="D72" s="99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</row>
    <row r="73" spans="2:17" x14ac:dyDescent="0.25">
      <c r="B73" s="131" t="s">
        <v>1015</v>
      </c>
      <c r="C73" s="97"/>
      <c r="D73" s="135" t="s">
        <v>971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</row>
    <row r="74" spans="2:17" x14ac:dyDescent="0.25">
      <c r="B74" s="131" t="s">
        <v>1016</v>
      </c>
      <c r="C74" s="97"/>
      <c r="D74" s="135" t="s">
        <v>971</v>
      </c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</row>
    <row r="75" spans="2:17" x14ac:dyDescent="0.25">
      <c r="B75" s="131" t="s">
        <v>1017</v>
      </c>
      <c r="C75" s="97"/>
      <c r="D75" s="135" t="s">
        <v>971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</row>
    <row r="76" spans="2:17" x14ac:dyDescent="0.25">
      <c r="B76" s="133" t="s">
        <v>1018</v>
      </c>
      <c r="C76" s="98"/>
      <c r="D76" s="158" t="s">
        <v>971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</row>
    <row r="77" spans="2:17" x14ac:dyDescent="0.25">
      <c r="B77" s="66"/>
      <c r="C77" s="53"/>
      <c r="D77" s="68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</row>
    <row r="78" spans="2:17" x14ac:dyDescent="0.25">
      <c r="B78" s="61" t="s">
        <v>1019</v>
      </c>
      <c r="C78" s="84" t="s">
        <v>1020</v>
      </c>
      <c r="D78" s="85"/>
      <c r="E78" s="93"/>
      <c r="F78" s="93"/>
      <c r="G78" s="93"/>
      <c r="H78" s="93"/>
      <c r="I78" s="64"/>
      <c r="J78" s="53"/>
      <c r="K78" s="53"/>
      <c r="L78" s="53"/>
      <c r="M78" s="53"/>
      <c r="N78" s="53"/>
      <c r="O78" s="53"/>
      <c r="P78" s="53"/>
      <c r="Q78" s="53"/>
    </row>
    <row r="79" spans="2:17" x14ac:dyDescent="0.25">
      <c r="B79" s="66" t="s">
        <v>1021</v>
      </c>
      <c r="C79" s="35"/>
      <c r="D79" s="135" t="s">
        <v>1022</v>
      </c>
      <c r="E79" s="35"/>
      <c r="F79" s="50"/>
      <c r="G79" s="35"/>
      <c r="H79" s="50"/>
      <c r="I79" s="64"/>
      <c r="J79" s="53"/>
      <c r="K79" s="53"/>
      <c r="L79" s="53"/>
      <c r="M79" s="53"/>
      <c r="N79" s="53"/>
      <c r="O79" s="53"/>
      <c r="P79" s="53"/>
      <c r="Q79" s="53"/>
    </row>
    <row r="80" spans="2:17" x14ac:dyDescent="0.25">
      <c r="B80" s="66" t="s">
        <v>1023</v>
      </c>
      <c r="C80" s="35"/>
      <c r="D80" s="135" t="s">
        <v>972</v>
      </c>
      <c r="E80" s="35"/>
      <c r="F80" s="50"/>
      <c r="G80" s="35"/>
      <c r="H80" s="50"/>
      <c r="I80" s="64"/>
      <c r="J80" s="53"/>
      <c r="K80" s="53"/>
      <c r="L80" s="53"/>
      <c r="M80" s="53"/>
      <c r="N80" s="53"/>
      <c r="O80" s="53"/>
      <c r="P80" s="53"/>
      <c r="Q80" s="53"/>
    </row>
    <row r="81" spans="2:17" x14ac:dyDescent="0.25">
      <c r="B81" s="66" t="s">
        <v>1024</v>
      </c>
      <c r="C81" s="35"/>
      <c r="D81" s="135" t="s">
        <v>972</v>
      </c>
      <c r="E81" s="35"/>
      <c r="F81" s="50"/>
      <c r="G81" s="35"/>
      <c r="H81" s="50"/>
      <c r="I81" s="64"/>
      <c r="J81" s="53"/>
      <c r="K81" s="53"/>
      <c r="L81" s="53"/>
      <c r="M81" s="53"/>
      <c r="N81" s="53"/>
      <c r="O81" s="53"/>
      <c r="P81" s="53"/>
      <c r="Q81" s="53"/>
    </row>
    <row r="82" spans="2:17" x14ac:dyDescent="0.25">
      <c r="B82" s="66" t="s">
        <v>1025</v>
      </c>
      <c r="C82" s="35"/>
      <c r="D82" s="136" t="s">
        <v>971</v>
      </c>
      <c r="E82" s="35"/>
      <c r="F82" s="50"/>
      <c r="G82" s="35"/>
      <c r="H82" s="50"/>
      <c r="I82" s="64"/>
      <c r="J82" s="53"/>
      <c r="K82" s="53"/>
      <c r="L82" s="53"/>
      <c r="M82" s="53"/>
      <c r="N82" s="53"/>
      <c r="O82" s="53"/>
      <c r="P82" s="53"/>
      <c r="Q82" s="53"/>
    </row>
    <row r="83" spans="2:17" x14ac:dyDescent="0.25">
      <c r="B83" s="66" t="s">
        <v>1026</v>
      </c>
      <c r="C83" s="35"/>
      <c r="D83" s="135" t="s">
        <v>972</v>
      </c>
      <c r="E83" s="35"/>
      <c r="F83" s="50"/>
      <c r="G83" s="35"/>
      <c r="H83" s="50"/>
      <c r="I83" s="64"/>
      <c r="J83" s="53"/>
      <c r="K83" s="53"/>
      <c r="L83" s="53"/>
      <c r="M83" s="53"/>
      <c r="N83" s="53"/>
      <c r="O83" s="53"/>
      <c r="P83" s="53"/>
      <c r="Q83" s="53"/>
    </row>
    <row r="84" spans="2:17" x14ac:dyDescent="0.25">
      <c r="B84" s="131" t="s">
        <v>1027</v>
      </c>
      <c r="C84" s="97"/>
      <c r="D84" s="135" t="s">
        <v>1028</v>
      </c>
      <c r="E84" s="35"/>
      <c r="F84" s="50"/>
      <c r="G84" s="35"/>
      <c r="H84" s="50"/>
      <c r="I84" s="64"/>
      <c r="J84" s="53"/>
      <c r="K84" s="53"/>
      <c r="L84" s="53"/>
      <c r="M84" s="53"/>
      <c r="N84" s="53"/>
      <c r="O84" s="53"/>
      <c r="P84" s="53"/>
      <c r="Q84" s="53"/>
    </row>
    <row r="85" spans="2:17" x14ac:dyDescent="0.25">
      <c r="B85" s="94" t="s">
        <v>695</v>
      </c>
      <c r="C85" s="35"/>
      <c r="D85" s="137" t="s">
        <v>1022</v>
      </c>
      <c r="E85" s="64"/>
      <c r="F85" s="64"/>
      <c r="G85" s="64"/>
      <c r="H85" s="64"/>
      <c r="I85" s="64"/>
      <c r="J85" s="53"/>
      <c r="K85" s="53"/>
      <c r="L85" s="53"/>
      <c r="M85" s="53"/>
      <c r="N85" s="53"/>
      <c r="O85" s="53"/>
      <c r="P85" s="53"/>
      <c r="Q85" s="53"/>
    </row>
  </sheetData>
  <mergeCells count="2">
    <mergeCell ref="B5:Q7"/>
    <mergeCell ref="E9:E10"/>
  </mergeCells>
  <conditionalFormatting sqref="C79:C84 C12:C18 C20:C27 C34:C35">
    <cfRule type="containsBlanks" dxfId="47" priority="69">
      <formula>LEN(TRIM(C12))=0</formula>
    </cfRule>
  </conditionalFormatting>
  <conditionalFormatting sqref="C67:C70">
    <cfRule type="containsBlanks" dxfId="46" priority="68">
      <formula>LEN(TRIM(C67))=0</formula>
    </cfRule>
  </conditionalFormatting>
  <conditionalFormatting sqref="C55:C58 C63:C64">
    <cfRule type="containsBlanks" dxfId="45" priority="67">
      <formula>LEN(TRIM(C55))=0</formula>
    </cfRule>
  </conditionalFormatting>
  <conditionalFormatting sqref="E63:E64">
    <cfRule type="containsBlanks" dxfId="44" priority="66">
      <formula>LEN(TRIM(E63))=0</formula>
    </cfRule>
  </conditionalFormatting>
  <conditionalFormatting sqref="G63:G64">
    <cfRule type="containsBlanks" dxfId="43" priority="65">
      <formula>LEN(TRIM(G63))=0</formula>
    </cfRule>
  </conditionalFormatting>
  <conditionalFormatting sqref="I63:I64">
    <cfRule type="containsBlanks" dxfId="42" priority="64">
      <formula>LEN(TRIM(I63))=0</formula>
    </cfRule>
  </conditionalFormatting>
  <conditionalFormatting sqref="C47 C49:C52">
    <cfRule type="containsBlanks" dxfId="41" priority="63">
      <formula>LEN(TRIM(C47))=0</formula>
    </cfRule>
  </conditionalFormatting>
  <conditionalFormatting sqref="C40:C44">
    <cfRule type="containsBlanks" dxfId="40" priority="62">
      <formula>LEN(TRIM(C40))=0</formula>
    </cfRule>
  </conditionalFormatting>
  <conditionalFormatting sqref="E29:E35 E11:E18 E20:E27">
    <cfRule type="containsText" dxfId="39" priority="61" operator="containsText" text="&lt;Choose&gt;">
      <formula>NOT(ISERROR(SEARCH("&lt;Choose&gt;",E11)))</formula>
    </cfRule>
  </conditionalFormatting>
  <conditionalFormatting sqref="E37:E38">
    <cfRule type="containsText" dxfId="38" priority="58" operator="containsText" text="&lt;Choose&gt;">
      <formula>NOT(ISERROR(SEARCH("&lt;Choose&gt;",E37)))</formula>
    </cfRule>
  </conditionalFormatting>
  <conditionalFormatting sqref="F11:Q18">
    <cfRule type="notContainsBlanks" dxfId="37" priority="70">
      <formula>LEN(TRIM(F11))&gt;0</formula>
    </cfRule>
    <cfRule type="expression" dxfId="36" priority="71">
      <formula>$E11="Yes"</formula>
    </cfRule>
  </conditionalFormatting>
  <conditionalFormatting sqref="C11:C18 C20:C27 C34:C35">
    <cfRule type="expression" dxfId="35" priority="56">
      <formula>$E11="Yes"</formula>
    </cfRule>
    <cfRule type="containsBlanks" dxfId="34" priority="57">
      <formula>LEN(TRIM(C11))=0</formula>
    </cfRule>
  </conditionalFormatting>
  <conditionalFormatting sqref="C29:C30">
    <cfRule type="containsBlanks" dxfId="33" priority="52">
      <formula>LEN(TRIM(C29))=0</formula>
    </cfRule>
  </conditionalFormatting>
  <conditionalFormatting sqref="C29:C30">
    <cfRule type="expression" dxfId="32" priority="50">
      <formula>$E29="Yes"</formula>
    </cfRule>
    <cfRule type="containsBlanks" dxfId="31" priority="51">
      <formula>LEN(TRIM(C29))=0</formula>
    </cfRule>
  </conditionalFormatting>
  <conditionalFormatting sqref="C37:C38">
    <cfRule type="containsBlanks" dxfId="30" priority="49">
      <formula>LEN(TRIM(C37))=0</formula>
    </cfRule>
  </conditionalFormatting>
  <conditionalFormatting sqref="C37:C38">
    <cfRule type="expression" dxfId="29" priority="47">
      <formula>$E37="Yes"</formula>
    </cfRule>
    <cfRule type="containsBlanks" dxfId="28" priority="48">
      <formula>LEN(TRIM(C37))=0</formula>
    </cfRule>
  </conditionalFormatting>
  <conditionalFormatting sqref="C48">
    <cfRule type="containsBlanks" dxfId="27" priority="46">
      <formula>LEN(TRIM(C48))=0</formula>
    </cfRule>
  </conditionalFormatting>
  <conditionalFormatting sqref="F20:Q20">
    <cfRule type="notContainsBlanks" dxfId="26" priority="44">
      <formula>LEN(TRIM(F20))&gt;0</formula>
    </cfRule>
    <cfRule type="expression" dxfId="25" priority="45">
      <formula>$E20="Yes"</formula>
    </cfRule>
  </conditionalFormatting>
  <conditionalFormatting sqref="F21:Q24">
    <cfRule type="notContainsBlanks" dxfId="24" priority="42">
      <formula>LEN(TRIM(F21))&gt;0</formula>
    </cfRule>
    <cfRule type="expression" dxfId="23" priority="43">
      <formula>$E21="Yes"</formula>
    </cfRule>
  </conditionalFormatting>
  <conditionalFormatting sqref="F25:Q27">
    <cfRule type="notContainsBlanks" dxfId="22" priority="38">
      <formula>LEN(TRIM(F25))&gt;0</formula>
    </cfRule>
    <cfRule type="expression" dxfId="21" priority="39">
      <formula>$E25="Yes"</formula>
    </cfRule>
  </conditionalFormatting>
  <conditionalFormatting sqref="F29:Q29">
    <cfRule type="notContainsBlanks" dxfId="20" priority="36">
      <formula>LEN(TRIM(F29))&gt;0</formula>
    </cfRule>
    <cfRule type="expression" dxfId="19" priority="37">
      <formula>$E29="Yes"</formula>
    </cfRule>
  </conditionalFormatting>
  <conditionalFormatting sqref="F30:Q30">
    <cfRule type="notContainsBlanks" dxfId="18" priority="34">
      <formula>LEN(TRIM(F30))&gt;0</formula>
    </cfRule>
    <cfRule type="expression" dxfId="17" priority="35">
      <formula>$E30="Yes"</formula>
    </cfRule>
  </conditionalFormatting>
  <conditionalFormatting sqref="F34:Q35">
    <cfRule type="notContainsBlanks" dxfId="16" priority="30">
      <formula>LEN(TRIM(F34))&gt;0</formula>
    </cfRule>
    <cfRule type="expression" dxfId="15" priority="31">
      <formula>$E34="Yes"</formula>
    </cfRule>
  </conditionalFormatting>
  <conditionalFormatting sqref="F37:Q38">
    <cfRule type="notContainsBlanks" dxfId="14" priority="28">
      <formula>LEN(TRIM(F37))&gt;0</formula>
    </cfRule>
    <cfRule type="expression" dxfId="13" priority="29">
      <formula>$E37="Yes"</formula>
    </cfRule>
  </conditionalFormatting>
  <conditionalFormatting sqref="C85">
    <cfRule type="containsBlanks" dxfId="12" priority="27">
      <formula>LEN(TRIM(C85))=0</formula>
    </cfRule>
  </conditionalFormatting>
  <conditionalFormatting sqref="C31:C32">
    <cfRule type="containsBlanks" dxfId="11" priority="25">
      <formula>LEN(TRIM(C31))=0</formula>
    </cfRule>
  </conditionalFormatting>
  <conditionalFormatting sqref="C31:C32">
    <cfRule type="expression" dxfId="10" priority="23">
      <formula>$E31="Yes"</formula>
    </cfRule>
    <cfRule type="containsBlanks" dxfId="9" priority="24">
      <formula>LEN(TRIM(C31))=0</formula>
    </cfRule>
  </conditionalFormatting>
  <conditionalFormatting sqref="F31:Q32">
    <cfRule type="notContainsBlanks" dxfId="8" priority="21">
      <formula>LEN(TRIM(F31))&gt;0</formula>
    </cfRule>
    <cfRule type="expression" dxfId="7" priority="22">
      <formula>$E31="Yes"</formula>
    </cfRule>
  </conditionalFormatting>
  <conditionalFormatting sqref="C73:C76">
    <cfRule type="containsBlanks" dxfId="6" priority="14">
      <formula>LEN(TRIM(C73))=0</formula>
    </cfRule>
  </conditionalFormatting>
  <conditionalFormatting sqref="C33">
    <cfRule type="containsBlanks" dxfId="5" priority="12">
      <formula>LEN(TRIM(C33))=0</formula>
    </cfRule>
  </conditionalFormatting>
  <conditionalFormatting sqref="C33">
    <cfRule type="expression" dxfId="4" priority="10">
      <formula>$E33="Yes"</formula>
    </cfRule>
    <cfRule type="containsBlanks" dxfId="3" priority="11">
      <formula>LEN(TRIM(C33))=0</formula>
    </cfRule>
  </conditionalFormatting>
  <conditionalFormatting sqref="F33:Q33">
    <cfRule type="notContainsBlanks" dxfId="2" priority="8">
      <formula>LEN(TRIM(F33))&gt;0</formula>
    </cfRule>
    <cfRule type="expression" dxfId="1" priority="9">
      <formula>$E33="Yes"</formula>
    </cfRule>
  </conditionalFormatting>
  <conditionalFormatting sqref="C59:C62">
    <cfRule type="containsBlanks" dxfId="0" priority="7">
      <formula>LEN(TRIM(C59))=0</formula>
    </cfRule>
  </conditionalFormatting>
  <dataValidations count="2">
    <dataValidation type="list" allowBlank="1" showInputMessage="1" showErrorMessage="1" sqref="E37:E38 E11:E18 E29:E35 E20:E27" xr:uid="{498F2811-B3E6-4BBF-9265-C492BD662CF0}">
      <formula1>"&lt;Choose&gt;,Yes,No"</formula1>
    </dataValidation>
    <dataValidation type="decimal" errorStyle="information" operator="lessThanOrEqual" allowBlank="1" showInputMessage="1" showErrorMessage="1" errorTitle="Minimum Update Time" error="Suppliers operating within the dispatchable portion of their operating range must be capable of responding to ISO instructions to change output leves within ten minutes." sqref="C47:C48" xr:uid="{C4E387CF-D1FA-427A-9905-B7C2604B8AE5}">
      <formula1>10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errorStyle="information" operator="greaterThanOrEqual" allowBlank="1" showInputMessage="1" showErrorMessage="1" errorTitle="Minimum Daily Cycle Requirement" error="NYISO's Order 841 Implementation Plan requires a resource to be capable of running for a minimum of four (4) consecutive hours a day." xr:uid="{2F4C3DE4-57DA-4B7A-B87F-8A884179D0AE}">
          <x14:formula1>
            <xm:f>4/('C:\Users\yungbr\Desktop\Master Library\ESS\ES Bulk Dispatch Rights Procurement\Other JU RFPs\ConEd_OR\[appendix-b-offer-form.xlsx]Project Information'!#REF!/'C:\Users\yungbr\Desktop\Master Library\ESS\ES Bulk Dispatch Rights Procurement\Other JU RFPs\ConEd_OR\[appendix-b-offer-form.xlsx]Project Information'!#REF!)</xm:f>
          </x14:formula1>
          <xm:sqref>C67 C73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4D2D-FA16-409D-B5DA-D980D359A8B7}">
  <sheetPr>
    <pageSetUpPr fitToPage="1"/>
  </sheetPr>
  <dimension ref="B1:G52"/>
  <sheetViews>
    <sheetView zoomScaleNormal="100" workbookViewId="0">
      <selection activeCell="B3" sqref="B3"/>
    </sheetView>
  </sheetViews>
  <sheetFormatPr defaultColWidth="8.85546875" defaultRowHeight="15" x14ac:dyDescent="0.25"/>
  <cols>
    <col min="2" max="2" width="49.7109375" customWidth="1"/>
    <col min="3" max="3" width="13.140625" customWidth="1"/>
    <col min="4" max="4" width="78" customWidth="1"/>
    <col min="5" max="5" width="20" customWidth="1"/>
  </cols>
  <sheetData>
    <row r="1" spans="2:7" ht="18.75" x14ac:dyDescent="0.3">
      <c r="B1" s="146" t="s">
        <v>921</v>
      </c>
      <c r="C1" s="147" t="s">
        <v>887</v>
      </c>
      <c r="D1" s="148"/>
      <c r="E1" s="149"/>
      <c r="F1" s="50"/>
      <c r="G1" s="50"/>
    </row>
    <row r="2" spans="2:7" ht="19.5" thickBot="1" x14ac:dyDescent="0.35">
      <c r="B2" s="162">
        <v>43738</v>
      </c>
      <c r="C2" s="150"/>
      <c r="D2" s="151"/>
      <c r="E2" s="152"/>
      <c r="F2" s="50"/>
      <c r="G2" s="50"/>
    </row>
    <row r="4" spans="2:7" s="1" customFormat="1" ht="45.75" customHeight="1" x14ac:dyDescent="0.25">
      <c r="B4" s="154" t="s">
        <v>1029</v>
      </c>
      <c r="C4" s="155" t="s">
        <v>1030</v>
      </c>
      <c r="D4" s="156" t="s">
        <v>1031</v>
      </c>
      <c r="E4" s="157" t="s">
        <v>1032</v>
      </c>
    </row>
    <row r="5" spans="2:7" s="101" customFormat="1" x14ac:dyDescent="0.25">
      <c r="B5" s="114" t="s">
        <v>1062</v>
      </c>
      <c r="C5" s="106"/>
      <c r="D5" s="107"/>
      <c r="E5" s="175" t="s">
        <v>1033</v>
      </c>
      <c r="G5" s="153"/>
    </row>
    <row r="6" spans="2:7" s="101" customFormat="1" x14ac:dyDescent="0.25">
      <c r="B6" s="115" t="s">
        <v>1063</v>
      </c>
      <c r="C6" s="108"/>
      <c r="D6" s="109"/>
      <c r="E6" s="175"/>
    </row>
    <row r="7" spans="2:7" s="101" customFormat="1" x14ac:dyDescent="0.25">
      <c r="B7" s="115" t="s">
        <v>1064</v>
      </c>
      <c r="C7" s="108"/>
      <c r="D7" s="109"/>
      <c r="E7" s="175"/>
    </row>
    <row r="8" spans="2:7" s="101" customFormat="1" x14ac:dyDescent="0.25">
      <c r="B8" s="115" t="s">
        <v>1034</v>
      </c>
      <c r="C8" s="108"/>
      <c r="D8" s="109"/>
      <c r="E8" s="175"/>
    </row>
    <row r="9" spans="2:7" s="101" customFormat="1" ht="15" customHeight="1" x14ac:dyDescent="0.25">
      <c r="B9" s="115" t="s">
        <v>1035</v>
      </c>
      <c r="C9" s="108"/>
      <c r="D9" s="109"/>
      <c r="E9" s="175"/>
    </row>
    <row r="10" spans="2:7" s="101" customFormat="1" x14ac:dyDescent="0.25">
      <c r="B10" s="115" t="s">
        <v>1036</v>
      </c>
      <c r="C10" s="108"/>
      <c r="D10" s="109"/>
      <c r="E10" s="175"/>
    </row>
    <row r="11" spans="2:7" s="101" customFormat="1" x14ac:dyDescent="0.25">
      <c r="B11" s="115" t="s">
        <v>1037</v>
      </c>
      <c r="C11" s="108"/>
      <c r="D11" s="109"/>
      <c r="E11" s="175"/>
    </row>
    <row r="12" spans="2:7" s="102" customFormat="1" x14ac:dyDescent="0.25">
      <c r="B12" s="115" t="s">
        <v>1038</v>
      </c>
      <c r="C12" s="108"/>
      <c r="D12" s="109"/>
      <c r="E12" s="175"/>
    </row>
    <row r="13" spans="2:7" s="101" customFormat="1" x14ac:dyDescent="0.25">
      <c r="B13" s="115" t="s">
        <v>1039</v>
      </c>
      <c r="C13" s="108"/>
      <c r="D13" s="109"/>
      <c r="E13" s="175"/>
    </row>
    <row r="14" spans="2:7" s="101" customFormat="1" x14ac:dyDescent="0.25">
      <c r="B14" s="115" t="s">
        <v>1040</v>
      </c>
      <c r="C14" s="108"/>
      <c r="D14" s="109"/>
      <c r="E14" s="175"/>
    </row>
    <row r="15" spans="2:7" s="101" customFormat="1" x14ac:dyDescent="0.25">
      <c r="B15" s="115" t="s">
        <v>1041</v>
      </c>
      <c r="C15" s="108"/>
      <c r="D15" s="109"/>
      <c r="E15" s="175"/>
    </row>
    <row r="16" spans="2:7" s="101" customFormat="1" x14ac:dyDescent="0.25">
      <c r="B16" s="115" t="s">
        <v>723</v>
      </c>
      <c r="C16" s="108"/>
      <c r="D16" s="109"/>
      <c r="E16" s="175"/>
    </row>
    <row r="17" spans="2:5" s="101" customFormat="1" x14ac:dyDescent="0.25">
      <c r="B17" s="116" t="s">
        <v>1042</v>
      </c>
      <c r="C17" s="110">
        <f>SUM(C6:C16)</f>
        <v>0</v>
      </c>
      <c r="D17" s="111"/>
      <c r="E17" s="175"/>
    </row>
    <row r="18" spans="2:5" s="101" customFormat="1" x14ac:dyDescent="0.25">
      <c r="B18" s="117"/>
      <c r="C18" s="106"/>
      <c r="D18" s="107"/>
      <c r="E18" s="175"/>
    </row>
    <row r="19" spans="2:5" s="101" customFormat="1" x14ac:dyDescent="0.25">
      <c r="B19" s="118" t="s">
        <v>1043</v>
      </c>
      <c r="C19" s="106"/>
      <c r="D19" s="107"/>
      <c r="E19" s="119"/>
    </row>
    <row r="20" spans="2:5" s="101" customFormat="1" x14ac:dyDescent="0.25">
      <c r="B20" s="120" t="s">
        <v>1044</v>
      </c>
      <c r="C20" s="108"/>
      <c r="D20" s="109"/>
      <c r="E20" s="119"/>
    </row>
    <row r="21" spans="2:5" s="101" customFormat="1" x14ac:dyDescent="0.25">
      <c r="B21" s="120" t="s">
        <v>1045</v>
      </c>
      <c r="C21" s="108"/>
      <c r="D21" s="109"/>
      <c r="E21" s="119"/>
    </row>
    <row r="22" spans="2:5" s="101" customFormat="1" x14ac:dyDescent="0.25">
      <c r="B22" s="120" t="s">
        <v>1046</v>
      </c>
      <c r="C22" s="108"/>
      <c r="D22" s="109"/>
      <c r="E22" s="119"/>
    </row>
    <row r="23" spans="2:5" s="101" customFormat="1" x14ac:dyDescent="0.25">
      <c r="B23" s="120" t="s">
        <v>1047</v>
      </c>
      <c r="C23" s="108"/>
      <c r="D23" s="109"/>
      <c r="E23" s="119"/>
    </row>
    <row r="24" spans="2:5" s="101" customFormat="1" x14ac:dyDescent="0.25">
      <c r="B24" s="120" t="s">
        <v>1048</v>
      </c>
      <c r="C24" s="108"/>
      <c r="D24" s="109"/>
      <c r="E24" s="119"/>
    </row>
    <row r="25" spans="2:5" s="101" customFormat="1" x14ac:dyDescent="0.25">
      <c r="B25" s="120" t="s">
        <v>723</v>
      </c>
      <c r="C25" s="108"/>
      <c r="D25" s="109"/>
      <c r="E25" s="119"/>
    </row>
    <row r="26" spans="2:5" s="101" customFormat="1" x14ac:dyDescent="0.25">
      <c r="B26" s="121" t="s">
        <v>1042</v>
      </c>
      <c r="C26" s="110">
        <f>SUM(C20:C25)</f>
        <v>0</v>
      </c>
      <c r="D26" s="111"/>
      <c r="E26" s="119"/>
    </row>
    <row r="27" spans="2:5" s="101" customFormat="1" x14ac:dyDescent="0.25">
      <c r="B27" s="117"/>
      <c r="C27" s="106"/>
      <c r="D27" s="107"/>
      <c r="E27" s="119"/>
    </row>
    <row r="28" spans="2:5" s="101" customFormat="1" x14ac:dyDescent="0.25">
      <c r="B28" s="114" t="s">
        <v>1049</v>
      </c>
      <c r="C28" s="106"/>
      <c r="D28" s="107"/>
      <c r="E28" s="119"/>
    </row>
    <row r="29" spans="2:5" s="101" customFormat="1" x14ac:dyDescent="0.25">
      <c r="B29" s="120" t="s">
        <v>1050</v>
      </c>
      <c r="C29" s="108"/>
      <c r="D29" s="109"/>
      <c r="E29" s="119"/>
    </row>
    <row r="30" spans="2:5" s="102" customFormat="1" x14ac:dyDescent="0.25">
      <c r="B30" s="120" t="s">
        <v>1051</v>
      </c>
      <c r="C30" s="108"/>
      <c r="D30" s="109"/>
      <c r="E30" s="122"/>
    </row>
    <row r="31" spans="2:5" s="101" customFormat="1" x14ac:dyDescent="0.25">
      <c r="B31" s="120" t="s">
        <v>1052</v>
      </c>
      <c r="C31" s="108"/>
      <c r="D31" s="109"/>
      <c r="E31" s="119"/>
    </row>
    <row r="32" spans="2:5" s="101" customFormat="1" x14ac:dyDescent="0.25">
      <c r="B32" s="115" t="s">
        <v>1065</v>
      </c>
      <c r="C32" s="108"/>
      <c r="D32" s="109"/>
      <c r="E32" s="119"/>
    </row>
    <row r="33" spans="2:5" s="101" customFormat="1" x14ac:dyDescent="0.25">
      <c r="B33" s="120" t="s">
        <v>723</v>
      </c>
      <c r="C33" s="108"/>
      <c r="D33" s="109"/>
      <c r="E33" s="119"/>
    </row>
    <row r="34" spans="2:5" s="101" customFormat="1" x14ac:dyDescent="0.25">
      <c r="B34" s="116" t="s">
        <v>1042</v>
      </c>
      <c r="C34" s="110">
        <f>SUM(C29:C33)</f>
        <v>0</v>
      </c>
      <c r="D34" s="111"/>
      <c r="E34" s="119"/>
    </row>
    <row r="35" spans="2:5" s="101" customFormat="1" x14ac:dyDescent="0.25">
      <c r="B35" s="117"/>
      <c r="C35" s="106"/>
      <c r="D35" s="107"/>
      <c r="E35" s="119"/>
    </row>
    <row r="36" spans="2:5" s="101" customFormat="1" x14ac:dyDescent="0.25">
      <c r="B36" s="123" t="s">
        <v>1053</v>
      </c>
      <c r="C36" s="106"/>
      <c r="D36" s="107"/>
      <c r="E36" s="119"/>
    </row>
    <row r="37" spans="2:5" s="101" customFormat="1" x14ac:dyDescent="0.25">
      <c r="B37" s="115" t="s">
        <v>1054</v>
      </c>
      <c r="C37" s="108"/>
      <c r="D37" s="109"/>
      <c r="E37" s="119"/>
    </row>
    <row r="38" spans="2:5" s="101" customFormat="1" x14ac:dyDescent="0.25">
      <c r="B38" s="115" t="s">
        <v>1055</v>
      </c>
      <c r="C38" s="108"/>
      <c r="D38" s="109"/>
      <c r="E38" s="119"/>
    </row>
    <row r="39" spans="2:5" s="101" customFormat="1" x14ac:dyDescent="0.25">
      <c r="B39" s="115" t="s">
        <v>1056</v>
      </c>
      <c r="C39" s="108"/>
      <c r="D39" s="109"/>
      <c r="E39" s="119"/>
    </row>
    <row r="40" spans="2:5" s="101" customFormat="1" x14ac:dyDescent="0.25">
      <c r="B40" s="115" t="s">
        <v>1057</v>
      </c>
      <c r="C40" s="108"/>
      <c r="D40" s="109"/>
      <c r="E40" s="119"/>
    </row>
    <row r="41" spans="2:5" s="101" customFormat="1" ht="59.25" customHeight="1" x14ac:dyDescent="0.25">
      <c r="B41" s="115" t="s">
        <v>1058</v>
      </c>
      <c r="C41" s="108"/>
      <c r="D41" s="109"/>
      <c r="E41" s="124" t="s">
        <v>1073</v>
      </c>
    </row>
    <row r="42" spans="2:5" s="101" customFormat="1" ht="16.5" customHeight="1" x14ac:dyDescent="0.25">
      <c r="B42" s="115" t="s">
        <v>1072</v>
      </c>
      <c r="C42" s="108"/>
      <c r="D42" s="109"/>
      <c r="E42" s="124"/>
    </row>
    <row r="43" spans="2:5" s="101" customFormat="1" x14ac:dyDescent="0.25">
      <c r="B43" s="115" t="s">
        <v>1059</v>
      </c>
      <c r="C43" s="108"/>
      <c r="D43" s="109"/>
      <c r="E43" s="119"/>
    </row>
    <row r="44" spans="2:5" s="102" customFormat="1" x14ac:dyDescent="0.25">
      <c r="B44" s="115" t="s">
        <v>1067</v>
      </c>
      <c r="C44" s="108"/>
      <c r="D44" s="109"/>
      <c r="E44" s="122"/>
    </row>
    <row r="45" spans="2:5" x14ac:dyDescent="0.25">
      <c r="B45" s="115" t="s">
        <v>1060</v>
      </c>
      <c r="C45" s="108"/>
      <c r="D45" s="109"/>
      <c r="E45" s="125"/>
    </row>
    <row r="46" spans="2:5" x14ac:dyDescent="0.25">
      <c r="B46" s="120" t="s">
        <v>723</v>
      </c>
      <c r="C46" s="108"/>
      <c r="D46" s="109"/>
      <c r="E46" s="125"/>
    </row>
    <row r="47" spans="2:5" x14ac:dyDescent="0.25">
      <c r="B47" s="116" t="s">
        <v>1042</v>
      </c>
      <c r="C47" s="110">
        <f>SUM(C37:C46)</f>
        <v>0</v>
      </c>
      <c r="D47" s="111"/>
      <c r="E47" s="125"/>
    </row>
    <row r="48" spans="2:5" x14ac:dyDescent="0.25">
      <c r="B48" s="120"/>
      <c r="C48" s="106"/>
      <c r="D48" s="107"/>
      <c r="E48" s="125"/>
    </row>
    <row r="49" spans="2:5" x14ac:dyDescent="0.25">
      <c r="B49" s="114" t="s">
        <v>1066</v>
      </c>
      <c r="C49" s="112">
        <f>C17+C26+C34+C47</f>
        <v>0</v>
      </c>
      <c r="D49" s="113"/>
      <c r="E49" s="125"/>
    </row>
    <row r="50" spans="2:5" x14ac:dyDescent="0.25">
      <c r="B50" s="126" t="s">
        <v>1068</v>
      </c>
      <c r="C50" s="29"/>
      <c r="D50" s="29"/>
      <c r="E50" s="125"/>
    </row>
    <row r="51" spans="2:5" x14ac:dyDescent="0.25">
      <c r="B51" s="127"/>
      <c r="C51" s="29"/>
      <c r="D51" s="29"/>
      <c r="E51" s="125"/>
    </row>
    <row r="52" spans="2:5" ht="15.75" thickBot="1" x14ac:dyDescent="0.3">
      <c r="B52" s="128" t="s">
        <v>1061</v>
      </c>
      <c r="C52" s="129"/>
      <c r="D52" s="129"/>
      <c r="E52" s="130"/>
    </row>
  </sheetData>
  <protectedRanges>
    <protectedRange password="DD0D" sqref="B6 B27 B14:B18 B30:B48" name="Range2_1_1_3"/>
    <protectedRange password="DD0D" sqref="B20:B26 B29" name="Range2_1_1_2_1"/>
  </protectedRanges>
  <mergeCells count="1">
    <mergeCell ref="E5:E18"/>
  </mergeCells>
  <pageMargins left="0.7" right="0.7" top="0.75" bottom="0.75" header="0.3" footer="0.3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D6E6E1D76584AB4BCDF93B77F0121" ma:contentTypeVersion="4" ma:contentTypeDescription="Create a new document." ma:contentTypeScope="" ma:versionID="2aa4b3440d2b7c73b056a14886599539">
  <xsd:schema xmlns:xsd="http://www.w3.org/2001/XMLSchema" xmlns:xs="http://www.w3.org/2001/XMLSchema" xmlns:p="http://schemas.microsoft.com/office/2006/metadata/properties" xmlns:ns2="c758983c-6110-4ec3-8a01-d2dcae160c06" xmlns:ns3="d163a6d9-8dfa-4727-83c4-3ec39e045ea7" targetNamespace="http://schemas.microsoft.com/office/2006/metadata/properties" ma:root="true" ma:fieldsID="c35355ba88eaa528b35537608deeb340" ns2:_="" ns3:_="">
    <xsd:import namespace="c758983c-6110-4ec3-8a01-d2dcae160c06"/>
    <xsd:import namespace="d163a6d9-8dfa-4727-83c4-3ec39e045e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8983c-6110-4ec3-8a01-d2dcae160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3a6d9-8dfa-4727-83c4-3ec39e045ea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DF2B12-D447-4F50-909B-90A9485B8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8983c-6110-4ec3-8a01-d2dcae160c06"/>
    <ds:schemaRef ds:uri="d163a6d9-8dfa-4727-83c4-3ec39e045e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C0A58D-71DF-4CA7-A57A-74C5FD2B18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FFE5BD-9B62-4F37-9128-ACFF93044256}">
  <ds:schemaRefs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d163a6d9-8dfa-4727-83c4-3ec39e045ea7"/>
    <ds:schemaRef ds:uri="c758983c-6110-4ec3-8a01-d2dcae160c0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86</vt:i4>
      </vt:variant>
    </vt:vector>
  </HeadingPairs>
  <TitlesOfParts>
    <vt:vector size="94" baseType="lpstr">
      <vt:lpstr>All_Fields</vt:lpstr>
      <vt:lpstr>Lists</vt:lpstr>
      <vt:lpstr>Validation</vt:lpstr>
      <vt:lpstr>Instructions</vt:lpstr>
      <vt:lpstr>Bidder Information</vt:lpstr>
      <vt:lpstr>Project Information</vt:lpstr>
      <vt:lpstr>Operating Information</vt:lpstr>
      <vt:lpstr>Project Cost And Offer Price</vt:lpstr>
      <vt:lpstr>Part_own_1</vt:lpstr>
      <vt:lpstr>Part_own_10</vt:lpstr>
      <vt:lpstr>Part_own_11</vt:lpstr>
      <vt:lpstr>Part_own_12</vt:lpstr>
      <vt:lpstr>Part_own_2</vt:lpstr>
      <vt:lpstr>Part_own_3</vt:lpstr>
      <vt:lpstr>Part_own_4</vt:lpstr>
      <vt:lpstr>Part_own_5</vt:lpstr>
      <vt:lpstr>Part_own_6</vt:lpstr>
      <vt:lpstr>Part_own_7</vt:lpstr>
      <vt:lpstr>Part_own_8</vt:lpstr>
      <vt:lpstr>Part_own_9</vt:lpstr>
      <vt:lpstr>Part_pd_1</vt:lpstr>
      <vt:lpstr>Part_pd_2</vt:lpstr>
      <vt:lpstr>Part_pd_3</vt:lpstr>
      <vt:lpstr>Part_pd_4</vt:lpstr>
      <vt:lpstr>Part_pd_5</vt:lpstr>
      <vt:lpstr>Part_pd_6</vt:lpstr>
      <vt:lpstr>Part_pd_7</vt:lpstr>
      <vt:lpstr>Part_pd_8</vt:lpstr>
      <vt:lpstr>Part_pi_1</vt:lpstr>
      <vt:lpstr>Part_pi_10</vt:lpstr>
      <vt:lpstr>Part_pi_11</vt:lpstr>
      <vt:lpstr>Part_pi_12</vt:lpstr>
      <vt:lpstr>Part_pi_13</vt:lpstr>
      <vt:lpstr>Part_pi_14</vt:lpstr>
      <vt:lpstr>Part_pi_15</vt:lpstr>
      <vt:lpstr>Part_pi_16</vt:lpstr>
      <vt:lpstr>Part_pi_17</vt:lpstr>
      <vt:lpstr>Part_pi_18</vt:lpstr>
      <vt:lpstr>Part_pi_19</vt:lpstr>
      <vt:lpstr>Part_pi_2</vt:lpstr>
      <vt:lpstr>Part_pi_20</vt:lpstr>
      <vt:lpstr>Part_pi_3</vt:lpstr>
      <vt:lpstr>Part_pi_4</vt:lpstr>
      <vt:lpstr>Part_pi_5</vt:lpstr>
      <vt:lpstr>Part_pi_6</vt:lpstr>
      <vt:lpstr>Part_pi_7</vt:lpstr>
      <vt:lpstr>Part_pi_8</vt:lpstr>
      <vt:lpstr>Part_pi_9</vt:lpstr>
      <vt:lpstr>'Project Cost And Offer Price'!Print_Area</vt:lpstr>
      <vt:lpstr>Proj_es_1</vt:lpstr>
      <vt:lpstr>Proj_es_10</vt:lpstr>
      <vt:lpstr>Proj_es_11</vt:lpstr>
      <vt:lpstr>Proj_es_12</vt:lpstr>
      <vt:lpstr>Proj_es_13</vt:lpstr>
      <vt:lpstr>Proj_es_14</vt:lpstr>
      <vt:lpstr>Proj_es_15</vt:lpstr>
      <vt:lpstr>Proj_es_16</vt:lpstr>
      <vt:lpstr>Proj_es_17</vt:lpstr>
      <vt:lpstr>Proj_es_18</vt:lpstr>
      <vt:lpstr>Proj_es_19</vt:lpstr>
      <vt:lpstr>Proj_es_2</vt:lpstr>
      <vt:lpstr>Proj_es_20</vt:lpstr>
      <vt:lpstr>Proj_es_3</vt:lpstr>
      <vt:lpstr>Proj_es_4</vt:lpstr>
      <vt:lpstr>Proj_es_5</vt:lpstr>
      <vt:lpstr>Proj_es_6</vt:lpstr>
      <vt:lpstr>Proj_es_7</vt:lpstr>
      <vt:lpstr>Proj_es_8</vt:lpstr>
      <vt:lpstr>Proj_es_9</vt:lpstr>
      <vt:lpstr>Proj_pi_1</vt:lpstr>
      <vt:lpstr>Proj_pi_10</vt:lpstr>
      <vt:lpstr>Proj_pi_11</vt:lpstr>
      <vt:lpstr>Proj_pi_12</vt:lpstr>
      <vt:lpstr>Proj_pi_2</vt:lpstr>
      <vt:lpstr>Proj_pi_3</vt:lpstr>
      <vt:lpstr>Proj_pi_4</vt:lpstr>
      <vt:lpstr>Proj_pi_5</vt:lpstr>
      <vt:lpstr>Proj_pi_6</vt:lpstr>
      <vt:lpstr>Proj_pi_7</vt:lpstr>
      <vt:lpstr>Proj_pi_9</vt:lpstr>
      <vt:lpstr>Proj_pi_iqn</vt:lpstr>
      <vt:lpstr>Proj_pi_iv</vt:lpstr>
      <vt:lpstr>Proj_pi_loadarea</vt:lpstr>
      <vt:lpstr>Proj_pi_poi</vt:lpstr>
      <vt:lpstr>Proj_ts_1</vt:lpstr>
      <vt:lpstr>Proj_ts_10</vt:lpstr>
      <vt:lpstr>Proj_ts_12</vt:lpstr>
      <vt:lpstr>Proj_ts_13</vt:lpstr>
      <vt:lpstr>Proj_ts_2</vt:lpstr>
      <vt:lpstr>Proj_ts_3</vt:lpstr>
      <vt:lpstr>Proj_ts_5</vt:lpstr>
      <vt:lpstr>Proj_ts_6</vt:lpstr>
      <vt:lpstr>Proj_ts_7</vt:lpstr>
      <vt:lpstr>Proj_ts_9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Chandler Miller</dc:creator>
  <cp:keywords/>
  <dc:description/>
  <cp:lastModifiedBy>Lovelady, David</cp:lastModifiedBy>
  <cp:revision/>
  <dcterms:created xsi:type="dcterms:W3CDTF">2019-04-09T16:53:26Z</dcterms:created>
  <dcterms:modified xsi:type="dcterms:W3CDTF">2019-09-30T14:14:19Z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{6C28F5A4-9B80-4A13-AE00-0A3A252E3609}</vt:lpwstr>
  </property>
  <property fmtid="{D5CDD505-2E9C-101B-9397-08002B2CF9AE}" pid="3" name="ContentTypeId">
    <vt:lpwstr>0x0101002CDD6E6E1D76584AB4BCDF93B77F0121</vt:lpwstr>
  </property>
  <property fmtid="{D5CDD505-2E9C-101B-9397-08002B2CF9AE}" pid="5" name="_NewReviewCycle">
    <vt:lpwstr/>
  </property>
  <property fmtid="{D5CDD505-2E9C-101B-9397-08002B2CF9AE}" pid="6" name="_AdHocReviewCycleID">
    <vt:i4>-228754188</vt:i4>
  </property>
  <property fmtid="{D5CDD505-2E9C-101B-9397-08002B2CF9AE}" pid="7" name="_EmailSubject">
    <vt:lpwstr>Energy Storage RFP--Appendices B, E, F &amp; I</vt:lpwstr>
  </property>
  <property fmtid="{D5CDD505-2E9C-101B-9397-08002B2CF9AE}" pid="8" name="_AuthorEmail">
    <vt:lpwstr>Karla.Corpus@nationalgrid.com</vt:lpwstr>
  </property>
  <property fmtid="{D5CDD505-2E9C-101B-9397-08002B2CF9AE}" pid="9" name="_AuthorEmailDisplayName">
    <vt:lpwstr>Corpus, Karla</vt:lpwstr>
  </property>
</Properties>
</file>