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rebekah.thompson\Documents\"/>
    </mc:Choice>
  </mc:AlternateContent>
  <xr:revisionPtr revIDLastSave="0" documentId="8_{7ECE7560-646A-4E7F-B02C-9B39D6002C5A}" xr6:coauthVersionLast="46" xr6:coauthVersionMax="46" xr10:uidLastSave="{00000000-0000-0000-0000-000000000000}"/>
  <workbookProtection workbookAlgorithmName="SHA-512" workbookHashValue="nckPKF43L0x667XJKvGsoevNurKayhYjZG6kyPJu9ldJbaaTP7gOGwYqJODyHO/LhJv4vIGe1ygYvo0jPUvvgg==" workbookSaltValue="TFekBdhR6q08bpY4+GszCQ==" workbookSpinCount="100000" lockStructure="1"/>
  <bookViews>
    <workbookView xWindow="-108" yWindow="-108" windowWidth="23256" windowHeight="12576" tabRatio="910" activeTab="2" xr2:uid="{00000000-000D-0000-FFFF-FFFF00000000}"/>
  </bookViews>
  <sheets>
    <sheet name="Coversheet" sheetId="51" r:id="rId1"/>
    <sheet name="NGGT AIP 2019" sheetId="53" r:id="rId2"/>
    <sheet name="NGET AIP 2019" sheetId="52" r:id="rId3"/>
    <sheet name="GT workings 20-21" sheetId="55" state="hidden" r:id="rId4"/>
    <sheet name="Cover" sheetId="50" state="hidden" r:id="rId5"/>
    <sheet name="ET workings 20-21" sheetId="56" state="hidden" r:id="rId6"/>
    <sheet name="NGET summary" sheetId="26" state="hidden" r:id="rId7"/>
    <sheet name="NGET differences 14-15" sheetId="20" state="hidden" r:id="rId8"/>
    <sheet name="NGET differences 15-16" sheetId="30" state="hidden" r:id="rId9"/>
    <sheet name="NGET differences 16-17" sheetId="34" state="hidden" r:id="rId10"/>
    <sheet name="NGET differences 17-18" sheetId="40" state="hidden" r:id="rId11"/>
    <sheet name="18-19 NGET" sheetId="46" state="hidden" r:id="rId12"/>
    <sheet name="ET workings 18-19" sheetId="47" state="hidden" r:id="rId13"/>
    <sheet name="17-18 NGET" sheetId="41" state="hidden" r:id="rId14"/>
    <sheet name="ET workings 17-18" sheetId="42" state="hidden" r:id="rId15"/>
    <sheet name="16-17 NGET" sheetId="35" state="hidden" r:id="rId16"/>
    <sheet name="ET workings 16-17" sheetId="36" state="hidden" r:id="rId17"/>
    <sheet name="15-16 NGET" sheetId="28" state="hidden" r:id="rId18"/>
    <sheet name="ET workings 15-16" sheetId="29" state="hidden" r:id="rId19"/>
    <sheet name="14-15 NGET" sheetId="18" state="hidden" r:id="rId20"/>
    <sheet name="ET workings 14-15" sheetId="19" state="hidden" r:id="rId21"/>
    <sheet name="Baseline NGET" sheetId="1" state="hidden" r:id="rId22"/>
    <sheet name="ET workings base" sheetId="7" state="hidden" r:id="rId23"/>
    <sheet name="NGGT summary" sheetId="27" state="hidden" r:id="rId24"/>
    <sheet name="NGGT differences 14-15" sheetId="24" state="hidden" r:id="rId25"/>
    <sheet name="NGGT differences 15-16" sheetId="33" state="hidden" r:id="rId26"/>
    <sheet name="NGGT differences 16-17" sheetId="37" state="hidden" r:id="rId27"/>
    <sheet name="NGGT differences 17-18" sheetId="43" state="hidden" r:id="rId28"/>
    <sheet name="18-19 NGGT" sheetId="48" state="hidden" r:id="rId29"/>
    <sheet name="GT workings 18-19" sheetId="49" state="hidden" r:id="rId30"/>
    <sheet name="17-18 NGGT" sheetId="44" state="hidden" r:id="rId31"/>
    <sheet name="GT workings 17-18" sheetId="45" state="hidden" r:id="rId32"/>
    <sheet name="16-17 NGGT" sheetId="38" state="hidden" r:id="rId33"/>
    <sheet name="GT workings 16-17" sheetId="39" state="hidden" r:id="rId34"/>
    <sheet name="15-16 NGGT" sheetId="31" state="hidden" r:id="rId35"/>
    <sheet name="GT workings 15-16" sheetId="32" state="hidden" r:id="rId36"/>
    <sheet name="14-15 NGGT" sheetId="21" state="hidden" r:id="rId37"/>
    <sheet name="GT workings 14-15" sheetId="22" state="hidden" r:id="rId38"/>
    <sheet name="Baseline NGGT" sheetId="9" state="hidden" r:id="rId39"/>
    <sheet name="GT workings base" sheetId="11" state="hidden" r:id="rId40"/>
    <sheet name="RPI" sheetId="10" state="hidden" r:id="rId41"/>
    <sheet name="NGGT AIP 2018" sheetId="57" state="hidden" r:id="rId42"/>
    <sheet name="NGET AIP 2018" sheetId="58" state="hidden" r:id="rId43"/>
    <sheet name="GT workings 19-20" sheetId="59" state="hidden" r:id="rId44"/>
    <sheet name="ET workings 19-20" sheetId="60" state="hidden" r:id="rId45"/>
  </sheets>
  <externalReferences>
    <externalReference r:id="rId46"/>
    <externalReference r:id="rId47"/>
  </externalReferences>
  <definedNames>
    <definedName name="a">[1]SavedResults!$C$13</definedName>
    <definedName name="m_live_results" localSheetId="37">'GT workings 14-15'!$C$15</definedName>
    <definedName name="m_live_results" localSheetId="35">'GT workings 15-16'!$C$15</definedName>
    <definedName name="m_live_results" localSheetId="33">'GT workings 16-17'!$C$15</definedName>
    <definedName name="m_live_results" localSheetId="31">'GT workings 17-18'!$C$15</definedName>
    <definedName name="m_live_results" localSheetId="29">'GT workings 18-19'!$C$15</definedName>
    <definedName name="m_live_results" localSheetId="43">'GT workings 19-20'!$D$16</definedName>
    <definedName name="m_live_results" localSheetId="3">'GT workings 20-21'!$D$16</definedName>
    <definedName name="m_live_results" localSheetId="39">'GT workings base'!$C$15</definedName>
    <definedName name="m_live_results">'ET workings base'!$C$15</definedName>
    <definedName name="m_live_results_02">'ET workings base'!$C$15</definedName>
    <definedName name="m_results_01" localSheetId="37">[1]SavedResults!$C$15</definedName>
    <definedName name="m_results_01" localSheetId="35">[1]SavedResults!$C$15</definedName>
    <definedName name="m_results_01" localSheetId="33">[1]SavedResults!$C$15</definedName>
    <definedName name="m_results_01" localSheetId="31">[1]SavedResults!$C$15</definedName>
    <definedName name="m_results_01" localSheetId="29">[1]SavedResults!$C$15</definedName>
    <definedName name="m_results_01" localSheetId="43">[1]SavedResults!$C$15</definedName>
    <definedName name="m_results_01" localSheetId="3">[1]SavedResults!$C$15</definedName>
    <definedName name="m_results_01" localSheetId="39">[1]SavedResults!$C$15</definedName>
    <definedName name="m_results_01">[2]SavedResults!$C$15</definedName>
    <definedName name="NGET1">[1]SavedResults!$C$13</definedName>
    <definedName name="NGGT1" localSheetId="11">#REF!</definedName>
    <definedName name="NGGT1" localSheetId="28">#REF!</definedName>
    <definedName name="NGGT1" localSheetId="0">#REF!</definedName>
    <definedName name="NGGT1" localSheetId="12">#REF!</definedName>
    <definedName name="NGGT1" localSheetId="44">#REF!</definedName>
    <definedName name="NGGT1" localSheetId="5">#REF!</definedName>
    <definedName name="NGGT1" localSheetId="29">#REF!</definedName>
    <definedName name="NGGT1" localSheetId="43">#REF!</definedName>
    <definedName name="NGGT1" localSheetId="3">#REF!</definedName>
    <definedName name="NGGT1" localSheetId="42">#REF!</definedName>
    <definedName name="NGGT1" localSheetId="2">#REF!</definedName>
    <definedName name="NGGT1" localSheetId="41">#REF!</definedName>
    <definedName name="NGGT1" localSheetId="1">#REF!</definedName>
    <definedName name="NGGT1">#REF!</definedName>
  </definedNames>
  <calcPr calcId="191028" iterate="1" iterateCount="25"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3" i="55" l="1"/>
  <c r="K283" i="55"/>
  <c r="I263" i="60"/>
  <c r="H263" i="60"/>
  <c r="G266" i="60"/>
  <c r="F266" i="60"/>
  <c r="E263" i="60"/>
  <c r="D263" i="60"/>
  <c r="D265" i="60" s="1"/>
  <c r="D153" i="58"/>
  <c r="K172" i="58"/>
  <c r="I172" i="58"/>
  <c r="H172" i="58"/>
  <c r="G172" i="58"/>
  <c r="E172" i="58"/>
  <c r="D172" i="58"/>
  <c r="K252" i="60"/>
  <c r="K167" i="58" s="1"/>
  <c r="J252" i="60"/>
  <c r="I252" i="60"/>
  <c r="I167" i="58" s="1"/>
  <c r="H252" i="60"/>
  <c r="H167" i="58" s="1"/>
  <c r="G252" i="60"/>
  <c r="G167" i="58" s="1"/>
  <c r="F252" i="60"/>
  <c r="E252" i="60"/>
  <c r="E167" i="58" s="1"/>
  <c r="D252" i="60"/>
  <c r="D167" i="58" s="1"/>
  <c r="I179" i="58"/>
  <c r="I180" i="58" s="1"/>
  <c r="H179" i="58"/>
  <c r="H180" i="58" s="1"/>
  <c r="G179" i="58"/>
  <c r="G180" i="58" s="1"/>
  <c r="F179" i="58"/>
  <c r="F180" i="58" s="1"/>
  <c r="E179" i="58"/>
  <c r="E180" i="58" s="1"/>
  <c r="D179" i="58"/>
  <c r="D180" i="58" s="1"/>
  <c r="A221" i="60"/>
  <c r="A222" i="60" s="1"/>
  <c r="A224" i="60" s="1"/>
  <c r="A225" i="60" s="1"/>
  <c r="A226" i="60" s="1"/>
  <c r="A227" i="60" s="1"/>
  <c r="A228" i="60" s="1"/>
  <c r="A229" i="60" s="1"/>
  <c r="A230" i="60" s="1"/>
  <c r="A231" i="60" s="1"/>
  <c r="A233" i="60" s="1"/>
  <c r="A234" i="60" s="1"/>
  <c r="A235" i="60" s="1"/>
  <c r="A236" i="60" s="1"/>
  <c r="A237" i="60" s="1"/>
  <c r="A238" i="60" s="1"/>
  <c r="A239" i="60" s="1"/>
  <c r="A240" i="60" s="1"/>
  <c r="A242" i="60" s="1"/>
  <c r="A243" i="60" s="1"/>
  <c r="A244" i="60" s="1"/>
  <c r="A245" i="60" s="1"/>
  <c r="A246" i="60" s="1"/>
  <c r="K170" i="58"/>
  <c r="J170" i="58"/>
  <c r="I170" i="58"/>
  <c r="H170" i="58"/>
  <c r="G170" i="58"/>
  <c r="E170" i="58"/>
  <c r="D170" i="58"/>
  <c r="K169" i="58"/>
  <c r="I169" i="58"/>
  <c r="H169" i="58"/>
  <c r="G169" i="58"/>
  <c r="F169" i="58"/>
  <c r="E169" i="58"/>
  <c r="D169" i="58"/>
  <c r="D171" i="58"/>
  <c r="J171" i="58"/>
  <c r="G171" i="58"/>
  <c r="F171" i="58"/>
  <c r="D166" i="58"/>
  <c r="K165" i="58"/>
  <c r="J165" i="58"/>
  <c r="I165" i="58"/>
  <c r="G165" i="58"/>
  <c r="F165" i="58"/>
  <c r="E165" i="58"/>
  <c r="D165" i="58"/>
  <c r="K156" i="60"/>
  <c r="J156" i="60"/>
  <c r="I156" i="60"/>
  <c r="H156" i="60"/>
  <c r="G156" i="60"/>
  <c r="F156" i="60"/>
  <c r="E156" i="60"/>
  <c r="D156" i="60"/>
  <c r="K155" i="60"/>
  <c r="K155" i="58" s="1"/>
  <c r="J155" i="60"/>
  <c r="J155" i="58" s="1"/>
  <c r="I155" i="60"/>
  <c r="H155" i="60"/>
  <c r="G155" i="60"/>
  <c r="G155" i="58" s="1"/>
  <c r="F155" i="60"/>
  <c r="E155" i="60"/>
  <c r="D155" i="60"/>
  <c r="K154" i="60"/>
  <c r="J154" i="60"/>
  <c r="I154" i="60"/>
  <c r="H154" i="60"/>
  <c r="G154" i="60"/>
  <c r="F154" i="60"/>
  <c r="E154" i="60"/>
  <c r="D154" i="60"/>
  <c r="K153" i="60"/>
  <c r="K152" i="58" s="1"/>
  <c r="J153" i="60"/>
  <c r="J152" i="58" s="1"/>
  <c r="I153" i="60"/>
  <c r="I152" i="58" s="1"/>
  <c r="H153" i="60"/>
  <c r="H152" i="58" s="1"/>
  <c r="G153" i="60"/>
  <c r="G152" i="58" s="1"/>
  <c r="F153" i="60"/>
  <c r="F152" i="58" s="1"/>
  <c r="E153" i="60"/>
  <c r="E152" i="58" s="1"/>
  <c r="D153" i="60"/>
  <c r="D152" i="58" s="1"/>
  <c r="J177" i="60"/>
  <c r="I177" i="60"/>
  <c r="G177" i="60"/>
  <c r="D177" i="60"/>
  <c r="K176" i="60"/>
  <c r="J176" i="60"/>
  <c r="H176" i="60"/>
  <c r="G176" i="60"/>
  <c r="F176" i="60"/>
  <c r="E176" i="60"/>
  <c r="D176" i="60"/>
  <c r="K175" i="60"/>
  <c r="J175" i="60"/>
  <c r="I175" i="60"/>
  <c r="H175" i="60"/>
  <c r="G175" i="60"/>
  <c r="F175" i="60"/>
  <c r="E175" i="60"/>
  <c r="D175" i="60"/>
  <c r="K177" i="60"/>
  <c r="H177" i="60"/>
  <c r="F177" i="60"/>
  <c r="E177" i="60"/>
  <c r="I176" i="60"/>
  <c r="K76" i="58"/>
  <c r="I76" i="58"/>
  <c r="G76" i="58"/>
  <c r="I102" i="58"/>
  <c r="H102" i="58"/>
  <c r="G102" i="58"/>
  <c r="D102" i="58"/>
  <c r="J124" i="58"/>
  <c r="I124" i="58"/>
  <c r="H124" i="58"/>
  <c r="G124" i="58"/>
  <c r="F124" i="58"/>
  <c r="E124" i="58"/>
  <c r="J123" i="58"/>
  <c r="I123" i="58"/>
  <c r="H123" i="58"/>
  <c r="G123" i="58"/>
  <c r="F123" i="58"/>
  <c r="D123" i="58"/>
  <c r="J122" i="58"/>
  <c r="J125" i="58" s="1"/>
  <c r="I122" i="58"/>
  <c r="I125" i="58" s="1"/>
  <c r="H122" i="58"/>
  <c r="H125" i="58" s="1"/>
  <c r="G93" i="58"/>
  <c r="F122" i="58"/>
  <c r="F125" i="58" s="1"/>
  <c r="E93" i="58"/>
  <c r="D93" i="58"/>
  <c r="K141" i="60"/>
  <c r="J141" i="60"/>
  <c r="I141" i="60"/>
  <c r="I87" i="58" s="1"/>
  <c r="H141" i="60"/>
  <c r="H87" i="58" s="1"/>
  <c r="G141" i="60"/>
  <c r="G87" i="58" s="1"/>
  <c r="F141" i="60"/>
  <c r="E141" i="60"/>
  <c r="E87" i="58" s="1"/>
  <c r="D141" i="60"/>
  <c r="B134" i="60"/>
  <c r="B133" i="60"/>
  <c r="B132" i="60"/>
  <c r="K145" i="60"/>
  <c r="J145" i="60"/>
  <c r="I145" i="60"/>
  <c r="G145" i="60"/>
  <c r="F145" i="60"/>
  <c r="E145" i="60"/>
  <c r="D145" i="60"/>
  <c r="K92" i="58"/>
  <c r="G92" i="58"/>
  <c r="E92" i="58"/>
  <c r="I111" i="58"/>
  <c r="I112" i="58" s="1"/>
  <c r="H111" i="58"/>
  <c r="H112" i="58" s="1"/>
  <c r="F111" i="58"/>
  <c r="F112" i="58" s="1"/>
  <c r="E111" i="58"/>
  <c r="E112" i="58" s="1"/>
  <c r="D111" i="58"/>
  <c r="D112" i="58" s="1"/>
  <c r="K90" i="58"/>
  <c r="J90" i="58"/>
  <c r="I90" i="58"/>
  <c r="F90" i="58"/>
  <c r="K89" i="58"/>
  <c r="J89" i="58"/>
  <c r="I89" i="58"/>
  <c r="E89" i="58"/>
  <c r="D89" i="58"/>
  <c r="J88" i="58"/>
  <c r="H88" i="58"/>
  <c r="G88" i="58"/>
  <c r="F88" i="58"/>
  <c r="E88" i="58"/>
  <c r="D88" i="58"/>
  <c r="I86" i="58"/>
  <c r="E86" i="58"/>
  <c r="K85" i="58"/>
  <c r="J85" i="58"/>
  <c r="I85" i="58"/>
  <c r="H85" i="58"/>
  <c r="F85" i="58"/>
  <c r="E85" i="58"/>
  <c r="D85" i="58"/>
  <c r="K66" i="58"/>
  <c r="J166" i="60"/>
  <c r="J75" i="58" s="1"/>
  <c r="I66" i="58"/>
  <c r="H66" i="58"/>
  <c r="G66" i="58"/>
  <c r="E66" i="58"/>
  <c r="D66" i="58"/>
  <c r="K132" i="60"/>
  <c r="K212" i="58" s="1"/>
  <c r="J132" i="60"/>
  <c r="H132" i="60"/>
  <c r="G132" i="60"/>
  <c r="F132" i="60"/>
  <c r="F125" i="60" s="1"/>
  <c r="E132" i="60"/>
  <c r="D132" i="60"/>
  <c r="J64" i="58"/>
  <c r="G64" i="58"/>
  <c r="F64" i="58"/>
  <c r="J62" i="58"/>
  <c r="I62" i="58"/>
  <c r="H62" i="58"/>
  <c r="G62" i="58"/>
  <c r="F62" i="58"/>
  <c r="D62" i="58"/>
  <c r="S45" i="60"/>
  <c r="L45" i="60"/>
  <c r="L44" i="60"/>
  <c r="J52" i="58"/>
  <c r="F52" i="58"/>
  <c r="N41" i="60"/>
  <c r="K51" i="58"/>
  <c r="G51" i="58"/>
  <c r="E51" i="58"/>
  <c r="N39" i="60"/>
  <c r="L37" i="60"/>
  <c r="L36" i="60"/>
  <c r="S32" i="60"/>
  <c r="G140" i="58"/>
  <c r="G142" i="58" s="1"/>
  <c r="E140" i="58"/>
  <c r="K33" i="60"/>
  <c r="S31" i="60"/>
  <c r="H33" i="60"/>
  <c r="G33" i="60"/>
  <c r="E33" i="60"/>
  <c r="D33" i="60"/>
  <c r="J199" i="58"/>
  <c r="I199" i="58"/>
  <c r="Q27" i="60"/>
  <c r="F199" i="58"/>
  <c r="E199" i="58"/>
  <c r="J195" i="58"/>
  <c r="I195" i="58"/>
  <c r="Q22" i="60"/>
  <c r="F195" i="58"/>
  <c r="E195" i="58"/>
  <c r="S21" i="60"/>
  <c r="Q21" i="60"/>
  <c r="J196" i="58"/>
  <c r="Q18" i="60"/>
  <c r="F196" i="58"/>
  <c r="E196" i="58"/>
  <c r="S17" i="60"/>
  <c r="G193" i="58"/>
  <c r="K24" i="60"/>
  <c r="K49" i="58" s="1"/>
  <c r="J192" i="58"/>
  <c r="I192" i="58"/>
  <c r="G192" i="58"/>
  <c r="F192" i="58"/>
  <c r="E192" i="58"/>
  <c r="S13" i="60"/>
  <c r="Q12" i="60"/>
  <c r="N12" i="60"/>
  <c r="J201" i="58"/>
  <c r="I201" i="58"/>
  <c r="Q8" i="60"/>
  <c r="F201" i="58"/>
  <c r="E201" i="58"/>
  <c r="K9" i="60"/>
  <c r="K138" i="58" s="1"/>
  <c r="S7" i="60"/>
  <c r="G9" i="60"/>
  <c r="G138" i="58" s="1"/>
  <c r="G137" i="58" s="1"/>
  <c r="U40" i="60"/>
  <c r="S36" i="60"/>
  <c r="Q44" i="60"/>
  <c r="L282" i="59"/>
  <c r="K282" i="59"/>
  <c r="J285" i="59"/>
  <c r="J286" i="59" s="1"/>
  <c r="I285" i="59"/>
  <c r="I286" i="59" s="1"/>
  <c r="H285" i="59"/>
  <c r="G285" i="59"/>
  <c r="F285" i="59"/>
  <c r="E285" i="59"/>
  <c r="D81" i="57"/>
  <c r="J161" i="57"/>
  <c r="F161" i="57"/>
  <c r="I169" i="57"/>
  <c r="I170" i="57" s="1"/>
  <c r="H169" i="57"/>
  <c r="H170" i="57" s="1"/>
  <c r="F169" i="57"/>
  <c r="F170" i="57" s="1"/>
  <c r="E169" i="57"/>
  <c r="E170" i="57" s="1"/>
  <c r="D169" i="57"/>
  <c r="D170" i="57" s="1"/>
  <c r="K157" i="57"/>
  <c r="J157" i="57"/>
  <c r="I157" i="57"/>
  <c r="H157" i="57"/>
  <c r="G157" i="57"/>
  <c r="E157" i="57"/>
  <c r="K159" i="57"/>
  <c r="J159" i="57"/>
  <c r="I159" i="57"/>
  <c r="G159" i="57"/>
  <c r="F159" i="57"/>
  <c r="E159" i="57"/>
  <c r="D159" i="57"/>
  <c r="K156" i="57"/>
  <c r="I156" i="57"/>
  <c r="H156" i="57"/>
  <c r="G156" i="57"/>
  <c r="F156" i="57"/>
  <c r="E156" i="57"/>
  <c r="D156" i="57"/>
  <c r="K155" i="57"/>
  <c r="I155" i="57"/>
  <c r="H155" i="57"/>
  <c r="G155" i="57"/>
  <c r="F155" i="57"/>
  <c r="E155" i="57"/>
  <c r="J158" i="57"/>
  <c r="F158" i="57"/>
  <c r="K153" i="57"/>
  <c r="J153" i="57"/>
  <c r="I153" i="57"/>
  <c r="H153" i="57"/>
  <c r="F153" i="57"/>
  <c r="E153" i="57"/>
  <c r="K154" i="57"/>
  <c r="I154" i="57"/>
  <c r="H154" i="57"/>
  <c r="E154" i="57"/>
  <c r="D154" i="57"/>
  <c r="L200" i="59"/>
  <c r="K200" i="59"/>
  <c r="I200" i="59"/>
  <c r="L199" i="59"/>
  <c r="K199" i="59"/>
  <c r="J199" i="59"/>
  <c r="I199" i="59"/>
  <c r="F199" i="59"/>
  <c r="E199" i="59"/>
  <c r="L198" i="59"/>
  <c r="K198" i="59"/>
  <c r="J198" i="59"/>
  <c r="H198" i="59"/>
  <c r="G198" i="59"/>
  <c r="F198" i="59"/>
  <c r="E198" i="59"/>
  <c r="J200" i="59"/>
  <c r="H200" i="59"/>
  <c r="G200" i="59"/>
  <c r="F200" i="59"/>
  <c r="E200" i="59"/>
  <c r="H199" i="59"/>
  <c r="G199" i="59"/>
  <c r="A199" i="59"/>
  <c r="A200" i="59" s="1"/>
  <c r="I198" i="59"/>
  <c r="L194" i="59"/>
  <c r="K210" i="57" s="1"/>
  <c r="K194" i="59"/>
  <c r="J194" i="59"/>
  <c r="I210" i="57" s="1"/>
  <c r="I194" i="59"/>
  <c r="H210" i="57" s="1"/>
  <c r="H194" i="59"/>
  <c r="G210" i="57" s="1"/>
  <c r="G194" i="59"/>
  <c r="F194" i="59"/>
  <c r="E194" i="59"/>
  <c r="D210" i="57" s="1"/>
  <c r="K84" i="57"/>
  <c r="H84" i="57"/>
  <c r="G84" i="57"/>
  <c r="D84" i="57"/>
  <c r="J144" i="57"/>
  <c r="J143" i="57"/>
  <c r="J141" i="57"/>
  <c r="J145" i="57" s="1"/>
  <c r="L173" i="59"/>
  <c r="K100" i="57" s="1"/>
  <c r="K173" i="59"/>
  <c r="J100" i="57" s="1"/>
  <c r="J173" i="59"/>
  <c r="I173" i="59"/>
  <c r="H100" i="57" s="1"/>
  <c r="H173" i="59"/>
  <c r="G100" i="57" s="1"/>
  <c r="G173" i="59"/>
  <c r="F173" i="59"/>
  <c r="E173" i="59"/>
  <c r="D100" i="57" s="1"/>
  <c r="L163" i="59"/>
  <c r="K163" i="59"/>
  <c r="K165" i="59" s="1"/>
  <c r="K170" i="59" s="1"/>
  <c r="J163" i="59"/>
  <c r="I163" i="59"/>
  <c r="H163" i="59"/>
  <c r="H165" i="59" s="1"/>
  <c r="G163" i="59"/>
  <c r="G165" i="59" s="1"/>
  <c r="G170" i="59" s="1"/>
  <c r="F163" i="59"/>
  <c r="E163" i="59"/>
  <c r="C158" i="59"/>
  <c r="C157" i="59"/>
  <c r="C156" i="59"/>
  <c r="K102" i="57"/>
  <c r="J102" i="57"/>
  <c r="H102" i="57"/>
  <c r="F102" i="57"/>
  <c r="D102" i="57"/>
  <c r="H98" i="57"/>
  <c r="D98" i="57"/>
  <c r="K97" i="57"/>
  <c r="J97" i="57"/>
  <c r="H97" i="57"/>
  <c r="F97" i="57"/>
  <c r="D97" i="57"/>
  <c r="K96" i="57"/>
  <c r="G96" i="57"/>
  <c r="D96" i="57"/>
  <c r="E99" i="57"/>
  <c r="D99" i="57"/>
  <c r="I99" i="57"/>
  <c r="F99" i="57"/>
  <c r="J94" i="57"/>
  <c r="H94" i="57"/>
  <c r="F94" i="57"/>
  <c r="D94" i="57"/>
  <c r="K93" i="57"/>
  <c r="H93" i="57"/>
  <c r="G93" i="57"/>
  <c r="I75" i="57"/>
  <c r="H75" i="57"/>
  <c r="D75" i="57"/>
  <c r="L157" i="59"/>
  <c r="K204" i="57" s="1"/>
  <c r="J74" i="57"/>
  <c r="I74" i="57"/>
  <c r="H157" i="59"/>
  <c r="G204" i="57" s="1"/>
  <c r="E74" i="57"/>
  <c r="J73" i="57"/>
  <c r="I156" i="59"/>
  <c r="H203" i="57" s="1"/>
  <c r="F73" i="57"/>
  <c r="E156" i="59"/>
  <c r="D203" i="57" s="1"/>
  <c r="H72" i="57"/>
  <c r="E72" i="57"/>
  <c r="D72" i="57"/>
  <c r="I70" i="57"/>
  <c r="E70" i="57"/>
  <c r="K60" i="57"/>
  <c r="H60" i="57"/>
  <c r="D60" i="57"/>
  <c r="K59" i="57"/>
  <c r="J59" i="57"/>
  <c r="H59" i="57"/>
  <c r="F59" i="57"/>
  <c r="D59" i="57"/>
  <c r="H58" i="57"/>
  <c r="F58" i="57"/>
  <c r="D58" i="57"/>
  <c r="G59" i="57"/>
  <c r="M37" i="59"/>
  <c r="V36" i="59"/>
  <c r="M36" i="59"/>
  <c r="E130" i="57"/>
  <c r="D130" i="57"/>
  <c r="D132" i="57" s="1"/>
  <c r="E131" i="57"/>
  <c r="D131" i="57"/>
  <c r="H188" i="57"/>
  <c r="E188" i="57"/>
  <c r="D188" i="57"/>
  <c r="I184" i="57"/>
  <c r="S22" i="59"/>
  <c r="E184" i="57"/>
  <c r="O22" i="59"/>
  <c r="I183" i="57"/>
  <c r="H183" i="57"/>
  <c r="F183" i="57"/>
  <c r="P21" i="59"/>
  <c r="I185" i="57"/>
  <c r="E185" i="57"/>
  <c r="I182" i="57"/>
  <c r="S17" i="59"/>
  <c r="O17" i="59"/>
  <c r="K181" i="57"/>
  <c r="I181" i="57"/>
  <c r="E181" i="57"/>
  <c r="D181" i="57"/>
  <c r="G192" i="57"/>
  <c r="E192" i="57"/>
  <c r="K191" i="57"/>
  <c r="I191" i="57"/>
  <c r="S12" i="59"/>
  <c r="G191" i="57"/>
  <c r="E191" i="57"/>
  <c r="O12" i="59"/>
  <c r="I190" i="57"/>
  <c r="E190" i="57"/>
  <c r="J193" i="57"/>
  <c r="S7" i="59"/>
  <c r="F193" i="57"/>
  <c r="U36" i="59"/>
  <c r="R8" i="59"/>
  <c r="P36" i="59"/>
  <c r="K211" i="58"/>
  <c r="J211" i="58"/>
  <c r="I211" i="58"/>
  <c r="H211" i="58"/>
  <c r="G211" i="58"/>
  <c r="F211" i="58"/>
  <c r="E211" i="58"/>
  <c r="K202" i="58"/>
  <c r="K201" i="58"/>
  <c r="K199" i="58"/>
  <c r="G199" i="58"/>
  <c r="K196" i="58"/>
  <c r="I196" i="58"/>
  <c r="K195" i="58"/>
  <c r="K194" i="58"/>
  <c r="G194" i="58"/>
  <c r="K193" i="58"/>
  <c r="K192" i="58"/>
  <c r="J179" i="58"/>
  <c r="J180" i="58" s="1"/>
  <c r="J172" i="58"/>
  <c r="F172" i="58"/>
  <c r="F170" i="58"/>
  <c r="J169" i="58"/>
  <c r="J167" i="58"/>
  <c r="F167" i="58"/>
  <c r="H165" i="58"/>
  <c r="H155" i="58"/>
  <c r="D155" i="58"/>
  <c r="K153" i="58"/>
  <c r="J153" i="58"/>
  <c r="I153" i="58"/>
  <c r="H153" i="58"/>
  <c r="G153" i="58"/>
  <c r="F153" i="58"/>
  <c r="E153" i="58"/>
  <c r="K141" i="58"/>
  <c r="J141" i="58"/>
  <c r="H141" i="58"/>
  <c r="G141" i="58"/>
  <c r="F141" i="58"/>
  <c r="D141" i="58"/>
  <c r="K140" i="58"/>
  <c r="J140" i="58"/>
  <c r="J142" i="58" s="1"/>
  <c r="H140" i="58"/>
  <c r="F140" i="58"/>
  <c r="D140" i="58"/>
  <c r="L136" i="58"/>
  <c r="L135" i="58"/>
  <c r="L134" i="58"/>
  <c r="K124" i="58"/>
  <c r="D124" i="58"/>
  <c r="K123" i="58"/>
  <c r="E123" i="58"/>
  <c r="K122" i="58"/>
  <c r="G122" i="58"/>
  <c r="E122" i="58"/>
  <c r="D122" i="58"/>
  <c r="J111" i="58"/>
  <c r="J112" i="58" s="1"/>
  <c r="G111" i="58"/>
  <c r="G112" i="58" s="1"/>
  <c r="J103" i="58"/>
  <c r="G103" i="58"/>
  <c r="K102" i="58"/>
  <c r="J102" i="58"/>
  <c r="F102" i="58"/>
  <c r="E102" i="58"/>
  <c r="K93" i="58"/>
  <c r="J93" i="58"/>
  <c r="F93" i="58"/>
  <c r="J92" i="58"/>
  <c r="I92" i="58"/>
  <c r="H92" i="58"/>
  <c r="F92" i="58"/>
  <c r="D92" i="58"/>
  <c r="I91" i="58"/>
  <c r="E91" i="58"/>
  <c r="H90" i="58"/>
  <c r="G90" i="58"/>
  <c r="E90" i="58"/>
  <c r="D90" i="58"/>
  <c r="H89" i="58"/>
  <c r="G89" i="58"/>
  <c r="F89" i="58"/>
  <c r="K88" i="58"/>
  <c r="I88" i="58"/>
  <c r="K87" i="58"/>
  <c r="J87" i="58"/>
  <c r="F87" i="58"/>
  <c r="D87" i="58"/>
  <c r="K86" i="58"/>
  <c r="J86" i="58"/>
  <c r="H86" i="58"/>
  <c r="G86" i="58"/>
  <c r="F86" i="58"/>
  <c r="D86" i="58"/>
  <c r="G85" i="58"/>
  <c r="J76" i="58"/>
  <c r="H76" i="58"/>
  <c r="F76" i="58"/>
  <c r="E76" i="58"/>
  <c r="D76" i="58"/>
  <c r="J68" i="58"/>
  <c r="F66" i="58"/>
  <c r="K64" i="58"/>
  <c r="I64" i="58"/>
  <c r="H64" i="58"/>
  <c r="E64" i="58"/>
  <c r="D64" i="58"/>
  <c r="K63" i="58"/>
  <c r="J63" i="58"/>
  <c r="I63" i="58"/>
  <c r="H63" i="58"/>
  <c r="G63" i="58"/>
  <c r="G65" i="58" s="1"/>
  <c r="F63" i="58"/>
  <c r="E63" i="58"/>
  <c r="E65" i="58" s="1"/>
  <c r="K62" i="58"/>
  <c r="E62" i="58"/>
  <c r="K52" i="58"/>
  <c r="I52" i="58"/>
  <c r="H52" i="58"/>
  <c r="G52" i="58"/>
  <c r="E52" i="58"/>
  <c r="D52" i="58"/>
  <c r="H51" i="58"/>
  <c r="H53" i="58" s="1"/>
  <c r="F51" i="58"/>
  <c r="F53" i="58" s="1"/>
  <c r="L47" i="58"/>
  <c r="L46" i="58"/>
  <c r="L45" i="58"/>
  <c r="J210" i="57"/>
  <c r="F210" i="57"/>
  <c r="E210" i="57"/>
  <c r="K209" i="57"/>
  <c r="J209" i="57"/>
  <c r="I209" i="57"/>
  <c r="H209" i="57"/>
  <c r="G209" i="57"/>
  <c r="F209" i="57"/>
  <c r="E209" i="57"/>
  <c r="D209" i="57"/>
  <c r="K193" i="57"/>
  <c r="H193" i="57"/>
  <c r="G193" i="57"/>
  <c r="K192" i="57"/>
  <c r="I192" i="57"/>
  <c r="J191" i="57"/>
  <c r="F191" i="57"/>
  <c r="G190" i="57"/>
  <c r="K188" i="57"/>
  <c r="J188" i="57"/>
  <c r="I188" i="57"/>
  <c r="G188" i="57"/>
  <c r="F188" i="57"/>
  <c r="K185" i="57"/>
  <c r="J185" i="57"/>
  <c r="H185" i="57"/>
  <c r="G185" i="57"/>
  <c r="F185" i="57"/>
  <c r="D185" i="57"/>
  <c r="K184" i="57"/>
  <c r="G184" i="57"/>
  <c r="K183" i="57"/>
  <c r="G183" i="57"/>
  <c r="K182" i="57"/>
  <c r="G182" i="57"/>
  <c r="F182" i="57"/>
  <c r="E182" i="57"/>
  <c r="H181" i="57"/>
  <c r="J169" i="57"/>
  <c r="J170" i="57" s="1"/>
  <c r="G169" i="57"/>
  <c r="G170" i="57" s="1"/>
  <c r="K161" i="57"/>
  <c r="I161" i="57"/>
  <c r="H161" i="57"/>
  <c r="G161" i="57"/>
  <c r="E161" i="57"/>
  <c r="D161" i="57"/>
  <c r="H159" i="57"/>
  <c r="F157" i="57"/>
  <c r="D157" i="57"/>
  <c r="J156" i="57"/>
  <c r="J155" i="57"/>
  <c r="D155" i="57"/>
  <c r="J154" i="57"/>
  <c r="G154" i="57"/>
  <c r="F154" i="57"/>
  <c r="G153" i="57"/>
  <c r="D153" i="57"/>
  <c r="F145" i="57"/>
  <c r="K144" i="57"/>
  <c r="I144" i="57"/>
  <c r="H144" i="57"/>
  <c r="G144" i="57"/>
  <c r="F144" i="57"/>
  <c r="E144" i="57"/>
  <c r="D144" i="57"/>
  <c r="K143" i="57"/>
  <c r="I143" i="57"/>
  <c r="H143" i="57"/>
  <c r="G143" i="57"/>
  <c r="F143" i="57"/>
  <c r="E143" i="57"/>
  <c r="D143" i="57"/>
  <c r="K141" i="57"/>
  <c r="K145" i="57" s="1"/>
  <c r="I141" i="57"/>
  <c r="H141" i="57"/>
  <c r="H145" i="57" s="1"/>
  <c r="G141" i="57"/>
  <c r="G145" i="57" s="1"/>
  <c r="F141" i="57"/>
  <c r="E141" i="57"/>
  <c r="E145" i="57" s="1"/>
  <c r="D141" i="57"/>
  <c r="K131" i="57"/>
  <c r="J131" i="57"/>
  <c r="I131" i="57"/>
  <c r="H131" i="57"/>
  <c r="G131" i="57"/>
  <c r="F131" i="57"/>
  <c r="K130" i="57"/>
  <c r="K132" i="57" s="1"/>
  <c r="J130" i="57"/>
  <c r="J132" i="57" s="1"/>
  <c r="I130" i="57"/>
  <c r="H130" i="57"/>
  <c r="H132" i="57" s="1"/>
  <c r="G130" i="57"/>
  <c r="G132" i="57" s="1"/>
  <c r="F130" i="57"/>
  <c r="F132" i="57" s="1"/>
  <c r="L126" i="57"/>
  <c r="L125" i="57"/>
  <c r="L124" i="57"/>
  <c r="I111" i="57"/>
  <c r="J111" i="57"/>
  <c r="H111" i="57"/>
  <c r="G111" i="57"/>
  <c r="F111" i="57"/>
  <c r="E111" i="57"/>
  <c r="D111" i="57"/>
  <c r="I102" i="57"/>
  <c r="G102" i="57"/>
  <c r="E102" i="57"/>
  <c r="I100" i="57"/>
  <c r="F100" i="57"/>
  <c r="E100" i="57"/>
  <c r="K99" i="57"/>
  <c r="J99" i="57"/>
  <c r="G99" i="57"/>
  <c r="K98" i="57"/>
  <c r="J98" i="57"/>
  <c r="I98" i="57"/>
  <c r="G98" i="57"/>
  <c r="F98" i="57"/>
  <c r="E98" i="57"/>
  <c r="I97" i="57"/>
  <c r="G97" i="57"/>
  <c r="E97" i="57"/>
  <c r="J96" i="57"/>
  <c r="I96" i="57"/>
  <c r="H96" i="57"/>
  <c r="F96" i="57"/>
  <c r="E96" i="57"/>
  <c r="K94" i="57"/>
  <c r="I94" i="57"/>
  <c r="G94" i="57"/>
  <c r="E94" i="57"/>
  <c r="J93" i="57"/>
  <c r="I93" i="57"/>
  <c r="F93" i="57"/>
  <c r="E93" i="57"/>
  <c r="D93" i="57"/>
  <c r="J84" i="57"/>
  <c r="I84" i="57"/>
  <c r="F84" i="57"/>
  <c r="E84" i="57"/>
  <c r="K75" i="57"/>
  <c r="J75" i="57"/>
  <c r="G75" i="57"/>
  <c r="F75" i="57"/>
  <c r="E75" i="57"/>
  <c r="K74" i="57"/>
  <c r="H74" i="57"/>
  <c r="G74" i="57"/>
  <c r="F74" i="57"/>
  <c r="D74" i="57"/>
  <c r="K73" i="57"/>
  <c r="I73" i="57"/>
  <c r="H73" i="57"/>
  <c r="G73" i="57"/>
  <c r="E73" i="57"/>
  <c r="D73" i="57"/>
  <c r="K72" i="57"/>
  <c r="J72" i="57"/>
  <c r="I72" i="57"/>
  <c r="G72" i="57"/>
  <c r="F72" i="57"/>
  <c r="K71" i="57"/>
  <c r="J71" i="57"/>
  <c r="I71" i="57"/>
  <c r="H71" i="57"/>
  <c r="G71" i="57"/>
  <c r="F71" i="57"/>
  <c r="E71" i="57"/>
  <c r="K70" i="57"/>
  <c r="J70" i="57"/>
  <c r="H70" i="57"/>
  <c r="G70" i="57"/>
  <c r="F70" i="57"/>
  <c r="D70" i="57"/>
  <c r="J60" i="57"/>
  <c r="F60" i="57"/>
  <c r="J58" i="57"/>
  <c r="G58" i="57"/>
  <c r="K54" i="57"/>
  <c r="J54" i="57"/>
  <c r="I54" i="57"/>
  <c r="H54" i="57"/>
  <c r="G54" i="57"/>
  <c r="F54" i="57"/>
  <c r="E54" i="57"/>
  <c r="D54" i="57"/>
  <c r="L53" i="57"/>
  <c r="L52" i="57"/>
  <c r="L51" i="57"/>
  <c r="G201" i="58" l="1"/>
  <c r="Q16" i="59"/>
  <c r="Q17" i="59"/>
  <c r="R12" i="60"/>
  <c r="R13" i="60"/>
  <c r="G195" i="58"/>
  <c r="R16" i="59"/>
  <c r="R22" i="59"/>
  <c r="R27" i="59"/>
  <c r="D158" i="57"/>
  <c r="D82" i="57"/>
  <c r="D68" i="58"/>
  <c r="H99" i="57"/>
  <c r="K160" i="57"/>
  <c r="G158" i="57"/>
  <c r="G160" i="57" s="1"/>
  <c r="T13" i="60"/>
  <c r="I145" i="57"/>
  <c r="D145" i="57"/>
  <c r="J61" i="57"/>
  <c r="D51" i="58"/>
  <c r="G196" i="58"/>
  <c r="E286" i="59"/>
  <c r="U8" i="60"/>
  <c r="U12" i="60"/>
  <c r="U18" i="60"/>
  <c r="U22" i="60"/>
  <c r="U27" i="60"/>
  <c r="R39" i="60"/>
  <c r="R41" i="60"/>
  <c r="G125" i="60"/>
  <c r="K285" i="55"/>
  <c r="J66" i="58"/>
  <c r="U16" i="59"/>
  <c r="U17" i="59"/>
  <c r="S39" i="60"/>
  <c r="G202" i="58"/>
  <c r="K65" i="58"/>
  <c r="K67" i="58" s="1"/>
  <c r="K103" i="58"/>
  <c r="O7" i="59"/>
  <c r="V27" i="59"/>
  <c r="R43" i="59"/>
  <c r="I157" i="59"/>
  <c r="H158" i="57"/>
  <c r="O13" i="60"/>
  <c r="H68" i="58"/>
  <c r="G173" i="58"/>
  <c r="G182" i="58" s="1"/>
  <c r="K171" i="58"/>
  <c r="K173" i="58" s="1"/>
  <c r="K158" i="57"/>
  <c r="P13" i="60"/>
  <c r="J125" i="60"/>
  <c r="G24" i="60"/>
  <c r="G49" i="58" s="1"/>
  <c r="G48" i="58" s="1"/>
  <c r="H170" i="59"/>
  <c r="G95" i="57"/>
  <c r="I93" i="58"/>
  <c r="I94" i="58" s="1"/>
  <c r="I100" i="58" s="1"/>
  <c r="I104" i="58" s="1"/>
  <c r="I114" i="58" s="1"/>
  <c r="O48" i="59"/>
  <c r="G53" i="58"/>
  <c r="K53" i="58"/>
  <c r="E67" i="58"/>
  <c r="F142" i="58"/>
  <c r="K142" i="58"/>
  <c r="E125" i="58"/>
  <c r="J51" i="58"/>
  <c r="J53" i="58" s="1"/>
  <c r="K125" i="58"/>
  <c r="I202" i="58"/>
  <c r="E165" i="59"/>
  <c r="E170" i="59" s="1"/>
  <c r="I165" i="59"/>
  <c r="I170" i="59" s="1"/>
  <c r="D125" i="60"/>
  <c r="H125" i="60"/>
  <c r="K91" i="58"/>
  <c r="D211" i="58"/>
  <c r="D212" i="58" s="1"/>
  <c r="L285" i="55"/>
  <c r="L286" i="55" s="1"/>
  <c r="D173" i="58"/>
  <c r="D182" i="58" s="1"/>
  <c r="D154" i="58"/>
  <c r="D156" i="58" s="1"/>
  <c r="J160" i="57"/>
  <c r="J172" i="57" s="1"/>
  <c r="F61" i="57"/>
  <c r="D125" i="58"/>
  <c r="H145" i="60"/>
  <c r="H150" i="60" s="1"/>
  <c r="H103" i="58"/>
  <c r="H95" i="57"/>
  <c r="F181" i="57"/>
  <c r="J181" i="57"/>
  <c r="E183" i="57"/>
  <c r="D184" i="57"/>
  <c r="H184" i="57"/>
  <c r="D193" i="57"/>
  <c r="D63" i="58"/>
  <c r="D65" i="58" s="1"/>
  <c r="H65" i="58"/>
  <c r="H67" i="58" s="1"/>
  <c r="Q41" i="59"/>
  <c r="F9" i="59"/>
  <c r="E128" i="57" s="1"/>
  <c r="E127" i="57" s="1"/>
  <c r="E193" i="57"/>
  <c r="J9" i="59"/>
  <c r="I128" i="57" s="1"/>
  <c r="I127" i="57" s="1"/>
  <c r="I193" i="57"/>
  <c r="P13" i="59"/>
  <c r="I50" i="59"/>
  <c r="S43" i="59"/>
  <c r="O7" i="60"/>
  <c r="E202" i="58"/>
  <c r="O17" i="60"/>
  <c r="E193" i="58"/>
  <c r="O21" i="60"/>
  <c r="E194" i="58"/>
  <c r="D71" i="57"/>
  <c r="H160" i="57"/>
  <c r="G181" i="57"/>
  <c r="D53" i="58"/>
  <c r="I51" i="58"/>
  <c r="D73" i="58"/>
  <c r="H93" i="58"/>
  <c r="D103" i="58"/>
  <c r="G125" i="58"/>
  <c r="I194" i="58"/>
  <c r="P17" i="59"/>
  <c r="Q22" i="59"/>
  <c r="U22" i="59"/>
  <c r="U47" i="59"/>
  <c r="F147" i="60"/>
  <c r="J147" i="60"/>
  <c r="H171" i="58"/>
  <c r="H173" i="58" s="1"/>
  <c r="H182" i="58" s="1"/>
  <c r="H101" i="57"/>
  <c r="D95" i="57"/>
  <c r="D101" i="57" s="1"/>
  <c r="J182" i="57"/>
  <c r="F184" i="57"/>
  <c r="J184" i="57"/>
  <c r="F65" i="58"/>
  <c r="F67" i="58" s="1"/>
  <c r="J65" i="58"/>
  <c r="F103" i="58"/>
  <c r="I140" i="58"/>
  <c r="E141" i="58"/>
  <c r="E142" i="58" s="1"/>
  <c r="I141" i="58"/>
  <c r="I193" i="58"/>
  <c r="S46" i="59"/>
  <c r="V8" i="59"/>
  <c r="K190" i="57"/>
  <c r="F24" i="59"/>
  <c r="E56" i="57" s="1"/>
  <c r="O18" i="59"/>
  <c r="S18" i="59"/>
  <c r="O21" i="59"/>
  <c r="U48" i="59"/>
  <c r="H204" i="57"/>
  <c r="L165" i="59"/>
  <c r="F68" i="58"/>
  <c r="F154" i="58"/>
  <c r="J154" i="58"/>
  <c r="J156" i="58" s="1"/>
  <c r="H212" i="58"/>
  <c r="Q7" i="59"/>
  <c r="W7" i="59" s="1"/>
  <c r="U7" i="59"/>
  <c r="Q18" i="59"/>
  <c r="U18" i="59"/>
  <c r="R31" i="59"/>
  <c r="V31" i="59"/>
  <c r="E155" i="59"/>
  <c r="H156" i="59"/>
  <c r="G82" i="57" s="1"/>
  <c r="L156" i="59"/>
  <c r="K82" i="57" s="1"/>
  <c r="O41" i="60"/>
  <c r="S41" i="60"/>
  <c r="L13" i="60"/>
  <c r="D47" i="60"/>
  <c r="E125" i="60"/>
  <c r="D133" i="60"/>
  <c r="D213" i="58" s="1"/>
  <c r="H133" i="60"/>
  <c r="H213" i="58" s="1"/>
  <c r="D91" i="58"/>
  <c r="D94" i="58" s="1"/>
  <c r="H91" i="58"/>
  <c r="G91" i="58"/>
  <c r="G94" i="58" s="1"/>
  <c r="G100" i="58" s="1"/>
  <c r="G104" i="58" s="1"/>
  <c r="G114" i="58" s="1"/>
  <c r="K162" i="57"/>
  <c r="J133" i="60"/>
  <c r="J213" i="58" s="1"/>
  <c r="F91" i="58"/>
  <c r="F94" i="58" s="1"/>
  <c r="F100" i="58" s="1"/>
  <c r="F104" i="58" s="1"/>
  <c r="F114" i="58" s="1"/>
  <c r="J91" i="58"/>
  <c r="J94" i="58" s="1"/>
  <c r="J100" i="58" s="1"/>
  <c r="J104" i="58" s="1"/>
  <c r="J114" i="58" s="1"/>
  <c r="I133" i="60"/>
  <c r="E132" i="57"/>
  <c r="I132" i="57"/>
  <c r="I134" i="57" s="1"/>
  <c r="E53" i="58"/>
  <c r="I53" i="58"/>
  <c r="Q13" i="59"/>
  <c r="F192" i="57"/>
  <c r="U13" i="59"/>
  <c r="J192" i="57"/>
  <c r="D24" i="60"/>
  <c r="D49" i="58" s="1"/>
  <c r="D192" i="58"/>
  <c r="H24" i="60"/>
  <c r="H49" i="58" s="1"/>
  <c r="H48" i="58" s="1"/>
  <c r="H192" i="58"/>
  <c r="R17" i="60"/>
  <c r="H193" i="58"/>
  <c r="D61" i="57"/>
  <c r="H61" i="57"/>
  <c r="G60" i="57"/>
  <c r="G61" i="57" s="1"/>
  <c r="D160" i="57"/>
  <c r="D162" i="57" s="1"/>
  <c r="D182" i="57"/>
  <c r="H182" i="57"/>
  <c r="D183" i="57"/>
  <c r="L183" i="57" s="1"/>
  <c r="G67" i="58"/>
  <c r="K94" i="58"/>
  <c r="K100" i="58" s="1"/>
  <c r="O13" i="59"/>
  <c r="D192" i="57"/>
  <c r="S13" i="59"/>
  <c r="H192" i="57"/>
  <c r="P48" i="59"/>
  <c r="P17" i="60"/>
  <c r="F193" i="58"/>
  <c r="T17" i="60"/>
  <c r="J193" i="58"/>
  <c r="E155" i="58"/>
  <c r="I155" i="58"/>
  <c r="I213" i="58"/>
  <c r="E171" i="58"/>
  <c r="E173" i="58" s="1"/>
  <c r="E182" i="58" s="1"/>
  <c r="I171" i="58"/>
  <c r="I173" i="58" s="1"/>
  <c r="I182" i="58" s="1"/>
  <c r="F263" i="60"/>
  <c r="H82" i="57"/>
  <c r="G101" i="57"/>
  <c r="G103" i="57" s="1"/>
  <c r="L131" i="57"/>
  <c r="F160" i="57"/>
  <c r="F172" i="57" s="1"/>
  <c r="E103" i="58"/>
  <c r="I103" i="58"/>
  <c r="F155" i="58"/>
  <c r="Q8" i="59"/>
  <c r="F190" i="57"/>
  <c r="U8" i="59"/>
  <c r="J190" i="57"/>
  <c r="U21" i="59"/>
  <c r="J183" i="57"/>
  <c r="E50" i="59"/>
  <c r="E158" i="57"/>
  <c r="E160" i="57" s="1"/>
  <c r="I158" i="57"/>
  <c r="I160" i="57" s="1"/>
  <c r="D9" i="60"/>
  <c r="D138" i="58" s="1"/>
  <c r="D202" i="58"/>
  <c r="H9" i="60"/>
  <c r="H138" i="58" s="1"/>
  <c r="H137" i="58" s="1"/>
  <c r="R7" i="60"/>
  <c r="H202" i="58"/>
  <c r="N7" i="60"/>
  <c r="N9" i="60" s="1"/>
  <c r="J67" i="58"/>
  <c r="G212" i="58"/>
  <c r="K125" i="60"/>
  <c r="F133" i="60"/>
  <c r="F213" i="58" s="1"/>
  <c r="F166" i="60"/>
  <c r="F75" i="58" s="1"/>
  <c r="L88" i="58"/>
  <c r="E68" i="58"/>
  <c r="I68" i="58"/>
  <c r="L17" i="60"/>
  <c r="D193" i="58"/>
  <c r="N17" i="60"/>
  <c r="D142" i="58"/>
  <c r="H142" i="58"/>
  <c r="O8" i="59"/>
  <c r="O9" i="59" s="1"/>
  <c r="D190" i="57"/>
  <c r="S8" i="59"/>
  <c r="S9" i="59" s="1"/>
  <c r="H190" i="57"/>
  <c r="F33" i="59"/>
  <c r="P31" i="59"/>
  <c r="J33" i="59"/>
  <c r="T31" i="59"/>
  <c r="P46" i="59"/>
  <c r="E58" i="57"/>
  <c r="I58" i="57"/>
  <c r="T46" i="59"/>
  <c r="P7" i="60"/>
  <c r="F202" i="58"/>
  <c r="T7" i="60"/>
  <c r="J202" i="58"/>
  <c r="N22" i="60"/>
  <c r="D195" i="58"/>
  <c r="R22" i="60"/>
  <c r="H195" i="58"/>
  <c r="N27" i="60"/>
  <c r="D199" i="58"/>
  <c r="R27" i="60"/>
  <c r="H199" i="58"/>
  <c r="I132" i="60"/>
  <c r="I125" i="60" s="1"/>
  <c r="I65" i="58"/>
  <c r="I67" i="58" s="1"/>
  <c r="G131" i="60"/>
  <c r="Q131" i="60" s="1"/>
  <c r="G68" i="58"/>
  <c r="K131" i="60"/>
  <c r="U131" i="60" s="1"/>
  <c r="K68" i="58"/>
  <c r="L193" i="57"/>
  <c r="L89" i="58"/>
  <c r="L90" i="58"/>
  <c r="L92" i="58"/>
  <c r="L93" i="58"/>
  <c r="E212" i="58"/>
  <c r="T36" i="59"/>
  <c r="T37" i="59"/>
  <c r="P7" i="59"/>
  <c r="P12" i="59"/>
  <c r="T12" i="59"/>
  <c r="T13" i="59"/>
  <c r="T21" i="59"/>
  <c r="P32" i="59"/>
  <c r="T32" i="59"/>
  <c r="T47" i="59"/>
  <c r="E153" i="59"/>
  <c r="D76" i="57" s="1"/>
  <c r="I153" i="59"/>
  <c r="H76" i="57" s="1"/>
  <c r="N8" i="60"/>
  <c r="D201" i="58"/>
  <c r="R8" i="60"/>
  <c r="H201" i="58"/>
  <c r="N13" i="60"/>
  <c r="P21" i="60"/>
  <c r="F194" i="58"/>
  <c r="T21" i="60"/>
  <c r="J194" i="58"/>
  <c r="E47" i="60"/>
  <c r="O39" i="60"/>
  <c r="I47" i="60"/>
  <c r="L184" i="57"/>
  <c r="L185" i="57"/>
  <c r="L188" i="57"/>
  <c r="H154" i="58"/>
  <c r="H156" i="58" s="1"/>
  <c r="R37" i="59"/>
  <c r="R36" i="59"/>
  <c r="V18" i="59"/>
  <c r="V16" i="59"/>
  <c r="G9" i="59"/>
  <c r="F128" i="57" s="1"/>
  <c r="F127" i="57" s="1"/>
  <c r="V12" i="59"/>
  <c r="T17" i="59"/>
  <c r="R18" i="59"/>
  <c r="P27" i="59"/>
  <c r="T27" i="59"/>
  <c r="R32" i="59"/>
  <c r="R33" i="59" s="1"/>
  <c r="P37" i="59"/>
  <c r="G153" i="59"/>
  <c r="F76" i="57" s="1"/>
  <c r="K153" i="59"/>
  <c r="J76" i="57" s="1"/>
  <c r="F165" i="59"/>
  <c r="J165" i="59"/>
  <c r="J170" i="59" s="1"/>
  <c r="N18" i="60"/>
  <c r="D196" i="58"/>
  <c r="R18" i="60"/>
  <c r="H196" i="58"/>
  <c r="L21" i="60"/>
  <c r="D194" i="58"/>
  <c r="R21" i="60"/>
  <c r="H194" i="58"/>
  <c r="N21" i="60"/>
  <c r="G47" i="60"/>
  <c r="K47" i="60"/>
  <c r="G154" i="58"/>
  <c r="G156" i="58" s="1"/>
  <c r="K154" i="58"/>
  <c r="K156" i="58" s="1"/>
  <c r="F173" i="58"/>
  <c r="F182" i="58" s="1"/>
  <c r="J173" i="58"/>
  <c r="J182" i="58" s="1"/>
  <c r="F212" i="58"/>
  <c r="J212" i="58"/>
  <c r="T7" i="59"/>
  <c r="R13" i="59"/>
  <c r="V13" i="59"/>
  <c r="R17" i="59"/>
  <c r="V17" i="59"/>
  <c r="P18" i="59"/>
  <c r="T18" i="59"/>
  <c r="H57" i="59"/>
  <c r="H58" i="59" s="1"/>
  <c r="V21" i="59"/>
  <c r="P22" i="59"/>
  <c r="T22" i="59"/>
  <c r="O27" i="59"/>
  <c r="S27" i="59"/>
  <c r="Q31" i="59"/>
  <c r="U31" i="59"/>
  <c r="O32" i="59"/>
  <c r="S32" i="59"/>
  <c r="U42" i="59"/>
  <c r="O47" i="59"/>
  <c r="Q43" i="59"/>
  <c r="G156" i="59"/>
  <c r="K156" i="59"/>
  <c r="F153" i="59"/>
  <c r="E76" i="57" s="1"/>
  <c r="J153" i="59"/>
  <c r="I76" i="57" s="1"/>
  <c r="K144" i="58"/>
  <c r="K145" i="58" s="1"/>
  <c r="E166" i="60"/>
  <c r="E75" i="58" s="1"/>
  <c r="I166" i="60"/>
  <c r="I75" i="58" s="1"/>
  <c r="D131" i="60"/>
  <c r="N131" i="60" s="1"/>
  <c r="H131" i="60"/>
  <c r="G147" i="60"/>
  <c r="K147" i="60"/>
  <c r="E154" i="58"/>
  <c r="E156" i="58" s="1"/>
  <c r="I154" i="58"/>
  <c r="R7" i="59"/>
  <c r="R9" i="59" s="1"/>
  <c r="V7" i="59"/>
  <c r="P8" i="59"/>
  <c r="T8" i="59"/>
  <c r="Q12" i="59"/>
  <c r="U12" i="59"/>
  <c r="H53" i="59"/>
  <c r="H54" i="59" s="1"/>
  <c r="L53" i="59"/>
  <c r="L55" i="59" s="1"/>
  <c r="Q27" i="59"/>
  <c r="U27" i="59"/>
  <c r="O31" i="59"/>
  <c r="S31" i="59"/>
  <c r="S33" i="59" s="1"/>
  <c r="Q32" i="59"/>
  <c r="U32" i="59"/>
  <c r="M46" i="59"/>
  <c r="O46" i="59"/>
  <c r="H187" i="59"/>
  <c r="G83" i="57" s="1"/>
  <c r="L187" i="59"/>
  <c r="K83" i="57" s="1"/>
  <c r="H153" i="59"/>
  <c r="G76" i="57" s="1"/>
  <c r="L153" i="59"/>
  <c r="K76" i="57" s="1"/>
  <c r="S33" i="60"/>
  <c r="F131" i="60"/>
  <c r="P131" i="60" s="1"/>
  <c r="J131" i="60"/>
  <c r="J134" i="60" s="1"/>
  <c r="E133" i="60"/>
  <c r="E213" i="58" s="1"/>
  <c r="F162" i="57"/>
  <c r="H113" i="57"/>
  <c r="H103" i="57"/>
  <c r="L54" i="57"/>
  <c r="L132" i="57"/>
  <c r="L130" i="57"/>
  <c r="H162" i="57"/>
  <c r="H172" i="57"/>
  <c r="E55" i="57"/>
  <c r="K48" i="58"/>
  <c r="K55" i="58"/>
  <c r="L50" i="59"/>
  <c r="V41" i="59"/>
  <c r="G144" i="58"/>
  <c r="H94" i="58"/>
  <c r="H100" i="58" s="1"/>
  <c r="H104" i="58" s="1"/>
  <c r="H114" i="58" s="1"/>
  <c r="L85" i="58"/>
  <c r="V37" i="59"/>
  <c r="V47" i="59"/>
  <c r="U9" i="59"/>
  <c r="M8" i="59"/>
  <c r="E29" i="57" s="1"/>
  <c r="K9" i="59"/>
  <c r="J128" i="57" s="1"/>
  <c r="R12" i="59"/>
  <c r="E53" i="59"/>
  <c r="E24" i="59"/>
  <c r="D56" i="57" s="1"/>
  <c r="O16" i="59"/>
  <c r="I53" i="59"/>
  <c r="I24" i="59"/>
  <c r="H56" i="57" s="1"/>
  <c r="S16" i="59"/>
  <c r="M16" i="59"/>
  <c r="I57" i="59"/>
  <c r="V22" i="59"/>
  <c r="V32" i="59"/>
  <c r="V33" i="59" s="1"/>
  <c r="P41" i="59"/>
  <c r="R41" i="59"/>
  <c r="M42" i="59"/>
  <c r="V43" i="59"/>
  <c r="R47" i="59"/>
  <c r="T48" i="59"/>
  <c r="F95" i="57"/>
  <c r="F101" i="57" s="1"/>
  <c r="J95" i="57"/>
  <c r="J101" i="57" s="1"/>
  <c r="D191" i="57"/>
  <c r="H191" i="57"/>
  <c r="L52" i="58"/>
  <c r="E94" i="58"/>
  <c r="E100" i="58" s="1"/>
  <c r="E104" i="58" s="1"/>
  <c r="E114" i="58" s="1"/>
  <c r="L86" i="58"/>
  <c r="L87" i="58"/>
  <c r="K137" i="58"/>
  <c r="M18" i="59"/>
  <c r="E25" i="57" s="1"/>
  <c r="G24" i="59"/>
  <c r="F56" i="57" s="1"/>
  <c r="M27" i="59"/>
  <c r="E38" i="57" s="1"/>
  <c r="G33" i="59"/>
  <c r="H50" i="59"/>
  <c r="K53" i="59"/>
  <c r="E57" i="59"/>
  <c r="M12" i="59"/>
  <c r="E30" i="57" s="1"/>
  <c r="L54" i="59"/>
  <c r="K58" i="57"/>
  <c r="L140" i="58"/>
  <c r="G57" i="59"/>
  <c r="Q21" i="59"/>
  <c r="M22" i="59"/>
  <c r="E24" i="57" s="1"/>
  <c r="K24" i="59"/>
  <c r="J56" i="57" s="1"/>
  <c r="M32" i="59"/>
  <c r="K33" i="59"/>
  <c r="P47" i="59"/>
  <c r="K57" i="59"/>
  <c r="F187" i="59"/>
  <c r="E83" i="57" s="1"/>
  <c r="F157" i="59"/>
  <c r="E204" i="57" s="1"/>
  <c r="J187" i="59"/>
  <c r="I83" i="57" s="1"/>
  <c r="J157" i="59"/>
  <c r="I204" i="57" s="1"/>
  <c r="F148" i="59"/>
  <c r="J148" i="59"/>
  <c r="L192" i="58"/>
  <c r="E18" i="58" s="1"/>
  <c r="H9" i="59"/>
  <c r="G128" i="57" s="1"/>
  <c r="L9" i="59"/>
  <c r="K128" i="57" s="1"/>
  <c r="H24" i="59"/>
  <c r="G56" i="57" s="1"/>
  <c r="L24" i="59"/>
  <c r="K56" i="57" s="1"/>
  <c r="H33" i="59"/>
  <c r="L33" i="59"/>
  <c r="O36" i="59"/>
  <c r="S36" i="59"/>
  <c r="Q37" i="59"/>
  <c r="U37" i="59"/>
  <c r="S41" i="59"/>
  <c r="Q42" i="59"/>
  <c r="O43" i="59"/>
  <c r="U43" i="59"/>
  <c r="U46" i="59"/>
  <c r="Q47" i="59"/>
  <c r="Q48" i="59"/>
  <c r="G53" i="59"/>
  <c r="L57" i="59"/>
  <c r="E181" i="59"/>
  <c r="O155" i="59"/>
  <c r="G187" i="59"/>
  <c r="F83" i="57" s="1"/>
  <c r="G157" i="59"/>
  <c r="F204" i="57" s="1"/>
  <c r="K187" i="59"/>
  <c r="J83" i="57" s="1"/>
  <c r="K157" i="59"/>
  <c r="J204" i="57" s="1"/>
  <c r="I187" i="59"/>
  <c r="H83" i="57" s="1"/>
  <c r="M7" i="59"/>
  <c r="E9" i="59"/>
  <c r="D128" i="57" s="1"/>
  <c r="I9" i="59"/>
  <c r="H128" i="57" s="1"/>
  <c r="M13" i="59"/>
  <c r="E31" i="57" s="1"/>
  <c r="P16" i="59"/>
  <c r="T16" i="59"/>
  <c r="M17" i="59"/>
  <c r="E22" i="57" s="1"/>
  <c r="M21" i="59"/>
  <c r="R21" i="59"/>
  <c r="M31" i="59"/>
  <c r="M33" i="59" s="1"/>
  <c r="E33" i="59"/>
  <c r="I33" i="59"/>
  <c r="O41" i="59"/>
  <c r="U41" i="59"/>
  <c r="V42" i="59"/>
  <c r="S42" i="59"/>
  <c r="G50" i="59"/>
  <c r="K50" i="59"/>
  <c r="Q46" i="59"/>
  <c r="R48" i="59"/>
  <c r="V48" i="59"/>
  <c r="S48" i="59"/>
  <c r="F57" i="59"/>
  <c r="J57" i="59"/>
  <c r="S21" i="59"/>
  <c r="J24" i="59"/>
  <c r="I56" i="57" s="1"/>
  <c r="Q36" i="59"/>
  <c r="O37" i="59"/>
  <c r="S37" i="59"/>
  <c r="R42" i="59"/>
  <c r="O42" i="59"/>
  <c r="R46" i="59"/>
  <c r="V46" i="59"/>
  <c r="M47" i="59"/>
  <c r="S47" i="59"/>
  <c r="M48" i="59"/>
  <c r="F156" i="59"/>
  <c r="J156" i="59"/>
  <c r="E187" i="59"/>
  <c r="D83" i="57" s="1"/>
  <c r="E157" i="59"/>
  <c r="D204" i="57" s="1"/>
  <c r="M139" i="59"/>
  <c r="G148" i="59"/>
  <c r="K148" i="59"/>
  <c r="F286" i="59"/>
  <c r="D147" i="60"/>
  <c r="H147" i="60"/>
  <c r="H148" i="59"/>
  <c r="L148" i="59"/>
  <c r="G286" i="59"/>
  <c r="D150" i="60"/>
  <c r="E148" i="59"/>
  <c r="I148" i="59"/>
  <c r="H286" i="59"/>
  <c r="G282" i="59"/>
  <c r="G283" i="59"/>
  <c r="P44" i="60"/>
  <c r="P37" i="60"/>
  <c r="P45" i="60"/>
  <c r="P36" i="60"/>
  <c r="T44" i="60"/>
  <c r="T37" i="60"/>
  <c r="T45" i="60"/>
  <c r="T36" i="60"/>
  <c r="P8" i="60"/>
  <c r="T8" i="60"/>
  <c r="E9" i="60"/>
  <c r="E138" i="58" s="1"/>
  <c r="I9" i="60"/>
  <c r="I138" i="58" s="1"/>
  <c r="P12" i="60"/>
  <c r="T12" i="60"/>
  <c r="P16" i="60"/>
  <c r="T16" i="60"/>
  <c r="P18" i="60"/>
  <c r="T18" i="60"/>
  <c r="P22" i="60"/>
  <c r="T22" i="60"/>
  <c r="E24" i="60"/>
  <c r="E49" i="58" s="1"/>
  <c r="I24" i="60"/>
  <c r="I49" i="58" s="1"/>
  <c r="P27" i="60"/>
  <c r="T27" i="60"/>
  <c r="O31" i="60"/>
  <c r="P40" i="60"/>
  <c r="T40" i="60"/>
  <c r="G133" i="60"/>
  <c r="G213" i="58" s="1"/>
  <c r="G166" i="60"/>
  <c r="G75" i="58" s="1"/>
  <c r="K133" i="60"/>
  <c r="K213" i="58" s="1"/>
  <c r="K166" i="60"/>
  <c r="K75" i="58" s="1"/>
  <c r="E131" i="60"/>
  <c r="I131" i="60"/>
  <c r="H282" i="59"/>
  <c r="H283" i="59"/>
  <c r="Q45" i="60"/>
  <c r="Q41" i="60"/>
  <c r="Q39" i="60"/>
  <c r="Q36" i="60"/>
  <c r="U45" i="60"/>
  <c r="U41" i="60"/>
  <c r="U39" i="60"/>
  <c r="U36" i="60"/>
  <c r="L8" i="60"/>
  <c r="F9" i="60"/>
  <c r="F138" i="58" s="1"/>
  <c r="J9" i="60"/>
  <c r="J138" i="58" s="1"/>
  <c r="L12" i="60"/>
  <c r="L16" i="60"/>
  <c r="Q16" i="60"/>
  <c r="U16" i="60"/>
  <c r="L18" i="60"/>
  <c r="L22" i="60"/>
  <c r="F24" i="60"/>
  <c r="F49" i="58" s="1"/>
  <c r="J24" i="60"/>
  <c r="J49" i="58" s="1"/>
  <c r="L27" i="60"/>
  <c r="P31" i="60"/>
  <c r="F33" i="60"/>
  <c r="T31" i="60"/>
  <c r="J33" i="60"/>
  <c r="Q31" i="60"/>
  <c r="P32" i="60"/>
  <c r="T32" i="60"/>
  <c r="U44" i="60"/>
  <c r="E150" i="60"/>
  <c r="I150" i="60"/>
  <c r="D266" i="60"/>
  <c r="E282" i="59"/>
  <c r="E284" i="59" s="1"/>
  <c r="I282" i="59"/>
  <c r="E283" i="59"/>
  <c r="I283" i="59"/>
  <c r="N45" i="60"/>
  <c r="N36" i="60"/>
  <c r="N44" i="60"/>
  <c r="N37" i="60"/>
  <c r="R45" i="60"/>
  <c r="R36" i="60"/>
  <c r="R44" i="60"/>
  <c r="R37" i="60"/>
  <c r="N16" i="60"/>
  <c r="R16" i="60"/>
  <c r="U31" i="60"/>
  <c r="Q32" i="60"/>
  <c r="U32" i="60"/>
  <c r="Q37" i="60"/>
  <c r="F47" i="60"/>
  <c r="P39" i="60"/>
  <c r="J47" i="60"/>
  <c r="T39" i="60"/>
  <c r="N40" i="60"/>
  <c r="R40" i="60"/>
  <c r="L40" i="60"/>
  <c r="H47" i="60"/>
  <c r="D134" i="60"/>
  <c r="F150" i="60"/>
  <c r="J150" i="60"/>
  <c r="D264" i="60"/>
  <c r="E265" i="60" s="1"/>
  <c r="H266" i="60"/>
  <c r="F282" i="59"/>
  <c r="J282" i="59"/>
  <c r="J284" i="59" s="1"/>
  <c r="F283" i="59"/>
  <c r="J283" i="59"/>
  <c r="O44" i="60"/>
  <c r="O37" i="60"/>
  <c r="S44" i="60"/>
  <c r="S37" i="60"/>
  <c r="L7" i="60"/>
  <c r="Q7" i="60"/>
  <c r="Q9" i="60" s="1"/>
  <c r="U7" i="60"/>
  <c r="O8" i="60"/>
  <c r="O9" i="60" s="1"/>
  <c r="S8" i="60"/>
  <c r="S9" i="60" s="1"/>
  <c r="O12" i="60"/>
  <c r="S12" i="60"/>
  <c r="Q13" i="60"/>
  <c r="U13" i="60"/>
  <c r="O16" i="60"/>
  <c r="S16" i="60"/>
  <c r="Q17" i="60"/>
  <c r="U17" i="60"/>
  <c r="O18" i="60"/>
  <c r="S18" i="60"/>
  <c r="U21" i="60"/>
  <c r="O22" i="60"/>
  <c r="S22" i="60"/>
  <c r="O27" i="60"/>
  <c r="S27" i="60"/>
  <c r="N31" i="60"/>
  <c r="R31" i="60"/>
  <c r="L31" i="60"/>
  <c r="N32" i="60"/>
  <c r="R32" i="60"/>
  <c r="O32" i="60"/>
  <c r="O36" i="60"/>
  <c r="U37" i="60"/>
  <c r="O40" i="60"/>
  <c r="O47" i="60" s="1"/>
  <c r="S40" i="60"/>
  <c r="Q40" i="60"/>
  <c r="P41" i="60"/>
  <c r="T41" i="60"/>
  <c r="O45" i="60"/>
  <c r="E147" i="60"/>
  <c r="I147" i="60"/>
  <c r="G150" i="60"/>
  <c r="K150" i="60"/>
  <c r="I33" i="60"/>
  <c r="G263" i="60"/>
  <c r="E264" i="60"/>
  <c r="E266" i="60"/>
  <c r="I266" i="60"/>
  <c r="I267" i="60" s="1"/>
  <c r="L32" i="60"/>
  <c r="L39" i="60"/>
  <c r="L41" i="60"/>
  <c r="D166" i="60"/>
  <c r="D75" i="58" s="1"/>
  <c r="H166" i="60"/>
  <c r="H75" i="58" s="1"/>
  <c r="F264" i="60"/>
  <c r="G265" i="60" s="1"/>
  <c r="G162" i="57" l="1"/>
  <c r="G172" i="57"/>
  <c r="K171" i="57"/>
  <c r="L181" i="57"/>
  <c r="G159" i="60"/>
  <c r="U9" i="60"/>
  <c r="G284" i="59"/>
  <c r="L182" i="57"/>
  <c r="I142" i="58"/>
  <c r="H55" i="59"/>
  <c r="R47" i="60"/>
  <c r="W22" i="59"/>
  <c r="D24" i="57" s="1"/>
  <c r="O33" i="59"/>
  <c r="L192" i="57"/>
  <c r="K203" i="57"/>
  <c r="G203" i="57"/>
  <c r="U24" i="59"/>
  <c r="J286" i="55"/>
  <c r="N47" i="60"/>
  <c r="K104" i="58"/>
  <c r="K286" i="55"/>
  <c r="G55" i="58"/>
  <c r="J159" i="60"/>
  <c r="T159" i="60" s="1"/>
  <c r="H284" i="59"/>
  <c r="W46" i="59"/>
  <c r="L51" i="58"/>
  <c r="T41" i="59"/>
  <c r="H59" i="59"/>
  <c r="G113" i="57"/>
  <c r="W27" i="59"/>
  <c r="D38" i="57" s="1"/>
  <c r="V9" i="59"/>
  <c r="V24" i="59"/>
  <c r="L91" i="58"/>
  <c r="J53" i="59"/>
  <c r="J55" i="59" s="1"/>
  <c r="F134" i="57"/>
  <c r="P33" i="59"/>
  <c r="L193" i="58"/>
  <c r="E19" i="58" s="1"/>
  <c r="T131" i="60"/>
  <c r="V18" i="60"/>
  <c r="D22" i="58" s="1"/>
  <c r="D172" i="57"/>
  <c r="T9" i="60"/>
  <c r="P24" i="59"/>
  <c r="J162" i="57"/>
  <c r="I156" i="58"/>
  <c r="F156" i="58"/>
  <c r="D103" i="57"/>
  <c r="D113" i="57"/>
  <c r="E172" i="57"/>
  <c r="E162" i="57"/>
  <c r="H134" i="60"/>
  <c r="H160" i="60" s="1"/>
  <c r="V22" i="60"/>
  <c r="D21" i="58" s="1"/>
  <c r="L9" i="60"/>
  <c r="F134" i="60"/>
  <c r="F160" i="60" s="1"/>
  <c r="K159" i="60"/>
  <c r="U159" i="60" s="1"/>
  <c r="I95" i="57"/>
  <c r="I101" i="57" s="1"/>
  <c r="I103" i="57" s="1"/>
  <c r="H55" i="58"/>
  <c r="H197" i="58" s="1"/>
  <c r="H198" i="58" s="1"/>
  <c r="D67" i="58"/>
  <c r="T33" i="59"/>
  <c r="L142" i="58"/>
  <c r="W13" i="59"/>
  <c r="D31" i="57" s="1"/>
  <c r="L53" i="58"/>
  <c r="E134" i="57"/>
  <c r="E194" i="57" s="1"/>
  <c r="E195" i="57" s="1"/>
  <c r="D202" i="57"/>
  <c r="E40" i="57" s="1"/>
  <c r="D40" i="57" s="1"/>
  <c r="D80" i="57"/>
  <c r="F265" i="60"/>
  <c r="V12" i="60"/>
  <c r="P9" i="60"/>
  <c r="D85" i="57"/>
  <c r="R24" i="59"/>
  <c r="L141" i="58"/>
  <c r="L194" i="58"/>
  <c r="E20" i="58" s="1"/>
  <c r="L196" i="58"/>
  <c r="E22" i="58" s="1"/>
  <c r="W12" i="59"/>
  <c r="D30" i="57" s="1"/>
  <c r="W18" i="59"/>
  <c r="D25" i="57" s="1"/>
  <c r="L170" i="59"/>
  <c r="K95" i="57"/>
  <c r="K101" i="57" s="1"/>
  <c r="K103" i="57" s="1"/>
  <c r="Q33" i="60"/>
  <c r="O33" i="60"/>
  <c r="V27" i="60"/>
  <c r="D33" i="58" s="1"/>
  <c r="S47" i="60"/>
  <c r="W17" i="59"/>
  <c r="D22" i="57" s="1"/>
  <c r="I212" i="58"/>
  <c r="W31" i="59"/>
  <c r="L190" i="57"/>
  <c r="W8" i="59"/>
  <c r="D29" i="57" s="1"/>
  <c r="I162" i="57"/>
  <c r="I172" i="57"/>
  <c r="K173" i="57" s="1"/>
  <c r="L47" i="60"/>
  <c r="S24" i="60"/>
  <c r="L138" i="58"/>
  <c r="K203" i="58"/>
  <c r="K204" i="58" s="1"/>
  <c r="F72" i="58"/>
  <c r="F210" i="58"/>
  <c r="F214" i="58" s="1"/>
  <c r="U33" i="59"/>
  <c r="L201" i="58"/>
  <c r="E26" i="58" s="1"/>
  <c r="L199" i="58"/>
  <c r="E33" i="58" s="1"/>
  <c r="L195" i="58"/>
  <c r="E21" i="58" s="1"/>
  <c r="P43" i="59"/>
  <c r="E60" i="57"/>
  <c r="G134" i="60"/>
  <c r="Q134" i="60" s="1"/>
  <c r="R24" i="60"/>
  <c r="W48" i="59"/>
  <c r="W47" i="59"/>
  <c r="F53" i="59"/>
  <c r="F55" i="59" s="1"/>
  <c r="M41" i="59"/>
  <c r="Q9" i="59"/>
  <c r="K146" i="58"/>
  <c r="J203" i="57"/>
  <c r="J82" i="57"/>
  <c r="Q33" i="59"/>
  <c r="F170" i="59"/>
  <c r="E95" i="57"/>
  <c r="E101" i="57" s="1"/>
  <c r="K210" i="58"/>
  <c r="K214" i="58" s="1"/>
  <c r="E36" i="58" s="1"/>
  <c r="D36" i="58" s="1"/>
  <c r="K72" i="58"/>
  <c r="L202" i="58"/>
  <c r="E27" i="58" s="1"/>
  <c r="G64" i="57"/>
  <c r="H72" i="58"/>
  <c r="H210" i="58"/>
  <c r="H214" i="58" s="1"/>
  <c r="F203" i="57"/>
  <c r="F82" i="57"/>
  <c r="T9" i="59"/>
  <c r="D144" i="58"/>
  <c r="D137" i="58"/>
  <c r="D55" i="58"/>
  <c r="D48" i="58"/>
  <c r="H159" i="60"/>
  <c r="R162" i="60" s="1"/>
  <c r="R131" i="60"/>
  <c r="V41" i="60"/>
  <c r="V21" i="60"/>
  <c r="D20" i="58" s="1"/>
  <c r="V17" i="60"/>
  <c r="D19" i="58" s="1"/>
  <c r="V13" i="60"/>
  <c r="H267" i="60"/>
  <c r="F159" i="60"/>
  <c r="P159" i="60" s="1"/>
  <c r="Q24" i="60"/>
  <c r="K134" i="60"/>
  <c r="K160" i="60" s="1"/>
  <c r="U50" i="59"/>
  <c r="T24" i="59"/>
  <c r="Q50" i="59"/>
  <c r="W21" i="59"/>
  <c r="D23" i="57" s="1"/>
  <c r="M43" i="59"/>
  <c r="M53" i="59" s="1"/>
  <c r="J50" i="59"/>
  <c r="W32" i="59"/>
  <c r="W33" i="59" s="1"/>
  <c r="H144" i="58"/>
  <c r="H145" i="58" s="1"/>
  <c r="J210" i="58"/>
  <c r="J214" i="58" s="1"/>
  <c r="J72" i="58"/>
  <c r="D159" i="60"/>
  <c r="D210" i="58"/>
  <c r="D72" i="58"/>
  <c r="P9" i="59"/>
  <c r="G210" i="58"/>
  <c r="G214" i="58" s="1"/>
  <c r="G72" i="58"/>
  <c r="R9" i="60"/>
  <c r="J103" i="57"/>
  <c r="J113" i="57"/>
  <c r="T47" i="60"/>
  <c r="F137" i="58"/>
  <c r="F144" i="58"/>
  <c r="K55" i="57"/>
  <c r="F63" i="57"/>
  <c r="F186" i="57" s="1"/>
  <c r="F187" i="57" s="1"/>
  <c r="F55" i="57"/>
  <c r="M24" i="59"/>
  <c r="E21" i="57"/>
  <c r="V32" i="60"/>
  <c r="P33" i="60"/>
  <c r="L33" i="60"/>
  <c r="D160" i="60"/>
  <c r="N134" i="60"/>
  <c r="P47" i="60"/>
  <c r="V37" i="60"/>
  <c r="D267" i="60"/>
  <c r="J160" i="60"/>
  <c r="T134" i="60"/>
  <c r="I284" i="59"/>
  <c r="S131" i="60"/>
  <c r="I159" i="60"/>
  <c r="I134" i="60"/>
  <c r="I210" i="58"/>
  <c r="I72" i="58"/>
  <c r="E55" i="58"/>
  <c r="E48" i="58"/>
  <c r="F267" i="60"/>
  <c r="W37" i="59"/>
  <c r="D134" i="57"/>
  <c r="L128" i="57"/>
  <c r="D127" i="57"/>
  <c r="G264" i="60"/>
  <c r="E267" i="60"/>
  <c r="R33" i="60"/>
  <c r="O24" i="60"/>
  <c r="G267" i="60"/>
  <c r="V40" i="60"/>
  <c r="U33" i="60"/>
  <c r="V44" i="60"/>
  <c r="F284" i="59"/>
  <c r="T33" i="60"/>
  <c r="J55" i="58"/>
  <c r="J48" i="58"/>
  <c r="U24" i="60"/>
  <c r="J137" i="58"/>
  <c r="J144" i="58"/>
  <c r="U47" i="60"/>
  <c r="Q47" i="60"/>
  <c r="O131" i="60"/>
  <c r="E159" i="60"/>
  <c r="E134" i="60"/>
  <c r="E210" i="58"/>
  <c r="E214" i="58" s="1"/>
  <c r="E72" i="58"/>
  <c r="T24" i="60"/>
  <c r="I144" i="58"/>
  <c r="I137" i="58"/>
  <c r="V7" i="60"/>
  <c r="V8" i="60"/>
  <c r="D26" i="58" s="1"/>
  <c r="I203" i="57"/>
  <c r="I82" i="57"/>
  <c r="F58" i="59"/>
  <c r="F59" i="59"/>
  <c r="O50" i="59"/>
  <c r="W41" i="59"/>
  <c r="M9" i="59"/>
  <c r="E32" i="57"/>
  <c r="G134" i="57"/>
  <c r="G127" i="57"/>
  <c r="E59" i="57"/>
  <c r="P42" i="59"/>
  <c r="P50" i="59" s="1"/>
  <c r="Q24" i="59"/>
  <c r="K61" i="57"/>
  <c r="K63" i="57" s="1"/>
  <c r="K186" i="57" s="1"/>
  <c r="K187" i="57" s="1"/>
  <c r="L58" i="57"/>
  <c r="L191" i="57"/>
  <c r="G65" i="57"/>
  <c r="F50" i="59"/>
  <c r="I54" i="59"/>
  <c r="I55" i="59"/>
  <c r="V50" i="59"/>
  <c r="H57" i="58"/>
  <c r="H74" i="58" s="1"/>
  <c r="Q162" i="60"/>
  <c r="Q159" i="60"/>
  <c r="N33" i="60"/>
  <c r="V31" i="60"/>
  <c r="V36" i="60"/>
  <c r="F55" i="58"/>
  <c r="F48" i="58"/>
  <c r="P24" i="60"/>
  <c r="E203" i="57"/>
  <c r="E82" i="57"/>
  <c r="M57" i="59"/>
  <c r="E23" i="57"/>
  <c r="O184" i="59"/>
  <c r="O181" i="59"/>
  <c r="J63" i="57"/>
  <c r="J186" i="57" s="1"/>
  <c r="J187" i="57" s="1"/>
  <c r="J55" i="57"/>
  <c r="E58" i="59"/>
  <c r="E59" i="59"/>
  <c r="O24" i="59"/>
  <c r="W16" i="59"/>
  <c r="F194" i="57"/>
  <c r="F195" i="57" s="1"/>
  <c r="F136" i="57"/>
  <c r="F135" i="57"/>
  <c r="F103" i="57"/>
  <c r="F113" i="57"/>
  <c r="L49" i="58"/>
  <c r="R159" i="60"/>
  <c r="V16" i="60"/>
  <c r="N24" i="60"/>
  <c r="L24" i="60"/>
  <c r="U162" i="60"/>
  <c r="V39" i="60"/>
  <c r="I55" i="58"/>
  <c r="I48" i="58"/>
  <c r="H134" i="57"/>
  <c r="H127" i="57"/>
  <c r="L59" i="59"/>
  <c r="K65" i="57" s="1"/>
  <c r="L58" i="59"/>
  <c r="K64" i="57" s="1"/>
  <c r="S50" i="59"/>
  <c r="W36" i="59"/>
  <c r="G63" i="57"/>
  <c r="G186" i="57" s="1"/>
  <c r="G187" i="57" s="1"/>
  <c r="G55" i="57"/>
  <c r="W9" i="59"/>
  <c r="D32" i="57"/>
  <c r="K55" i="59"/>
  <c r="K54" i="59"/>
  <c r="F54" i="59"/>
  <c r="E64" i="57" s="1"/>
  <c r="R50" i="59"/>
  <c r="S24" i="59"/>
  <c r="L56" i="57"/>
  <c r="D55" i="57"/>
  <c r="D63" i="57"/>
  <c r="D100" i="58"/>
  <c r="D104" i="58" s="1"/>
  <c r="D114" i="58" s="1"/>
  <c r="L94" i="58"/>
  <c r="G146" i="58"/>
  <c r="G203" i="58"/>
  <c r="G204" i="58" s="1"/>
  <c r="G145" i="58"/>
  <c r="K112" i="57"/>
  <c r="E144" i="58"/>
  <c r="E137" i="58"/>
  <c r="I55" i="57"/>
  <c r="G59" i="59"/>
  <c r="G58" i="59"/>
  <c r="J54" i="59"/>
  <c r="T42" i="59"/>
  <c r="I59" i="57"/>
  <c r="J134" i="57"/>
  <c r="J127" i="57"/>
  <c r="K57" i="58"/>
  <c r="K74" i="58" s="1"/>
  <c r="K197" i="58"/>
  <c r="K198" i="58" s="1"/>
  <c r="K56" i="58"/>
  <c r="V45" i="60"/>
  <c r="P162" i="60"/>
  <c r="J58" i="59"/>
  <c r="J59" i="59"/>
  <c r="E158" i="59"/>
  <c r="G55" i="59"/>
  <c r="G54" i="59"/>
  <c r="K134" i="57"/>
  <c r="K127" i="57"/>
  <c r="K58" i="59"/>
  <c r="K59" i="59"/>
  <c r="T43" i="59"/>
  <c r="T50" i="59" s="1"/>
  <c r="I60" i="57"/>
  <c r="L60" i="57" s="1"/>
  <c r="I58" i="59"/>
  <c r="I59" i="59"/>
  <c r="H55" i="57"/>
  <c r="H63" i="57"/>
  <c r="H186" i="57" s="1"/>
  <c r="H187" i="57" s="1"/>
  <c r="E54" i="59"/>
  <c r="E55" i="59"/>
  <c r="E135" i="57"/>
  <c r="I194" i="57"/>
  <c r="I195" i="57" s="1"/>
  <c r="I136" i="57"/>
  <c r="I135" i="57"/>
  <c r="T162" i="60" l="1"/>
  <c r="G57" i="58"/>
  <c r="G74" i="58" s="1"/>
  <c r="G77" i="58" s="1"/>
  <c r="G197" i="58"/>
  <c r="G198" i="58" s="1"/>
  <c r="G56" i="58"/>
  <c r="F65" i="57"/>
  <c r="I113" i="57"/>
  <c r="H203" i="58"/>
  <c r="H204" i="58" s="1"/>
  <c r="H146" i="58"/>
  <c r="U134" i="60"/>
  <c r="I214" i="58"/>
  <c r="E136" i="57"/>
  <c r="K77" i="58"/>
  <c r="L159" i="60"/>
  <c r="R134" i="60"/>
  <c r="E65" i="57"/>
  <c r="P134" i="60"/>
  <c r="H56" i="58"/>
  <c r="G160" i="60"/>
  <c r="D205" i="57"/>
  <c r="D64" i="57"/>
  <c r="M50" i="59"/>
  <c r="L55" i="57"/>
  <c r="D214" i="58"/>
  <c r="E35" i="58"/>
  <c r="D35" i="58" s="1"/>
  <c r="L137" i="58"/>
  <c r="H65" i="57"/>
  <c r="N162" i="60"/>
  <c r="N159" i="60"/>
  <c r="D146" i="58"/>
  <c r="D203" i="58"/>
  <c r="D204" i="58" s="1"/>
  <c r="D145" i="58"/>
  <c r="W42" i="59"/>
  <c r="H77" i="58"/>
  <c r="D57" i="58"/>
  <c r="D74" i="58" s="1"/>
  <c r="D77" i="58" s="1"/>
  <c r="D197" i="58"/>
  <c r="D198" i="58" s="1"/>
  <c r="D56" i="58"/>
  <c r="E103" i="57"/>
  <c r="E113" i="57"/>
  <c r="V24" i="60"/>
  <c r="D18" i="58"/>
  <c r="M58" i="59"/>
  <c r="M59" i="59"/>
  <c r="E61" i="57"/>
  <c r="L59" i="57"/>
  <c r="E160" i="60"/>
  <c r="O134" i="60"/>
  <c r="D65" i="57"/>
  <c r="N162" i="59"/>
  <c r="O158" i="59"/>
  <c r="F155" i="59"/>
  <c r="E182" i="59"/>
  <c r="E159" i="59"/>
  <c r="D186" i="57"/>
  <c r="J65" i="57"/>
  <c r="I197" i="58"/>
  <c r="I198" i="58" s="1"/>
  <c r="I56" i="58"/>
  <c r="I57" i="58"/>
  <c r="I74" i="58" s="1"/>
  <c r="I77" i="58" s="1"/>
  <c r="V33" i="60"/>
  <c r="W43" i="59"/>
  <c r="H265" i="60"/>
  <c r="H264" i="60"/>
  <c r="N163" i="60"/>
  <c r="N160" i="60"/>
  <c r="M55" i="59"/>
  <c r="M54" i="59"/>
  <c r="K114" i="57"/>
  <c r="K135" i="57"/>
  <c r="K194" i="57"/>
  <c r="K195" i="57" s="1"/>
  <c r="K197" i="57" s="1"/>
  <c r="K136" i="57"/>
  <c r="I65" i="57"/>
  <c r="V47" i="60"/>
  <c r="I146" i="58"/>
  <c r="I145" i="58"/>
  <c r="I203" i="58"/>
  <c r="I204" i="58" s="1"/>
  <c r="Q163" i="60"/>
  <c r="Q160" i="60"/>
  <c r="F64" i="57"/>
  <c r="J194" i="57"/>
  <c r="J195" i="57" s="1"/>
  <c r="J197" i="57" s="1"/>
  <c r="J136" i="57"/>
  <c r="J135" i="57"/>
  <c r="I64" i="57"/>
  <c r="E146" i="58"/>
  <c r="E203" i="58"/>
  <c r="E145" i="58"/>
  <c r="L144" i="58"/>
  <c r="H194" i="57"/>
  <c r="H195" i="57" s="1"/>
  <c r="H197" i="57" s="1"/>
  <c r="H136" i="57"/>
  <c r="H135" i="57"/>
  <c r="W24" i="59"/>
  <c r="D21" i="57"/>
  <c r="F197" i="58"/>
  <c r="F198" i="58" s="1"/>
  <c r="F57" i="58"/>
  <c r="F74" i="58" s="1"/>
  <c r="F77" i="58" s="1"/>
  <c r="F56" i="58"/>
  <c r="H64" i="57"/>
  <c r="O162" i="60"/>
  <c r="O159" i="60"/>
  <c r="J146" i="58"/>
  <c r="J203" i="58"/>
  <c r="J204" i="58" s="1"/>
  <c r="J145" i="58"/>
  <c r="J197" i="58"/>
  <c r="J198" i="58" s="1"/>
  <c r="J57" i="58"/>
  <c r="J74" i="58" s="1"/>
  <c r="J77" i="58" s="1"/>
  <c r="J56" i="58"/>
  <c r="K113" i="58"/>
  <c r="K181" i="58"/>
  <c r="L48" i="58"/>
  <c r="I160" i="60"/>
  <c r="S134" i="60"/>
  <c r="F197" i="57"/>
  <c r="F146" i="58"/>
  <c r="F203" i="58"/>
  <c r="F204" i="58" s="1"/>
  <c r="F145" i="58"/>
  <c r="K183" i="58"/>
  <c r="L127" i="57"/>
  <c r="I61" i="57"/>
  <c r="I63" i="57" s="1"/>
  <c r="I186" i="57" s="1"/>
  <c r="I187" i="57" s="1"/>
  <c r="I197" i="57" s="1"/>
  <c r="U163" i="60"/>
  <c r="U160" i="60"/>
  <c r="L160" i="60"/>
  <c r="J64" i="57"/>
  <c r="P163" i="60"/>
  <c r="P160" i="60"/>
  <c r="G135" i="57"/>
  <c r="G136" i="57"/>
  <c r="G194" i="57"/>
  <c r="G195" i="57" s="1"/>
  <c r="G197" i="57" s="1"/>
  <c r="V9" i="60"/>
  <c r="D27" i="58"/>
  <c r="L134" i="57"/>
  <c r="D194" i="57"/>
  <c r="D136" i="57"/>
  <c r="D135" i="57"/>
  <c r="E197" i="58"/>
  <c r="E56" i="58"/>
  <c r="E57" i="58"/>
  <c r="L55" i="58"/>
  <c r="S162" i="60"/>
  <c r="S159" i="60"/>
  <c r="T163" i="60"/>
  <c r="T160" i="60"/>
  <c r="R163" i="60"/>
  <c r="R160" i="60"/>
  <c r="K115" i="58"/>
  <c r="W50" i="59" l="1"/>
  <c r="L136" i="57"/>
  <c r="L56" i="58"/>
  <c r="L64" i="57"/>
  <c r="L146" i="58"/>
  <c r="D33" i="57"/>
  <c r="D34" i="57" s="1"/>
  <c r="L194" i="57"/>
  <c r="E33" i="57" s="1"/>
  <c r="E34" i="57" s="1"/>
  <c r="D195" i="57"/>
  <c r="L195" i="57" s="1"/>
  <c r="F158" i="59"/>
  <c r="P155" i="59"/>
  <c r="F181" i="59"/>
  <c r="E202" i="57"/>
  <c r="E205" i="57" s="1"/>
  <c r="E80" i="57"/>
  <c r="E85" i="57" s="1"/>
  <c r="E74" i="58"/>
  <c r="E77" i="58" s="1"/>
  <c r="L57" i="58"/>
  <c r="L65" i="57"/>
  <c r="E198" i="58"/>
  <c r="L198" i="58" s="1"/>
  <c r="D23" i="58"/>
  <c r="D24" i="58" s="1"/>
  <c r="L197" i="58"/>
  <c r="E23" i="58" s="1"/>
  <c r="E24" i="58" s="1"/>
  <c r="L145" i="58"/>
  <c r="D187" i="57"/>
  <c r="O163" i="60"/>
  <c r="O160" i="60"/>
  <c r="O185" i="59"/>
  <c r="O182" i="59"/>
  <c r="L61" i="57"/>
  <c r="E63" i="57"/>
  <c r="L135" i="57"/>
  <c r="S163" i="60"/>
  <c r="S160" i="60"/>
  <c r="E204" i="58"/>
  <c r="L204" i="58" s="1"/>
  <c r="D28" i="58"/>
  <c r="D29" i="58" s="1"/>
  <c r="L203" i="58"/>
  <c r="E28" i="58" s="1"/>
  <c r="E29" i="58" s="1"/>
  <c r="I265" i="60"/>
  <c r="I264" i="60"/>
  <c r="E31" i="58" l="1"/>
  <c r="E186" i="57"/>
  <c r="L63" i="57"/>
  <c r="P184" i="59"/>
  <c r="P181" i="59"/>
  <c r="P158" i="59"/>
  <c r="F182" i="59"/>
  <c r="G155" i="59"/>
  <c r="F159" i="59"/>
  <c r="D31" i="58"/>
  <c r="D197" i="57"/>
  <c r="P185" i="59" l="1"/>
  <c r="P182" i="59"/>
  <c r="G181" i="59"/>
  <c r="Q155" i="59"/>
  <c r="F202" i="57"/>
  <c r="F205" i="57" s="1"/>
  <c r="F80" i="57"/>
  <c r="F85" i="57" s="1"/>
  <c r="G158" i="59"/>
  <c r="E187" i="57"/>
  <c r="L186" i="57"/>
  <c r="E26" i="57" s="1"/>
  <c r="E27" i="57" s="1"/>
  <c r="E36" i="57" s="1"/>
  <c r="D26" i="57"/>
  <c r="D27" i="57" s="1"/>
  <c r="D36" i="57" s="1"/>
  <c r="G182" i="59" l="1"/>
  <c r="H155" i="59"/>
  <c r="Q158" i="59"/>
  <c r="G159" i="59"/>
  <c r="Q184" i="59"/>
  <c r="Q181" i="59"/>
  <c r="E197" i="57"/>
  <c r="L197" i="57" s="1"/>
  <c r="L187" i="57"/>
  <c r="H181" i="59" l="1"/>
  <c r="R155" i="59"/>
  <c r="H158" i="59"/>
  <c r="G202" i="57"/>
  <c r="G205" i="57" s="1"/>
  <c r="G80" i="57"/>
  <c r="G85" i="57" s="1"/>
  <c r="Q185" i="59"/>
  <c r="Q182" i="59"/>
  <c r="H182" i="59" l="1"/>
  <c r="I155" i="59"/>
  <c r="R158" i="59"/>
  <c r="H159" i="59"/>
  <c r="R184" i="59"/>
  <c r="R181" i="59"/>
  <c r="I181" i="59" l="1"/>
  <c r="S155" i="59"/>
  <c r="I158" i="59"/>
  <c r="H80" i="57"/>
  <c r="H85" i="57" s="1"/>
  <c r="H202" i="57"/>
  <c r="H205" i="57" s="1"/>
  <c r="R185" i="59"/>
  <c r="R182" i="59"/>
  <c r="S158" i="59" l="1"/>
  <c r="J155" i="59"/>
  <c r="I182" i="59"/>
  <c r="I159" i="59"/>
  <c r="S181" i="59"/>
  <c r="S184" i="59"/>
  <c r="S185" i="59" l="1"/>
  <c r="S182" i="59"/>
  <c r="J158" i="59"/>
  <c r="J181" i="59"/>
  <c r="T155" i="59"/>
  <c r="I202" i="57"/>
  <c r="I205" i="57" s="1"/>
  <c r="I80" i="57"/>
  <c r="I85" i="57" s="1"/>
  <c r="T184" i="59" l="1"/>
  <c r="T181" i="59"/>
  <c r="T158" i="59"/>
  <c r="J182" i="59"/>
  <c r="K155" i="59"/>
  <c r="J159" i="59"/>
  <c r="T185" i="59" l="1"/>
  <c r="T182" i="59"/>
  <c r="K181" i="59"/>
  <c r="U155" i="59"/>
  <c r="K158" i="59"/>
  <c r="J202" i="57"/>
  <c r="J205" i="57" s="1"/>
  <c r="J80" i="57"/>
  <c r="J85" i="57" s="1"/>
  <c r="U184" i="59" l="1"/>
  <c r="U181" i="59"/>
  <c r="K182" i="59"/>
  <c r="L155" i="59"/>
  <c r="U158" i="59"/>
  <c r="K159" i="59"/>
  <c r="L181" i="59" l="1"/>
  <c r="V155" i="59"/>
  <c r="L158" i="59"/>
  <c r="K202" i="57"/>
  <c r="K205" i="57" s="1"/>
  <c r="E41" i="57" s="1"/>
  <c r="D41" i="57" s="1"/>
  <c r="K80" i="57"/>
  <c r="K85" i="57" s="1"/>
  <c r="U185" i="59"/>
  <c r="U182" i="59"/>
  <c r="L182" i="59" l="1"/>
  <c r="V158" i="59"/>
  <c r="L159" i="59"/>
  <c r="V184" i="59"/>
  <c r="V181" i="59"/>
  <c r="M181" i="59"/>
  <c r="V185" i="59" l="1"/>
  <c r="V182" i="59"/>
  <c r="M182" i="59"/>
  <c r="J263" i="56" l="1"/>
  <c r="K263" i="56"/>
  <c r="J266" i="56"/>
  <c r="K266" i="56" l="1"/>
  <c r="K267" i="56" s="1"/>
  <c r="J267" i="56"/>
  <c r="I267" i="56"/>
  <c r="J132" i="56" l="1"/>
  <c r="J133" i="56" l="1"/>
  <c r="H132" i="56"/>
  <c r="H131" i="56"/>
  <c r="I133" i="56"/>
  <c r="E132" i="56"/>
  <c r="F133" i="56"/>
  <c r="K33" i="56"/>
  <c r="K131" i="56"/>
  <c r="I132" i="56"/>
  <c r="G131" i="56"/>
  <c r="F132" i="56"/>
  <c r="J131" i="56"/>
  <c r="F131" i="56"/>
  <c r="L27" i="56"/>
  <c r="L16" i="56"/>
  <c r="D24" i="56"/>
  <c r="H133" i="56"/>
  <c r="I131" i="56"/>
  <c r="E131" i="56"/>
  <c r="D133" i="56"/>
  <c r="E133" i="56"/>
  <c r="K133" i="56"/>
  <c r="G133" i="56"/>
  <c r="K132" i="56"/>
  <c r="G132" i="56"/>
  <c r="K134" i="56" l="1"/>
  <c r="E263" i="56" l="1"/>
  <c r="E266" i="56"/>
  <c r="D263" i="56"/>
  <c r="D265" i="56" s="1"/>
  <c r="D264" i="56"/>
  <c r="D266" i="56"/>
  <c r="H263" i="56"/>
  <c r="H266" i="56"/>
  <c r="E265" i="56" l="1"/>
  <c r="G266" i="56"/>
  <c r="G263" i="56"/>
  <c r="F266" i="56"/>
  <c r="F263" i="56"/>
  <c r="E264" i="56"/>
  <c r="F265" i="56" l="1"/>
  <c r="F264" i="56"/>
  <c r="G265" i="56" l="1"/>
  <c r="G264" i="56"/>
  <c r="H265" i="56" l="1"/>
  <c r="H264" i="56"/>
  <c r="I264" i="56" l="1"/>
  <c r="I263" i="56"/>
  <c r="I265" i="56" s="1"/>
  <c r="I266" i="56"/>
  <c r="H267" i="56" l="1"/>
  <c r="D267" i="56"/>
  <c r="F267" i="56"/>
  <c r="G267" i="56"/>
  <c r="E267" i="56"/>
  <c r="J264" i="56"/>
  <c r="J265" i="56"/>
  <c r="K265" i="56" l="1"/>
  <c r="K264" i="56"/>
  <c r="J252" i="56" l="1"/>
  <c r="K252" i="56"/>
  <c r="I252" i="56"/>
  <c r="H252" i="56"/>
  <c r="G252" i="56"/>
  <c r="F252" i="56"/>
  <c r="E252" i="56"/>
  <c r="D252" i="56"/>
  <c r="A221" i="56"/>
  <c r="A222" i="56" s="1"/>
  <c r="A224" i="56" s="1"/>
  <c r="A225" i="56" s="1"/>
  <c r="A226" i="56" s="1"/>
  <c r="A227" i="56" s="1"/>
  <c r="A228" i="56" s="1"/>
  <c r="A229" i="56" s="1"/>
  <c r="A230" i="56" s="1"/>
  <c r="A231" i="56" s="1"/>
  <c r="A233" i="56" s="1"/>
  <c r="A234" i="56" s="1"/>
  <c r="A235" i="56" s="1"/>
  <c r="A236" i="56" s="1"/>
  <c r="A237" i="56" s="1"/>
  <c r="A238" i="56" s="1"/>
  <c r="A239" i="56" s="1"/>
  <c r="A240" i="56" s="1"/>
  <c r="A242" i="56" s="1"/>
  <c r="A243" i="56" s="1"/>
  <c r="A244" i="56" s="1"/>
  <c r="A245" i="56" s="1"/>
  <c r="A246" i="56" s="1"/>
  <c r="K155" i="56"/>
  <c r="J155" i="56"/>
  <c r="H155" i="56"/>
  <c r="G155" i="56"/>
  <c r="E155" i="56"/>
  <c r="D155" i="56"/>
  <c r="I154" i="56"/>
  <c r="H154" i="56"/>
  <c r="G154" i="56"/>
  <c r="F154" i="56"/>
  <c r="E154" i="56"/>
  <c r="K153" i="56"/>
  <c r="J153" i="56"/>
  <c r="H153" i="56"/>
  <c r="G153" i="56"/>
  <c r="E153" i="56"/>
  <c r="D153" i="56"/>
  <c r="K176" i="56"/>
  <c r="J176" i="56"/>
  <c r="I176" i="56"/>
  <c r="H176" i="56"/>
  <c r="F176" i="56"/>
  <c r="E176" i="56"/>
  <c r="D176" i="56"/>
  <c r="K175" i="56"/>
  <c r="J175" i="56"/>
  <c r="H175" i="56"/>
  <c r="G175" i="56"/>
  <c r="F175" i="56"/>
  <c r="E175" i="56"/>
  <c r="D175" i="56"/>
  <c r="K177" i="56"/>
  <c r="J177" i="56"/>
  <c r="I177" i="56"/>
  <c r="H177" i="56"/>
  <c r="G177" i="56"/>
  <c r="F177" i="56"/>
  <c r="E177" i="56"/>
  <c r="D177" i="56"/>
  <c r="G176" i="56"/>
  <c r="I175" i="56"/>
  <c r="K156" i="56"/>
  <c r="J156" i="56"/>
  <c r="I156" i="56"/>
  <c r="H156" i="56"/>
  <c r="G156" i="56"/>
  <c r="F156" i="56"/>
  <c r="E156" i="56"/>
  <c r="D156" i="56"/>
  <c r="I155" i="56"/>
  <c r="F155" i="56"/>
  <c r="K154" i="56"/>
  <c r="J154" i="56"/>
  <c r="D154" i="56"/>
  <c r="I153" i="56"/>
  <c r="F153" i="56"/>
  <c r="F145" i="56"/>
  <c r="F141" i="56"/>
  <c r="K141" i="56"/>
  <c r="J141" i="56"/>
  <c r="I141" i="56"/>
  <c r="H141" i="56"/>
  <c r="G141" i="56"/>
  <c r="E141" i="56"/>
  <c r="D141" i="56"/>
  <c r="B134" i="56"/>
  <c r="B133" i="56"/>
  <c r="B132" i="56"/>
  <c r="K145" i="56"/>
  <c r="J145" i="56"/>
  <c r="I145" i="56"/>
  <c r="H145" i="56"/>
  <c r="G145" i="56"/>
  <c r="E145" i="56"/>
  <c r="D145" i="56"/>
  <c r="D150" i="56" s="1"/>
  <c r="K166" i="56"/>
  <c r="K125" i="56"/>
  <c r="G125" i="56"/>
  <c r="E125" i="56"/>
  <c r="D132" i="56"/>
  <c r="L45" i="56"/>
  <c r="L44" i="56"/>
  <c r="G47" i="56"/>
  <c r="J47" i="56"/>
  <c r="F47" i="56"/>
  <c r="L37" i="56"/>
  <c r="L36" i="56"/>
  <c r="J33" i="56"/>
  <c r="I33" i="56"/>
  <c r="G33" i="56"/>
  <c r="F33" i="56"/>
  <c r="E33" i="56"/>
  <c r="G9" i="56"/>
  <c r="K9" i="56"/>
  <c r="I9" i="56"/>
  <c r="H9" i="56"/>
  <c r="E9" i="56"/>
  <c r="M139" i="55" l="1"/>
  <c r="D147" i="56"/>
  <c r="D131" i="56"/>
  <c r="F166" i="56"/>
  <c r="J166" i="56"/>
  <c r="L12" i="56"/>
  <c r="D125" i="56"/>
  <c r="H125" i="56"/>
  <c r="F147" i="56"/>
  <c r="F150" i="56"/>
  <c r="J150" i="56"/>
  <c r="K24" i="56"/>
  <c r="I125" i="56"/>
  <c r="H134" i="56"/>
  <c r="D166" i="56"/>
  <c r="H24" i="56"/>
  <c r="L18" i="56"/>
  <c r="D47" i="56"/>
  <c r="F125" i="56"/>
  <c r="J125" i="56"/>
  <c r="I166" i="56"/>
  <c r="H150" i="56"/>
  <c r="K159" i="56"/>
  <c r="E159" i="56"/>
  <c r="I147" i="56"/>
  <c r="I150" i="56"/>
  <c r="L7" i="56"/>
  <c r="D9" i="56"/>
  <c r="J9" i="56"/>
  <c r="L17" i="56"/>
  <c r="G24" i="56"/>
  <c r="L32" i="56"/>
  <c r="E166" i="56"/>
  <c r="E134" i="56"/>
  <c r="G166" i="56"/>
  <c r="F9" i="56"/>
  <c r="L13" i="56"/>
  <c r="E24" i="56"/>
  <c r="I24" i="56"/>
  <c r="I47" i="56"/>
  <c r="H147" i="56"/>
  <c r="E150" i="56"/>
  <c r="L8" i="56"/>
  <c r="L22" i="56"/>
  <c r="J24" i="56"/>
  <c r="E147" i="56"/>
  <c r="L21" i="56"/>
  <c r="F24" i="56"/>
  <c r="D33" i="56"/>
  <c r="H33" i="56"/>
  <c r="K47" i="56"/>
  <c r="L41" i="56"/>
  <c r="E47" i="56"/>
  <c r="H159" i="56"/>
  <c r="J147" i="56"/>
  <c r="G150" i="56"/>
  <c r="K150" i="56"/>
  <c r="H166" i="56"/>
  <c r="H47" i="56"/>
  <c r="L39" i="56"/>
  <c r="L40" i="56"/>
  <c r="G147" i="56"/>
  <c r="K147" i="56"/>
  <c r="L31" i="56"/>
  <c r="E173" i="55"/>
  <c r="E199" i="55"/>
  <c r="F199" i="55"/>
  <c r="G199" i="55"/>
  <c r="H199" i="55"/>
  <c r="I199" i="55"/>
  <c r="J199" i="55"/>
  <c r="K199" i="55"/>
  <c r="L199" i="55"/>
  <c r="E200" i="55"/>
  <c r="F200" i="55"/>
  <c r="G200" i="55"/>
  <c r="H200" i="55"/>
  <c r="J200" i="55"/>
  <c r="K200" i="55"/>
  <c r="L200" i="55"/>
  <c r="F198" i="55"/>
  <c r="G198" i="55"/>
  <c r="H198" i="55"/>
  <c r="I198" i="55"/>
  <c r="J198" i="55"/>
  <c r="K198" i="55"/>
  <c r="L198" i="55"/>
  <c r="E198" i="55"/>
  <c r="I200" i="55"/>
  <c r="A199" i="55"/>
  <c r="A200" i="55" s="1"/>
  <c r="J163" i="55"/>
  <c r="C158" i="55"/>
  <c r="C157" i="55"/>
  <c r="C156" i="55"/>
  <c r="M37" i="55"/>
  <c r="M36" i="55"/>
  <c r="J9" i="55"/>
  <c r="H156" i="55" l="1"/>
  <c r="E163" i="55"/>
  <c r="E165" i="55" s="1"/>
  <c r="E170" i="55" s="1"/>
  <c r="I163" i="55"/>
  <c r="I165" i="55" s="1"/>
  <c r="E194" i="55"/>
  <c r="F163" i="55"/>
  <c r="F165" i="55" s="1"/>
  <c r="L156" i="55"/>
  <c r="I194" i="55"/>
  <c r="F156" i="55"/>
  <c r="J156" i="55"/>
  <c r="L57" i="55"/>
  <c r="L58" i="55" s="1"/>
  <c r="L33" i="56"/>
  <c r="D134" i="56"/>
  <c r="K53" i="55"/>
  <c r="K55" i="55" s="1"/>
  <c r="H57" i="55"/>
  <c r="H58" i="55" s="1"/>
  <c r="I53" i="55"/>
  <c r="I54" i="55" s="1"/>
  <c r="E57" i="55"/>
  <c r="E59" i="55" s="1"/>
  <c r="J57" i="55"/>
  <c r="J58" i="55" s="1"/>
  <c r="F57" i="55"/>
  <c r="F58" i="55" s="1"/>
  <c r="L53" i="55"/>
  <c r="L54" i="55" s="1"/>
  <c r="H53" i="55"/>
  <c r="H54" i="55" s="1"/>
  <c r="I57" i="55"/>
  <c r="I58" i="55" s="1"/>
  <c r="F9" i="55"/>
  <c r="G53" i="55"/>
  <c r="G54" i="55" s="1"/>
  <c r="L163" i="55"/>
  <c r="L165" i="55" s="1"/>
  <c r="H163" i="55"/>
  <c r="H165" i="55" s="1"/>
  <c r="K163" i="55"/>
  <c r="K165" i="55" s="1"/>
  <c r="G163" i="55"/>
  <c r="G165" i="55" s="1"/>
  <c r="E53" i="55"/>
  <c r="E54" i="55" s="1"/>
  <c r="J53" i="55"/>
  <c r="J55" i="55" s="1"/>
  <c r="F53" i="55"/>
  <c r="F55" i="55" s="1"/>
  <c r="K57" i="55"/>
  <c r="K58" i="55" s="1"/>
  <c r="G57" i="55"/>
  <c r="G58" i="55" s="1"/>
  <c r="D159" i="56"/>
  <c r="L159" i="56" s="1"/>
  <c r="L47" i="56"/>
  <c r="K160" i="56"/>
  <c r="E160" i="56"/>
  <c r="F159" i="56"/>
  <c r="F134" i="56"/>
  <c r="H160" i="56"/>
  <c r="L24" i="56"/>
  <c r="L9" i="56"/>
  <c r="J159" i="56"/>
  <c r="J134" i="56"/>
  <c r="I159" i="56"/>
  <c r="I134" i="56"/>
  <c r="G159" i="56"/>
  <c r="G134" i="56"/>
  <c r="J50" i="55"/>
  <c r="F33" i="55"/>
  <c r="K194" i="55"/>
  <c r="G194" i="55"/>
  <c r="J194" i="55"/>
  <c r="F194" i="55"/>
  <c r="F50" i="55"/>
  <c r="J33" i="55"/>
  <c r="H24" i="55"/>
  <c r="E155" i="55"/>
  <c r="L24" i="55"/>
  <c r="H194" i="55"/>
  <c r="L194" i="55"/>
  <c r="H9" i="55"/>
  <c r="L9" i="55"/>
  <c r="H153" i="55"/>
  <c r="L153" i="55"/>
  <c r="H157" i="55"/>
  <c r="L157" i="55"/>
  <c r="E153" i="55"/>
  <c r="I153" i="55"/>
  <c r="F24" i="55"/>
  <c r="J24" i="55"/>
  <c r="H33" i="55"/>
  <c r="L33" i="55"/>
  <c r="H50" i="55"/>
  <c r="L50" i="55"/>
  <c r="E187" i="55"/>
  <c r="I187" i="55"/>
  <c r="F153" i="55"/>
  <c r="J153" i="55"/>
  <c r="J165" i="55"/>
  <c r="L187" i="55"/>
  <c r="M7" i="55"/>
  <c r="I9" i="55"/>
  <c r="M13" i="55"/>
  <c r="M21" i="55"/>
  <c r="M31" i="55"/>
  <c r="M46" i="55"/>
  <c r="G50" i="55"/>
  <c r="E9" i="55"/>
  <c r="M17" i="55"/>
  <c r="E24" i="55"/>
  <c r="E33" i="55"/>
  <c r="M42" i="55"/>
  <c r="M48" i="55"/>
  <c r="K50" i="55"/>
  <c r="G187" i="55"/>
  <c r="G157" i="55"/>
  <c r="K187" i="55"/>
  <c r="K157" i="55"/>
  <c r="G148" i="55"/>
  <c r="K148" i="55"/>
  <c r="E148" i="55"/>
  <c r="G153" i="55"/>
  <c r="K153" i="55"/>
  <c r="E157" i="55"/>
  <c r="G9" i="55"/>
  <c r="M12" i="55"/>
  <c r="M18" i="55"/>
  <c r="G24" i="55"/>
  <c r="M27" i="55"/>
  <c r="G33" i="55"/>
  <c r="M43" i="55"/>
  <c r="E50" i="55"/>
  <c r="I148" i="55"/>
  <c r="I157" i="55"/>
  <c r="I24" i="55"/>
  <c r="I33" i="55"/>
  <c r="M8" i="55"/>
  <c r="K9" i="55"/>
  <c r="M16" i="55"/>
  <c r="M22" i="55"/>
  <c r="K24" i="55"/>
  <c r="M32" i="55"/>
  <c r="K33" i="55"/>
  <c r="M41" i="55"/>
  <c r="M47" i="55"/>
  <c r="I50" i="55"/>
  <c r="G156" i="55"/>
  <c r="K156" i="55"/>
  <c r="F187" i="55"/>
  <c r="F157" i="55"/>
  <c r="J187" i="55"/>
  <c r="J157" i="55"/>
  <c r="E156" i="55"/>
  <c r="I156" i="55"/>
  <c r="H187" i="55"/>
  <c r="H148" i="55"/>
  <c r="L148" i="55"/>
  <c r="F148" i="55"/>
  <c r="J148" i="55"/>
  <c r="L59" i="55" l="1"/>
  <c r="K54" i="55"/>
  <c r="F54" i="55"/>
  <c r="G59" i="55"/>
  <c r="F59" i="55"/>
  <c r="J54" i="55"/>
  <c r="I59" i="55"/>
  <c r="I55" i="55"/>
  <c r="J59" i="55"/>
  <c r="H59" i="55"/>
  <c r="L55" i="55"/>
  <c r="E55" i="55"/>
  <c r="M53" i="55"/>
  <c r="K59" i="55"/>
  <c r="G55" i="55"/>
  <c r="E58" i="55"/>
  <c r="M57" i="55"/>
  <c r="H55" i="55"/>
  <c r="D160" i="56"/>
  <c r="L160" i="56" s="1"/>
  <c r="G160" i="56"/>
  <c r="J160" i="56"/>
  <c r="F160" i="56"/>
  <c r="I160" i="56"/>
  <c r="E181" i="55"/>
  <c r="M33" i="55"/>
  <c r="E158" i="55"/>
  <c r="M9" i="55"/>
  <c r="M50" i="55"/>
  <c r="M24" i="55"/>
  <c r="E159" i="55" l="1"/>
  <c r="N162" i="55"/>
  <c r="M58" i="55"/>
  <c r="M59" i="55"/>
  <c r="M54" i="55"/>
  <c r="M55" i="55"/>
  <c r="F155" i="55"/>
  <c r="F181" i="55" s="1"/>
  <c r="E182" i="55"/>
  <c r="F158" i="55" l="1"/>
  <c r="F182" i="55" s="1"/>
  <c r="F159" i="55" l="1"/>
  <c r="G155" i="55"/>
  <c r="G181" i="55"/>
  <c r="G158" i="55"/>
  <c r="H155" i="55" l="1"/>
  <c r="G182" i="55"/>
  <c r="G159" i="55"/>
  <c r="H158" i="55" l="1"/>
  <c r="H181" i="55"/>
  <c r="H182" i="55" l="1"/>
  <c r="I155" i="55"/>
  <c r="H159" i="55"/>
  <c r="I181" i="55" l="1"/>
  <c r="I158" i="55"/>
  <c r="J155" i="55" l="1"/>
  <c r="I182" i="55"/>
  <c r="I159" i="55"/>
  <c r="J181" i="55" l="1"/>
  <c r="J158" i="55"/>
  <c r="J182" i="55" l="1"/>
  <c r="K155" i="55"/>
  <c r="J159" i="55"/>
  <c r="K181" i="55" l="1"/>
  <c r="K158" i="55"/>
  <c r="L155" i="55" l="1"/>
  <c r="K182" i="55"/>
  <c r="K159" i="55"/>
  <c r="L181" i="55" l="1"/>
  <c r="L158" i="55"/>
  <c r="M181" i="55" l="1"/>
  <c r="L182" i="55"/>
  <c r="L159" i="55"/>
  <c r="M182" i="55" l="1"/>
  <c r="H93" i="27" l="1"/>
  <c r="H94" i="27" s="1"/>
  <c r="G93" i="27"/>
  <c r="F93" i="27"/>
  <c r="F94" i="27" s="1"/>
  <c r="E93" i="27"/>
  <c r="D93" i="27"/>
  <c r="E94" i="27" l="1"/>
  <c r="G94" i="27"/>
  <c r="D94" i="27"/>
  <c r="D104" i="26"/>
  <c r="H104" i="26"/>
  <c r="H105" i="26" s="1"/>
  <c r="F104" i="26" l="1"/>
  <c r="G104" i="26" l="1"/>
  <c r="F105" i="26" l="1"/>
  <c r="G105" i="26"/>
  <c r="E104" i="26"/>
  <c r="D105" i="26" l="1"/>
  <c r="E105" i="26"/>
  <c r="K134" i="26" l="1"/>
  <c r="J134" i="26"/>
  <c r="I134" i="26"/>
  <c r="H134" i="26"/>
  <c r="G134" i="26"/>
  <c r="F134" i="26"/>
  <c r="E134" i="26"/>
  <c r="D134" i="26"/>
  <c r="N120" i="26"/>
  <c r="M120" i="26"/>
  <c r="N114" i="26"/>
  <c r="M114" i="26"/>
  <c r="K44" i="26"/>
  <c r="J44" i="26"/>
  <c r="I44" i="26"/>
  <c r="H44" i="26"/>
  <c r="G44" i="26"/>
  <c r="F44" i="26"/>
  <c r="E44" i="26"/>
  <c r="D133" i="27" l="1"/>
  <c r="D49" i="27"/>
  <c r="K152" i="48" l="1"/>
  <c r="K166" i="27" s="1"/>
  <c r="K147" i="48"/>
  <c r="K161" i="27" s="1"/>
  <c r="K145" i="48"/>
  <c r="K159" i="27" s="1"/>
  <c r="K92" i="48"/>
  <c r="K105" i="27" s="1"/>
  <c r="K88" i="48"/>
  <c r="K101" i="27" s="1"/>
  <c r="K70" i="48"/>
  <c r="K68" i="27" s="1"/>
  <c r="F70" i="48"/>
  <c r="F68" i="27" s="1"/>
  <c r="J64" i="48"/>
  <c r="J62" i="27" s="1"/>
  <c r="F64" i="48"/>
  <c r="F62" i="27" s="1"/>
  <c r="J62" i="48"/>
  <c r="J60" i="27" s="1"/>
  <c r="F62" i="48"/>
  <c r="F60" i="27" s="1"/>
  <c r="J61" i="48"/>
  <c r="J58" i="27" s="1"/>
  <c r="F61" i="48"/>
  <c r="F58" i="27" s="1"/>
  <c r="J55" i="48"/>
  <c r="J52" i="27" s="1"/>
  <c r="F55" i="48"/>
  <c r="F52" i="27" s="1"/>
  <c r="K45" i="48"/>
  <c r="G45" i="48"/>
  <c r="K44" i="48"/>
  <c r="G44" i="48"/>
  <c r="K41" i="48"/>
  <c r="K48" i="48" s="1"/>
  <c r="AK48" i="48" s="1"/>
  <c r="G41" i="48"/>
  <c r="K40" i="48"/>
  <c r="K43" i="27" s="1"/>
  <c r="G40" i="48"/>
  <c r="G42" i="48" s="1"/>
  <c r="AG42" i="48" s="1"/>
  <c r="K33" i="48"/>
  <c r="K39" i="27" s="1"/>
  <c r="G33" i="48"/>
  <c r="G39" i="27" s="1"/>
  <c r="J152" i="48"/>
  <c r="J166" i="27" s="1"/>
  <c r="I152" i="48"/>
  <c r="I166" i="27" s="1"/>
  <c r="H152" i="48"/>
  <c r="H166" i="27" s="1"/>
  <c r="G152" i="48"/>
  <c r="G166" i="27" s="1"/>
  <c r="F152" i="48"/>
  <c r="F166" i="27" s="1"/>
  <c r="E152" i="48"/>
  <c r="E166" i="27" s="1"/>
  <c r="D152" i="48"/>
  <c r="D166" i="27" s="1"/>
  <c r="K148" i="48"/>
  <c r="K162" i="27" s="1"/>
  <c r="J148" i="48"/>
  <c r="J162" i="27" s="1"/>
  <c r="I148" i="48"/>
  <c r="I162" i="27" s="1"/>
  <c r="H148" i="48"/>
  <c r="H162" i="27" s="1"/>
  <c r="G148" i="48"/>
  <c r="G162" i="27" s="1"/>
  <c r="F148" i="48"/>
  <c r="F162" i="27" s="1"/>
  <c r="E148" i="48"/>
  <c r="E162" i="27" s="1"/>
  <c r="D148" i="48"/>
  <c r="D162" i="27" s="1"/>
  <c r="K150" i="48"/>
  <c r="K164" i="27" s="1"/>
  <c r="J150" i="48"/>
  <c r="J164" i="27" s="1"/>
  <c r="I150" i="48"/>
  <c r="I164" i="27" s="1"/>
  <c r="H150" i="48"/>
  <c r="H164" i="27" s="1"/>
  <c r="G150" i="48"/>
  <c r="G164" i="27" s="1"/>
  <c r="F150" i="48"/>
  <c r="F164" i="27" s="1"/>
  <c r="E150" i="48"/>
  <c r="E164" i="27" s="1"/>
  <c r="D150" i="48"/>
  <c r="D164" i="27" s="1"/>
  <c r="J147" i="48"/>
  <c r="J161" i="27" s="1"/>
  <c r="I147" i="48"/>
  <c r="I161" i="27" s="1"/>
  <c r="H147" i="48"/>
  <c r="H161" i="27" s="1"/>
  <c r="G147" i="48"/>
  <c r="G161" i="27" s="1"/>
  <c r="F147" i="48"/>
  <c r="F161" i="27" s="1"/>
  <c r="E147" i="48"/>
  <c r="E161" i="27" s="1"/>
  <c r="D147" i="48"/>
  <c r="D161" i="27" s="1"/>
  <c r="K146" i="48"/>
  <c r="K160" i="27" s="1"/>
  <c r="J146" i="48"/>
  <c r="J160" i="27" s="1"/>
  <c r="I146" i="48"/>
  <c r="H146" i="48"/>
  <c r="H160" i="27" s="1"/>
  <c r="G146" i="48"/>
  <c r="G160" i="27" s="1"/>
  <c r="F146" i="48"/>
  <c r="F160" i="27" s="1"/>
  <c r="E146" i="48"/>
  <c r="D146" i="48"/>
  <c r="D160" i="27" s="1"/>
  <c r="I149" i="48"/>
  <c r="I163" i="27" s="1"/>
  <c r="G149" i="48"/>
  <c r="G163" i="27" s="1"/>
  <c r="E149" i="48"/>
  <c r="E163" i="27" s="1"/>
  <c r="K149" i="48"/>
  <c r="K163" i="27" s="1"/>
  <c r="J145" i="48"/>
  <c r="J159" i="27" s="1"/>
  <c r="I145" i="48"/>
  <c r="I159" i="27" s="1"/>
  <c r="H145" i="48"/>
  <c r="H159" i="27" s="1"/>
  <c r="G145" i="48"/>
  <c r="G159" i="27" s="1"/>
  <c r="F145" i="48"/>
  <c r="F159" i="27" s="1"/>
  <c r="E145" i="48"/>
  <c r="E159" i="27" s="1"/>
  <c r="D145" i="48"/>
  <c r="D159" i="27" s="1"/>
  <c r="K144" i="48"/>
  <c r="K158" i="27" s="1"/>
  <c r="J144" i="48"/>
  <c r="J158" i="27" s="1"/>
  <c r="I144" i="48"/>
  <c r="I158" i="27" s="1"/>
  <c r="H144" i="48"/>
  <c r="H158" i="27" s="1"/>
  <c r="G144" i="48"/>
  <c r="G158" i="27" s="1"/>
  <c r="F144" i="48"/>
  <c r="F158" i="27" s="1"/>
  <c r="E144" i="48"/>
  <c r="E158" i="27" s="1"/>
  <c r="D144" i="48"/>
  <c r="D158" i="27" s="1"/>
  <c r="I179" i="49"/>
  <c r="I138" i="48" s="1"/>
  <c r="I153" i="27" s="1"/>
  <c r="H179" i="49"/>
  <c r="H138" i="48" s="1"/>
  <c r="H153" i="27" s="1"/>
  <c r="E179" i="49"/>
  <c r="E138" i="48" s="1"/>
  <c r="E153" i="27" s="1"/>
  <c r="D179" i="49"/>
  <c r="D138" i="48" s="1"/>
  <c r="D153" i="27" s="1"/>
  <c r="K178" i="49"/>
  <c r="K139" i="48" s="1"/>
  <c r="K154" i="27" s="1"/>
  <c r="J178" i="49"/>
  <c r="J139" i="48" s="1"/>
  <c r="J154" i="27" s="1"/>
  <c r="I178" i="49"/>
  <c r="I139" i="48" s="1"/>
  <c r="I154" i="27" s="1"/>
  <c r="G178" i="49"/>
  <c r="G139" i="48" s="1"/>
  <c r="F178" i="49"/>
  <c r="F139" i="48" s="1"/>
  <c r="F154" i="27" s="1"/>
  <c r="E178" i="49"/>
  <c r="E139" i="48" s="1"/>
  <c r="E154" i="27" s="1"/>
  <c r="D178" i="49"/>
  <c r="D139" i="48" s="1"/>
  <c r="D154" i="27" s="1"/>
  <c r="K180" i="49"/>
  <c r="J180" i="49"/>
  <c r="I180" i="49"/>
  <c r="H180" i="49"/>
  <c r="G180" i="49"/>
  <c r="F180" i="49"/>
  <c r="E180" i="49"/>
  <c r="D180" i="49"/>
  <c r="K179" i="49"/>
  <c r="K138" i="48" s="1"/>
  <c r="J179" i="49"/>
  <c r="J138" i="48" s="1"/>
  <c r="J153" i="27" s="1"/>
  <c r="G179" i="49"/>
  <c r="G138" i="48" s="1"/>
  <c r="G153" i="27" s="1"/>
  <c r="F179" i="49"/>
  <c r="F138" i="48" s="1"/>
  <c r="F153" i="27" s="1"/>
  <c r="A179" i="49"/>
  <c r="A180" i="49" s="1"/>
  <c r="H178" i="49"/>
  <c r="H139" i="48" s="1"/>
  <c r="H154" i="27" s="1"/>
  <c r="K174" i="49"/>
  <c r="K114" i="48" s="1"/>
  <c r="K127" i="27" s="1"/>
  <c r="H174" i="49"/>
  <c r="H114" i="48" s="1"/>
  <c r="H127" i="27" s="1"/>
  <c r="G174" i="49"/>
  <c r="G114" i="48" s="1"/>
  <c r="G127" i="27" s="1"/>
  <c r="J174" i="49"/>
  <c r="J114" i="48" s="1"/>
  <c r="J127" i="27" s="1"/>
  <c r="I174" i="49"/>
  <c r="I114" i="48" s="1"/>
  <c r="I127" i="27" s="1"/>
  <c r="F174" i="49"/>
  <c r="F114" i="48" s="1"/>
  <c r="F127" i="27" s="1"/>
  <c r="E174" i="49"/>
  <c r="E114" i="48" s="1"/>
  <c r="E127" i="27" s="1"/>
  <c r="D174" i="49"/>
  <c r="D114" i="48" s="1"/>
  <c r="D127" i="27" s="1"/>
  <c r="K55" i="48"/>
  <c r="K52" i="27" s="1"/>
  <c r="I55" i="48"/>
  <c r="I52" i="27" s="1"/>
  <c r="H55" i="48"/>
  <c r="H52" i="27" s="1"/>
  <c r="G55" i="48"/>
  <c r="G52" i="27" s="1"/>
  <c r="E55" i="48"/>
  <c r="E52" i="27" s="1"/>
  <c r="D55" i="48"/>
  <c r="D52" i="27" s="1"/>
  <c r="K122" i="48"/>
  <c r="K136" i="27" s="1"/>
  <c r="J122" i="48"/>
  <c r="J136" i="27" s="1"/>
  <c r="I122" i="48"/>
  <c r="I136" i="27" s="1"/>
  <c r="H122" i="48"/>
  <c r="H136" i="27" s="1"/>
  <c r="G122" i="48"/>
  <c r="G136" i="27" s="1"/>
  <c r="F122" i="48"/>
  <c r="F136" i="27" s="1"/>
  <c r="E122" i="48"/>
  <c r="E136" i="27" s="1"/>
  <c r="D122" i="48"/>
  <c r="D136" i="27" s="1"/>
  <c r="K121" i="48"/>
  <c r="K135" i="27" s="1"/>
  <c r="J121" i="48"/>
  <c r="J135" i="27" s="1"/>
  <c r="I121" i="48"/>
  <c r="I135" i="27" s="1"/>
  <c r="H121" i="48"/>
  <c r="H135" i="27" s="1"/>
  <c r="G121" i="48"/>
  <c r="G135" i="27" s="1"/>
  <c r="F121" i="48"/>
  <c r="F135" i="27" s="1"/>
  <c r="E121" i="48"/>
  <c r="E135" i="27" s="1"/>
  <c r="D121" i="48"/>
  <c r="D135" i="27" s="1"/>
  <c r="K120" i="48"/>
  <c r="K134" i="27" s="1"/>
  <c r="J120" i="48"/>
  <c r="J134" i="27" s="1"/>
  <c r="I120" i="48"/>
  <c r="I134" i="27" s="1"/>
  <c r="H120" i="48"/>
  <c r="H134" i="27" s="1"/>
  <c r="G120" i="48"/>
  <c r="G134" i="27" s="1"/>
  <c r="F120" i="48"/>
  <c r="F134" i="27" s="1"/>
  <c r="E120" i="48"/>
  <c r="E134" i="27" s="1"/>
  <c r="D120" i="48"/>
  <c r="D134" i="27" s="1"/>
  <c r="K119" i="48"/>
  <c r="K132" i="27" s="1"/>
  <c r="J119" i="48"/>
  <c r="J132" i="27" s="1"/>
  <c r="I119" i="48"/>
  <c r="I132" i="27" s="1"/>
  <c r="H119" i="48"/>
  <c r="H132" i="27" s="1"/>
  <c r="G119" i="48"/>
  <c r="G132" i="27" s="1"/>
  <c r="F119" i="48"/>
  <c r="F132" i="27" s="1"/>
  <c r="E119" i="48"/>
  <c r="E132" i="27" s="1"/>
  <c r="D119" i="48"/>
  <c r="D132" i="27" s="1"/>
  <c r="H153" i="49"/>
  <c r="H77" i="48" s="1"/>
  <c r="H75" i="27" s="1"/>
  <c r="D153" i="49"/>
  <c r="D77" i="48" s="1"/>
  <c r="D75" i="27" s="1"/>
  <c r="K153" i="49"/>
  <c r="K77" i="48" s="1"/>
  <c r="K75" i="27" s="1"/>
  <c r="J153" i="49"/>
  <c r="J77" i="48" s="1"/>
  <c r="J75" i="27" s="1"/>
  <c r="I153" i="49"/>
  <c r="I77" i="48" s="1"/>
  <c r="I75" i="27" s="1"/>
  <c r="G153" i="49"/>
  <c r="G77" i="48" s="1"/>
  <c r="G75" i="27" s="1"/>
  <c r="F153" i="49"/>
  <c r="F77" i="48" s="1"/>
  <c r="F75" i="27" s="1"/>
  <c r="E153" i="49"/>
  <c r="E77" i="48" s="1"/>
  <c r="E75" i="27" s="1"/>
  <c r="H143" i="49"/>
  <c r="K143" i="49"/>
  <c r="K145" i="49" s="1"/>
  <c r="K150" i="49" s="1"/>
  <c r="J143" i="49"/>
  <c r="J145" i="49" s="1"/>
  <c r="J72" i="48" s="1"/>
  <c r="J70" i="27" s="1"/>
  <c r="I143" i="49"/>
  <c r="I145" i="49" s="1"/>
  <c r="G143" i="49"/>
  <c r="G145" i="49" s="1"/>
  <c r="G150" i="49" s="1"/>
  <c r="F143" i="49"/>
  <c r="F145" i="49" s="1"/>
  <c r="E143" i="49"/>
  <c r="E145" i="49" s="1"/>
  <c r="D143" i="49"/>
  <c r="D145" i="49" s="1"/>
  <c r="B138" i="49"/>
  <c r="J137" i="49"/>
  <c r="J108" i="48" s="1"/>
  <c r="J121" i="27" s="1"/>
  <c r="G137" i="49"/>
  <c r="G108" i="48" s="1"/>
  <c r="G121" i="27" s="1"/>
  <c r="B137" i="49"/>
  <c r="K136" i="49"/>
  <c r="G136" i="49"/>
  <c r="B136" i="49"/>
  <c r="K133" i="49"/>
  <c r="K66" i="48" s="1"/>
  <c r="K64" i="27" s="1"/>
  <c r="G133" i="49"/>
  <c r="G66" i="48" s="1"/>
  <c r="I133" i="49"/>
  <c r="I66" i="48" s="1"/>
  <c r="I64" i="27" s="1"/>
  <c r="D135" i="49"/>
  <c r="G128" i="49"/>
  <c r="J45" i="48"/>
  <c r="I45" i="48"/>
  <c r="H45" i="48"/>
  <c r="F45" i="48"/>
  <c r="E45" i="48"/>
  <c r="D45" i="48"/>
  <c r="J44" i="48"/>
  <c r="I44" i="48"/>
  <c r="H44" i="48"/>
  <c r="F44" i="48"/>
  <c r="E44" i="48"/>
  <c r="D44" i="48"/>
  <c r="J41" i="48"/>
  <c r="J44" i="27" s="1"/>
  <c r="J50" i="27" s="1"/>
  <c r="I41" i="48"/>
  <c r="I44" i="27" s="1"/>
  <c r="I50" i="27" s="1"/>
  <c r="H41" i="48"/>
  <c r="H44" i="27" s="1"/>
  <c r="H50" i="27" s="1"/>
  <c r="F41" i="48"/>
  <c r="E41" i="48"/>
  <c r="D41" i="48"/>
  <c r="J40" i="48"/>
  <c r="I40" i="48"/>
  <c r="H40" i="48"/>
  <c r="F40" i="48"/>
  <c r="F43" i="27" s="1"/>
  <c r="E40" i="48"/>
  <c r="D40" i="48"/>
  <c r="D43" i="27" s="1"/>
  <c r="K113" i="48"/>
  <c r="K126" i="27" s="1"/>
  <c r="J113" i="48"/>
  <c r="J126" i="27" s="1"/>
  <c r="I113" i="48"/>
  <c r="I126" i="27" s="1"/>
  <c r="H113" i="48"/>
  <c r="H126" i="27" s="1"/>
  <c r="G113" i="48"/>
  <c r="G126" i="27" s="1"/>
  <c r="F113" i="48"/>
  <c r="F126" i="27" s="1"/>
  <c r="E113" i="48"/>
  <c r="E126" i="27" s="1"/>
  <c r="D113" i="48"/>
  <c r="D126" i="27" s="1"/>
  <c r="K79" i="48"/>
  <c r="K77" i="27" s="1"/>
  <c r="J79" i="48"/>
  <c r="J77" i="27" s="1"/>
  <c r="I79" i="48"/>
  <c r="I77" i="27" s="1"/>
  <c r="H79" i="48"/>
  <c r="H77" i="27" s="1"/>
  <c r="G79" i="48"/>
  <c r="G77" i="27" s="1"/>
  <c r="F79" i="48"/>
  <c r="F77" i="27" s="1"/>
  <c r="E79" i="48"/>
  <c r="E77" i="27" s="1"/>
  <c r="D79" i="48"/>
  <c r="D77" i="27" s="1"/>
  <c r="K75" i="48"/>
  <c r="K73" i="27" s="1"/>
  <c r="J75" i="48"/>
  <c r="J73" i="27" s="1"/>
  <c r="I75" i="48"/>
  <c r="I73" i="27" s="1"/>
  <c r="H75" i="48"/>
  <c r="H73" i="27" s="1"/>
  <c r="G75" i="48"/>
  <c r="G73" i="27" s="1"/>
  <c r="F75" i="48"/>
  <c r="F73" i="27" s="1"/>
  <c r="E75" i="48"/>
  <c r="E73" i="27" s="1"/>
  <c r="D75" i="48"/>
  <c r="D73" i="27" s="1"/>
  <c r="K74" i="48"/>
  <c r="K72" i="27" s="1"/>
  <c r="J74" i="48"/>
  <c r="J72" i="27" s="1"/>
  <c r="I74" i="48"/>
  <c r="I72" i="27" s="1"/>
  <c r="H74" i="48"/>
  <c r="H72" i="27" s="1"/>
  <c r="G74" i="48"/>
  <c r="G72" i="27" s="1"/>
  <c r="F74" i="48"/>
  <c r="F72" i="27" s="1"/>
  <c r="E74" i="48"/>
  <c r="E72" i="27" s="1"/>
  <c r="D74" i="48"/>
  <c r="D72" i="27" s="1"/>
  <c r="K73" i="48"/>
  <c r="K71" i="27" s="1"/>
  <c r="J73" i="48"/>
  <c r="J71" i="27" s="1"/>
  <c r="I73" i="48"/>
  <c r="I71" i="27" s="1"/>
  <c r="H73" i="48"/>
  <c r="H71" i="27" s="1"/>
  <c r="G73" i="48"/>
  <c r="G71" i="27" s="1"/>
  <c r="F73" i="48"/>
  <c r="F71" i="27" s="1"/>
  <c r="E73" i="48"/>
  <c r="E71" i="27" s="1"/>
  <c r="D73" i="48"/>
  <c r="D71" i="27" s="1"/>
  <c r="K76" i="48"/>
  <c r="K74" i="27" s="1"/>
  <c r="H76" i="48"/>
  <c r="H74" i="27" s="1"/>
  <c r="G76" i="48"/>
  <c r="G74" i="27" s="1"/>
  <c r="D76" i="48"/>
  <c r="D74" i="27" s="1"/>
  <c r="K71" i="48"/>
  <c r="K69" i="27" s="1"/>
  <c r="J71" i="48"/>
  <c r="J69" i="27" s="1"/>
  <c r="I71" i="48"/>
  <c r="I69" i="27" s="1"/>
  <c r="H71" i="48"/>
  <c r="H69" i="27" s="1"/>
  <c r="G71" i="48"/>
  <c r="G69" i="27" s="1"/>
  <c r="F71" i="48"/>
  <c r="F69" i="27" s="1"/>
  <c r="E71" i="48"/>
  <c r="E69" i="27" s="1"/>
  <c r="D71" i="48"/>
  <c r="D69" i="27" s="1"/>
  <c r="J70" i="48"/>
  <c r="J68" i="27" s="1"/>
  <c r="I70" i="48"/>
  <c r="I68" i="27" s="1"/>
  <c r="H70" i="48"/>
  <c r="H68" i="27" s="1"/>
  <c r="G70" i="48"/>
  <c r="G68" i="27" s="1"/>
  <c r="E70" i="48"/>
  <c r="E68" i="27" s="1"/>
  <c r="D70" i="48"/>
  <c r="D68" i="27" s="1"/>
  <c r="K137" i="49"/>
  <c r="I64" i="48"/>
  <c r="I62" i="27" s="1"/>
  <c r="G167" i="49"/>
  <c r="G54" i="48" s="1"/>
  <c r="G51" i="27" s="1"/>
  <c r="F137" i="49"/>
  <c r="F108" i="48" s="1"/>
  <c r="F121" i="27" s="1"/>
  <c r="E64" i="48"/>
  <c r="E62" i="27" s="1"/>
  <c r="K63" i="48"/>
  <c r="K61" i="27" s="1"/>
  <c r="G63" i="48"/>
  <c r="G61" i="27" s="1"/>
  <c r="K62" i="48"/>
  <c r="K60" i="27" s="1"/>
  <c r="I62" i="48"/>
  <c r="I60" i="27" s="1"/>
  <c r="H62" i="48"/>
  <c r="H60" i="27" s="1"/>
  <c r="G62" i="48"/>
  <c r="G60" i="27" s="1"/>
  <c r="E62" i="48"/>
  <c r="E60" i="27" s="1"/>
  <c r="D62" i="48"/>
  <c r="K61" i="48"/>
  <c r="K58" i="27" s="1"/>
  <c r="I61" i="48"/>
  <c r="I58" i="27" s="1"/>
  <c r="H61" i="48"/>
  <c r="H58" i="27" s="1"/>
  <c r="G61" i="48"/>
  <c r="G58" i="27" s="1"/>
  <c r="E61" i="48"/>
  <c r="E58" i="27" s="1"/>
  <c r="D61" i="48"/>
  <c r="D58" i="27" s="1"/>
  <c r="K32" i="48"/>
  <c r="K38" i="27" s="1"/>
  <c r="G32" i="48"/>
  <c r="G38" i="27" s="1"/>
  <c r="J33" i="48"/>
  <c r="J39" i="27" s="1"/>
  <c r="H33" i="48"/>
  <c r="D33" i="48"/>
  <c r="I32" i="48"/>
  <c r="I38" i="27" s="1"/>
  <c r="E32" i="48"/>
  <c r="E38" i="27" s="1"/>
  <c r="D32" i="48"/>
  <c r="D38" i="27" s="1"/>
  <c r="J31" i="48"/>
  <c r="J37" i="27" s="1"/>
  <c r="H31" i="48"/>
  <c r="D31" i="48"/>
  <c r="L36" i="49"/>
  <c r="L35" i="49"/>
  <c r="I32" i="49"/>
  <c r="E32" i="49"/>
  <c r="K131" i="48"/>
  <c r="K148" i="27" s="1"/>
  <c r="J131" i="48"/>
  <c r="J148" i="27" s="1"/>
  <c r="I131" i="48"/>
  <c r="I148" i="27" s="1"/>
  <c r="H131" i="48"/>
  <c r="H148" i="27" s="1"/>
  <c r="G131" i="48"/>
  <c r="G148" i="27" s="1"/>
  <c r="D131" i="48"/>
  <c r="D148" i="27" s="1"/>
  <c r="I132" i="48"/>
  <c r="E132" i="48"/>
  <c r="E149" i="27" s="1"/>
  <c r="I92" i="48"/>
  <c r="I105" i="27" s="1"/>
  <c r="H92" i="48"/>
  <c r="H105" i="27" s="1"/>
  <c r="G92" i="48"/>
  <c r="G105" i="27" s="1"/>
  <c r="D92" i="48"/>
  <c r="D105" i="27" s="1"/>
  <c r="J88" i="48"/>
  <c r="J101" i="27" s="1"/>
  <c r="I88" i="48"/>
  <c r="I101" i="27" s="1"/>
  <c r="H88" i="48"/>
  <c r="H101" i="27" s="1"/>
  <c r="G88" i="48"/>
  <c r="G101" i="27" s="1"/>
  <c r="E88" i="48"/>
  <c r="E101" i="27" s="1"/>
  <c r="D88" i="48"/>
  <c r="D101" i="27" s="1"/>
  <c r="K87" i="48"/>
  <c r="K100" i="27" s="1"/>
  <c r="J87" i="48"/>
  <c r="J100" i="27" s="1"/>
  <c r="G87" i="48"/>
  <c r="G100" i="27" s="1"/>
  <c r="F87" i="48"/>
  <c r="F100" i="27" s="1"/>
  <c r="J29" i="48"/>
  <c r="AJ29" i="48" s="1"/>
  <c r="I89" i="48"/>
  <c r="I102" i="27" s="1"/>
  <c r="F89" i="48"/>
  <c r="F102" i="27" s="1"/>
  <c r="E89" i="48"/>
  <c r="E102" i="27" s="1"/>
  <c r="K86" i="48"/>
  <c r="K99" i="27" s="1"/>
  <c r="G86" i="48"/>
  <c r="G99" i="27" s="1"/>
  <c r="J85" i="48"/>
  <c r="J98" i="27" s="1"/>
  <c r="I85" i="48"/>
  <c r="I98" i="27" s="1"/>
  <c r="F85" i="48"/>
  <c r="F98" i="27" s="1"/>
  <c r="E85" i="48"/>
  <c r="E98" i="27" s="1"/>
  <c r="K96" i="48"/>
  <c r="K109" i="27" s="1"/>
  <c r="G96" i="48"/>
  <c r="G109" i="27" s="1"/>
  <c r="K95" i="48"/>
  <c r="K108" i="27" s="1"/>
  <c r="I95" i="48"/>
  <c r="I108" i="27" s="1"/>
  <c r="G95" i="48"/>
  <c r="G108" i="27" s="1"/>
  <c r="K129" i="48"/>
  <c r="G129" i="48"/>
  <c r="M100" i="48"/>
  <c r="N100" i="48" s="1"/>
  <c r="M93" i="48"/>
  <c r="AC48" i="48"/>
  <c r="AH41" i="48"/>
  <c r="AJ33" i="48"/>
  <c r="AL26" i="48"/>
  <c r="AK26" i="48"/>
  <c r="AJ26" i="48"/>
  <c r="AI26" i="48"/>
  <c r="AH26" i="48"/>
  <c r="AG26" i="48"/>
  <c r="AF26" i="48"/>
  <c r="AE26" i="48"/>
  <c r="AD26" i="48"/>
  <c r="K2" i="48"/>
  <c r="H2" i="48"/>
  <c r="AK33" i="48" l="1"/>
  <c r="E140" i="48"/>
  <c r="AF40" i="48"/>
  <c r="H46" i="48"/>
  <c r="E46" i="48"/>
  <c r="J46" i="48"/>
  <c r="D46" i="48"/>
  <c r="AH40" i="48"/>
  <c r="H43" i="27"/>
  <c r="K140" i="48"/>
  <c r="K153" i="27"/>
  <c r="E151" i="48"/>
  <c r="E160" i="27"/>
  <c r="I151" i="48"/>
  <c r="I153" i="48" s="1"/>
  <c r="I167" i="27" s="1"/>
  <c r="I160" i="27"/>
  <c r="AI40" i="48"/>
  <c r="I43" i="27"/>
  <c r="G48" i="48"/>
  <c r="AG48" i="48" s="1"/>
  <c r="G44" i="27"/>
  <c r="G50" i="27" s="1"/>
  <c r="AG33" i="48"/>
  <c r="AK40" i="48"/>
  <c r="F140" i="48"/>
  <c r="I133" i="48"/>
  <c r="I150" i="27" s="1"/>
  <c r="I149" i="27"/>
  <c r="AD33" i="48"/>
  <c r="D39" i="27"/>
  <c r="AD41" i="48"/>
  <c r="D44" i="27"/>
  <c r="D50" i="27" s="1"/>
  <c r="AG40" i="48"/>
  <c r="G43" i="27"/>
  <c r="D34" i="48"/>
  <c r="D37" i="27"/>
  <c r="AE41" i="48"/>
  <c r="E44" i="27"/>
  <c r="E50" i="27" s="1"/>
  <c r="G140" i="48"/>
  <c r="G154" i="27"/>
  <c r="AH31" i="48"/>
  <c r="H37" i="27"/>
  <c r="AH33" i="48"/>
  <c r="H39" i="27"/>
  <c r="AF41" i="48"/>
  <c r="F44" i="27"/>
  <c r="F50" i="27" s="1"/>
  <c r="AD40" i="48"/>
  <c r="D42" i="48"/>
  <c r="AD42" i="48" s="1"/>
  <c r="I140" i="48"/>
  <c r="AE40" i="48"/>
  <c r="E43" i="27"/>
  <c r="AJ40" i="48"/>
  <c r="J43" i="27"/>
  <c r="AK41" i="48"/>
  <c r="K44" i="27"/>
  <c r="K50" i="27" s="1"/>
  <c r="H42" i="48"/>
  <c r="AH42" i="48" s="1"/>
  <c r="L44" i="48"/>
  <c r="E42" i="48"/>
  <c r="AE42" i="48" s="1"/>
  <c r="K42" i="48"/>
  <c r="AK42" i="48" s="1"/>
  <c r="L139" i="48"/>
  <c r="L154" i="27" s="1"/>
  <c r="J140" i="48"/>
  <c r="K151" i="48"/>
  <c r="K72" i="48"/>
  <c r="E23" i="49"/>
  <c r="E86" i="48"/>
  <c r="E28" i="48"/>
  <c r="E36" i="48" s="1"/>
  <c r="H89" i="48"/>
  <c r="H102" i="27" s="1"/>
  <c r="H29" i="48"/>
  <c r="AH29" i="48" s="1"/>
  <c r="G32" i="49"/>
  <c r="G132" i="48"/>
  <c r="G133" i="48" s="1"/>
  <c r="G150" i="27" s="1"/>
  <c r="F131" i="48"/>
  <c r="F148" i="27" s="1"/>
  <c r="I48" i="48"/>
  <c r="AI48" i="48" s="1"/>
  <c r="I42" i="48"/>
  <c r="AI42" i="48" s="1"/>
  <c r="I150" i="49"/>
  <c r="I72" i="48"/>
  <c r="I70" i="27" s="1"/>
  <c r="AI41" i="48"/>
  <c r="F28" i="48"/>
  <c r="H32" i="49"/>
  <c r="H132" i="48"/>
  <c r="D161" i="49"/>
  <c r="D106" i="48"/>
  <c r="D119" i="27" s="1"/>
  <c r="D52" i="48"/>
  <c r="D48" i="27" s="1"/>
  <c r="G53" i="48"/>
  <c r="G107" i="48"/>
  <c r="G120" i="27" s="1"/>
  <c r="F72" i="48"/>
  <c r="F70" i="27" s="1"/>
  <c r="F150" i="49"/>
  <c r="AD31" i="48"/>
  <c r="D129" i="48"/>
  <c r="D97" i="48"/>
  <c r="D110" i="27" s="1"/>
  <c r="H129" i="48"/>
  <c r="H97" i="48"/>
  <c r="H110" i="27" s="1"/>
  <c r="F128" i="48"/>
  <c r="F94" i="48"/>
  <c r="F107" i="27" s="1"/>
  <c r="J128" i="48"/>
  <c r="J134" i="48" s="1"/>
  <c r="J94" i="48"/>
  <c r="J107" i="27" s="1"/>
  <c r="F95" i="48"/>
  <c r="F108" i="27" s="1"/>
  <c r="J95" i="48"/>
  <c r="J108" i="27" s="1"/>
  <c r="E96" i="48"/>
  <c r="E109" i="27" s="1"/>
  <c r="I96" i="48"/>
  <c r="I109" i="27" s="1"/>
  <c r="D85" i="48"/>
  <c r="D98" i="27" s="1"/>
  <c r="D27" i="48"/>
  <c r="D35" i="48" s="1"/>
  <c r="H85" i="48"/>
  <c r="H98" i="27" s="1"/>
  <c r="H27" i="48"/>
  <c r="H35" i="48" s="1"/>
  <c r="AH35" i="48" s="1"/>
  <c r="F47" i="49"/>
  <c r="F31" i="48"/>
  <c r="F37" i="27" s="1"/>
  <c r="F32" i="48"/>
  <c r="F38" i="27" s="1"/>
  <c r="J32" i="48"/>
  <c r="J38" i="27" s="1"/>
  <c r="K108" i="48"/>
  <c r="K121" i="27" s="1"/>
  <c r="E133" i="49"/>
  <c r="E66" i="48" s="1"/>
  <c r="K53" i="48"/>
  <c r="K107" i="48"/>
  <c r="K120" i="27" s="1"/>
  <c r="G151" i="48"/>
  <c r="I86" i="48"/>
  <c r="I99" i="27" s="1"/>
  <c r="I28" i="48"/>
  <c r="I36" i="48" s="1"/>
  <c r="D89" i="48"/>
  <c r="D102" i="27" s="1"/>
  <c r="D29" i="48"/>
  <c r="D37" i="48" s="1"/>
  <c r="K32" i="49"/>
  <c r="K132" i="48"/>
  <c r="K133" i="48" s="1"/>
  <c r="K150" i="27" s="1"/>
  <c r="F136" i="49"/>
  <c r="F63" i="48"/>
  <c r="F61" i="27" s="1"/>
  <c r="J136" i="49"/>
  <c r="J63" i="48"/>
  <c r="E150" i="49"/>
  <c r="E72" i="48"/>
  <c r="E70" i="27" s="1"/>
  <c r="L13" i="49"/>
  <c r="E13" i="48" s="1"/>
  <c r="M96" i="48" s="1"/>
  <c r="D96" i="48"/>
  <c r="D109" i="27" s="1"/>
  <c r="H96" i="48"/>
  <c r="H109" i="27" s="1"/>
  <c r="G85" i="48"/>
  <c r="G98" i="27" s="1"/>
  <c r="G27" i="48"/>
  <c r="AG27" i="48" s="1"/>
  <c r="K85" i="48"/>
  <c r="K98" i="27" s="1"/>
  <c r="K27" i="48"/>
  <c r="J28" i="48"/>
  <c r="J36" i="48" s="1"/>
  <c r="E92" i="48"/>
  <c r="E105" i="27" s="1"/>
  <c r="D132" i="48"/>
  <c r="D149" i="27" s="1"/>
  <c r="D32" i="49"/>
  <c r="E33" i="48"/>
  <c r="I33" i="48"/>
  <c r="D133" i="49"/>
  <c r="D66" i="48" s="1"/>
  <c r="E9" i="49"/>
  <c r="E129" i="48"/>
  <c r="E135" i="48" s="1"/>
  <c r="E97" i="48"/>
  <c r="E110" i="27" s="1"/>
  <c r="I9" i="49"/>
  <c r="I129" i="48"/>
  <c r="I135" i="48" s="1"/>
  <c r="I97" i="48"/>
  <c r="I110" i="27" s="1"/>
  <c r="G128" i="48"/>
  <c r="G134" i="48" s="1"/>
  <c r="G94" i="48"/>
  <c r="G107" i="27" s="1"/>
  <c r="K128" i="48"/>
  <c r="K130" i="48" s="1"/>
  <c r="K146" i="27" s="1"/>
  <c r="K94" i="48"/>
  <c r="K107" i="27" s="1"/>
  <c r="D86" i="48"/>
  <c r="D99" i="27" s="1"/>
  <c r="D28" i="48"/>
  <c r="H86" i="48"/>
  <c r="H99" i="27" s="1"/>
  <c r="H28" i="48"/>
  <c r="G89" i="48"/>
  <c r="G102" i="27" s="1"/>
  <c r="G29" i="48"/>
  <c r="AG29" i="48" s="1"/>
  <c r="K89" i="48"/>
  <c r="K102" i="27" s="1"/>
  <c r="K29" i="48"/>
  <c r="AK29" i="48" s="1"/>
  <c r="E87" i="48"/>
  <c r="E100" i="27" s="1"/>
  <c r="I87" i="48"/>
  <c r="I100" i="27" s="1"/>
  <c r="G31" i="48"/>
  <c r="K31" i="48"/>
  <c r="K34" i="48" s="1"/>
  <c r="L45" i="49"/>
  <c r="E136" i="49"/>
  <c r="E63" i="48"/>
  <c r="I136" i="49"/>
  <c r="I63" i="48"/>
  <c r="D137" i="49"/>
  <c r="D108" i="48" s="1"/>
  <c r="D121" i="27" s="1"/>
  <c r="D64" i="48"/>
  <c r="D62" i="27" s="1"/>
  <c r="D167" i="49"/>
  <c r="D54" i="48" s="1"/>
  <c r="D51" i="27" s="1"/>
  <c r="H137" i="49"/>
  <c r="H108" i="48" s="1"/>
  <c r="H121" i="27" s="1"/>
  <c r="H64" i="48"/>
  <c r="H62" i="27" s="1"/>
  <c r="H167" i="49"/>
  <c r="H54" i="48" s="1"/>
  <c r="H51" i="27" s="1"/>
  <c r="F76" i="48"/>
  <c r="F74" i="27" s="1"/>
  <c r="J76" i="48"/>
  <c r="H128" i="49"/>
  <c r="H140" i="48"/>
  <c r="D149" i="48"/>
  <c r="H149" i="48"/>
  <c r="F27" i="48"/>
  <c r="AF27" i="48" s="1"/>
  <c r="J27" i="48"/>
  <c r="AJ27" i="48" s="1"/>
  <c r="F29" i="48"/>
  <c r="AF29" i="48" s="1"/>
  <c r="F33" i="48"/>
  <c r="G72" i="48"/>
  <c r="G97" i="48"/>
  <c r="G110" i="27" s="1"/>
  <c r="G28" i="48"/>
  <c r="G36" i="48" s="1"/>
  <c r="K28" i="48"/>
  <c r="K36" i="48" s="1"/>
  <c r="G46" i="48"/>
  <c r="K46" i="48"/>
  <c r="F78" i="48"/>
  <c r="K97" i="48"/>
  <c r="K110" i="27" s="1"/>
  <c r="F129" i="48"/>
  <c r="F97" i="48"/>
  <c r="F110" i="27" s="1"/>
  <c r="H128" i="48"/>
  <c r="H134" i="48" s="1"/>
  <c r="H94" i="48"/>
  <c r="H107" i="27" s="1"/>
  <c r="H95" i="48"/>
  <c r="H108" i="27" s="1"/>
  <c r="J96" i="48"/>
  <c r="J109" i="27" s="1"/>
  <c r="F86" i="48"/>
  <c r="F99" i="27" s="1"/>
  <c r="F88" i="48"/>
  <c r="F92" i="48"/>
  <c r="F105" i="27" s="1"/>
  <c r="J92" i="48"/>
  <c r="J105" i="27" s="1"/>
  <c r="K47" i="49"/>
  <c r="L44" i="49"/>
  <c r="F133" i="49"/>
  <c r="F66" i="48" s="1"/>
  <c r="J133" i="49"/>
  <c r="J66" i="48" s="1"/>
  <c r="J64" i="27" s="1"/>
  <c r="F167" i="49"/>
  <c r="F54" i="48" s="1"/>
  <c r="F51" i="27" s="1"/>
  <c r="J167" i="49"/>
  <c r="J54" i="48" s="1"/>
  <c r="J51" i="27" s="1"/>
  <c r="F149" i="48"/>
  <c r="J149" i="48"/>
  <c r="H32" i="48"/>
  <c r="G64" i="48"/>
  <c r="K64" i="48"/>
  <c r="J129" i="48"/>
  <c r="J97" i="48"/>
  <c r="J110" i="27" s="1"/>
  <c r="D128" i="48"/>
  <c r="D94" i="48"/>
  <c r="D107" i="27" s="1"/>
  <c r="D95" i="48"/>
  <c r="D108" i="27" s="1"/>
  <c r="F96" i="48"/>
  <c r="F109" i="27" s="1"/>
  <c r="J86" i="48"/>
  <c r="J99" i="27" s="1"/>
  <c r="E128" i="48"/>
  <c r="E94" i="48"/>
  <c r="E107" i="27" s="1"/>
  <c r="I128" i="48"/>
  <c r="I134" i="48" s="1"/>
  <c r="I94" i="48"/>
  <c r="I107" i="27" s="1"/>
  <c r="E95" i="48"/>
  <c r="E108" i="27" s="1"/>
  <c r="J89" i="48"/>
  <c r="J102" i="27" s="1"/>
  <c r="D87" i="48"/>
  <c r="D100" i="27" s="1"/>
  <c r="H87" i="48"/>
  <c r="H100" i="27" s="1"/>
  <c r="I23" i="49"/>
  <c r="F32" i="49"/>
  <c r="F132" i="48"/>
  <c r="J32" i="49"/>
  <c r="J132" i="48"/>
  <c r="E131" i="48"/>
  <c r="E47" i="49"/>
  <c r="I47" i="49"/>
  <c r="D136" i="49"/>
  <c r="H136" i="49"/>
  <c r="E76" i="48"/>
  <c r="E74" i="27" s="1"/>
  <c r="I76" i="48"/>
  <c r="I74" i="27" s="1"/>
  <c r="D150" i="49"/>
  <c r="D72" i="48"/>
  <c r="H145" i="49"/>
  <c r="E27" i="48"/>
  <c r="I27" i="48"/>
  <c r="E29" i="48"/>
  <c r="AE29" i="48" s="1"/>
  <c r="I29" i="48"/>
  <c r="E31" i="48"/>
  <c r="E37" i="27" s="1"/>
  <c r="I31" i="48"/>
  <c r="D63" i="48"/>
  <c r="H63" i="48"/>
  <c r="AG41" i="48"/>
  <c r="L8" i="49"/>
  <c r="E11" i="48" s="1"/>
  <c r="M94" i="48" s="1"/>
  <c r="J9" i="49"/>
  <c r="E167" i="49"/>
  <c r="E54" i="48" s="1"/>
  <c r="E51" i="27" s="1"/>
  <c r="E137" i="49"/>
  <c r="E108" i="48" s="1"/>
  <c r="E121" i="27" s="1"/>
  <c r="D9" i="49"/>
  <c r="H9" i="49"/>
  <c r="F9" i="49"/>
  <c r="L12" i="49"/>
  <c r="E12" i="48" s="1"/>
  <c r="M95" i="48" s="1"/>
  <c r="L16" i="49"/>
  <c r="E4" i="48" s="1"/>
  <c r="M86" i="48" s="1"/>
  <c r="I167" i="49"/>
  <c r="I54" i="48" s="1"/>
  <c r="I51" i="27" s="1"/>
  <c r="I137" i="49"/>
  <c r="I108" i="48" s="1"/>
  <c r="I121" i="27" s="1"/>
  <c r="E128" i="49"/>
  <c r="J23" i="49"/>
  <c r="L20" i="49"/>
  <c r="E5" i="48" s="1"/>
  <c r="M87" i="48" s="1"/>
  <c r="L21" i="49"/>
  <c r="E6" i="48" s="1"/>
  <c r="M88" i="48" s="1"/>
  <c r="L43" i="49"/>
  <c r="J150" i="49"/>
  <c r="L15" i="49"/>
  <c r="E3" i="48" s="1"/>
  <c r="M85" i="48" s="1"/>
  <c r="H23" i="49"/>
  <c r="D128" i="49"/>
  <c r="D138" i="49"/>
  <c r="D109" i="48" s="1"/>
  <c r="D122" i="27" s="1"/>
  <c r="G9" i="49"/>
  <c r="K9" i="49"/>
  <c r="F23" i="49"/>
  <c r="D23" i="49"/>
  <c r="J47" i="49"/>
  <c r="L7" i="49"/>
  <c r="G23" i="49"/>
  <c r="K23" i="49"/>
  <c r="L17" i="49"/>
  <c r="E7" i="48" s="1"/>
  <c r="M89" i="48" s="1"/>
  <c r="L30" i="49"/>
  <c r="L31" i="49"/>
  <c r="L39" i="49"/>
  <c r="L40" i="49"/>
  <c r="G47" i="49"/>
  <c r="K128" i="49"/>
  <c r="I128" i="49"/>
  <c r="H133" i="49"/>
  <c r="H66" i="48" s="1"/>
  <c r="H64" i="27" s="1"/>
  <c r="L26" i="49"/>
  <c r="E9" i="48" s="1"/>
  <c r="M92" i="48" s="1"/>
  <c r="D47" i="49"/>
  <c r="H47" i="49"/>
  <c r="F128" i="49"/>
  <c r="K167" i="49"/>
  <c r="K54" i="48" s="1"/>
  <c r="K51" i="27" s="1"/>
  <c r="L38" i="49"/>
  <c r="J128" i="49"/>
  <c r="AE31" i="48"/>
  <c r="L45" i="48"/>
  <c r="E48" i="48"/>
  <c r="AE48" i="48" s="1"/>
  <c r="G34" i="48"/>
  <c r="J48" i="48"/>
  <c r="AJ48" i="48" s="1"/>
  <c r="J42" i="48"/>
  <c r="AJ42" i="48" s="1"/>
  <c r="AJ41" i="48"/>
  <c r="F46" i="48"/>
  <c r="I46" i="48"/>
  <c r="J34" i="48"/>
  <c r="AJ31" i="48"/>
  <c r="AD27" i="48"/>
  <c r="F48" i="48"/>
  <c r="AF48" i="48" s="1"/>
  <c r="F42" i="48"/>
  <c r="AF42" i="48" s="1"/>
  <c r="J37" i="48"/>
  <c r="AJ37" i="48" s="1"/>
  <c r="L40" i="48"/>
  <c r="AL40" i="48" s="1"/>
  <c r="D140" i="48"/>
  <c r="L138" i="48"/>
  <c r="L153" i="27" s="1"/>
  <c r="D48" i="48"/>
  <c r="AD48" i="48" s="1"/>
  <c r="L41" i="48"/>
  <c r="H48" i="48"/>
  <c r="AH48" i="48" s="1"/>
  <c r="K110" i="46"/>
  <c r="K139" i="26" s="1"/>
  <c r="J110" i="46"/>
  <c r="J139" i="26" s="1"/>
  <c r="I110" i="46"/>
  <c r="I139" i="26" s="1"/>
  <c r="H110" i="46"/>
  <c r="H139" i="26" s="1"/>
  <c r="G110" i="46"/>
  <c r="G139" i="26" s="1"/>
  <c r="F110" i="46"/>
  <c r="F139" i="26" s="1"/>
  <c r="E110" i="46"/>
  <c r="E139" i="26" s="1"/>
  <c r="D110" i="46"/>
  <c r="D139" i="26" s="1"/>
  <c r="G37" i="48" l="1"/>
  <c r="AG37" i="48" s="1"/>
  <c r="H135" i="48"/>
  <c r="H136" i="48" s="1"/>
  <c r="AH27" i="48"/>
  <c r="J35" i="48"/>
  <c r="AJ35" i="48" s="1"/>
  <c r="L95" i="48"/>
  <c r="L108" i="27" s="1"/>
  <c r="I35" i="48"/>
  <c r="AI35" i="48" s="1"/>
  <c r="D30" i="48"/>
  <c r="D35" i="27" s="1"/>
  <c r="J130" i="48"/>
  <c r="J146" i="27" s="1"/>
  <c r="E35" i="48"/>
  <c r="AE35" i="48" s="1"/>
  <c r="L31" i="48"/>
  <c r="AL31" i="48" s="1"/>
  <c r="G130" i="48"/>
  <c r="G146" i="27" s="1"/>
  <c r="AI31" i="48"/>
  <c r="I37" i="27"/>
  <c r="G78" i="48"/>
  <c r="G70" i="27"/>
  <c r="AE33" i="48"/>
  <c r="E39" i="27"/>
  <c r="H133" i="48"/>
  <c r="H150" i="27" s="1"/>
  <c r="H149" i="27"/>
  <c r="AJ34" i="48"/>
  <c r="J40" i="27"/>
  <c r="J133" i="48"/>
  <c r="J150" i="27" s="1"/>
  <c r="J149" i="27"/>
  <c r="K65" i="48"/>
  <c r="K63" i="27" s="1"/>
  <c r="K62" i="27"/>
  <c r="F151" i="48"/>
  <c r="F165" i="27" s="1"/>
  <c r="F163" i="27"/>
  <c r="H151" i="48"/>
  <c r="H165" i="27" s="1"/>
  <c r="H163" i="27"/>
  <c r="I65" i="48"/>
  <c r="I63" i="27" s="1"/>
  <c r="I61" i="27"/>
  <c r="K78" i="48"/>
  <c r="K70" i="27"/>
  <c r="AD34" i="48"/>
  <c r="D40" i="27"/>
  <c r="L27" i="48"/>
  <c r="AL27" i="48" s="1"/>
  <c r="D133" i="48"/>
  <c r="D150" i="27" s="1"/>
  <c r="F36" i="48"/>
  <c r="AE27" i="48"/>
  <c r="AK34" i="48"/>
  <c r="K40" i="27"/>
  <c r="I34" i="48"/>
  <c r="D65" i="48"/>
  <c r="D63" i="27" s="1"/>
  <c r="D61" i="27"/>
  <c r="D78" i="48"/>
  <c r="D70" i="27"/>
  <c r="E133" i="48"/>
  <c r="E150" i="27" s="1"/>
  <c r="E148" i="27"/>
  <c r="L132" i="48"/>
  <c r="L149" i="27" s="1"/>
  <c r="F149" i="27"/>
  <c r="E130" i="48"/>
  <c r="E146" i="27" s="1"/>
  <c r="L128" i="48"/>
  <c r="N128" i="48" s="1"/>
  <c r="H36" i="48"/>
  <c r="H38" i="27"/>
  <c r="H130" i="48"/>
  <c r="H146" i="27" s="1"/>
  <c r="E65" i="48"/>
  <c r="E63" i="27" s="1"/>
  <c r="E61" i="27"/>
  <c r="AG31" i="48"/>
  <c r="G37" i="27"/>
  <c r="AI33" i="48"/>
  <c r="I39" i="27"/>
  <c r="F134" i="48"/>
  <c r="D135" i="48"/>
  <c r="E19" i="48"/>
  <c r="L86" i="48"/>
  <c r="L99" i="27" s="1"/>
  <c r="E99" i="27"/>
  <c r="J151" i="48"/>
  <c r="J165" i="27" s="1"/>
  <c r="J163" i="27"/>
  <c r="I165" i="27"/>
  <c r="I175" i="27" s="1"/>
  <c r="L29" i="48"/>
  <c r="AL29" i="48" s="1"/>
  <c r="F80" i="48"/>
  <c r="F76" i="27"/>
  <c r="AF33" i="48"/>
  <c r="F39" i="27"/>
  <c r="J78" i="48"/>
  <c r="J74" i="27"/>
  <c r="L140" i="48"/>
  <c r="AI27" i="48"/>
  <c r="AG34" i="48"/>
  <c r="G40" i="27"/>
  <c r="H65" i="48"/>
  <c r="H63" i="27" s="1"/>
  <c r="H61" i="27"/>
  <c r="I30" i="48"/>
  <c r="I35" i="27" s="1"/>
  <c r="J135" i="48"/>
  <c r="J136" i="48" s="1"/>
  <c r="G65" i="48"/>
  <c r="G63" i="27" s="1"/>
  <c r="G62" i="27"/>
  <c r="L88" i="48"/>
  <c r="L101" i="27" s="1"/>
  <c r="F101" i="27"/>
  <c r="F65" i="48"/>
  <c r="F63" i="27" s="1"/>
  <c r="D151" i="48"/>
  <c r="D163" i="27"/>
  <c r="AK31" i="48"/>
  <c r="K37" i="27"/>
  <c r="J65" i="48"/>
  <c r="J63" i="27" s="1"/>
  <c r="J61" i="27"/>
  <c r="K135" i="48"/>
  <c r="K149" i="27"/>
  <c r="G165" i="27"/>
  <c r="G135" i="48"/>
  <c r="G149" i="27"/>
  <c r="K165" i="27"/>
  <c r="E153" i="48"/>
  <c r="E167" i="27" s="1"/>
  <c r="E165" i="27"/>
  <c r="H153" i="48"/>
  <c r="H167" i="27" s="1"/>
  <c r="AD29" i="48"/>
  <c r="D36" i="48"/>
  <c r="F30" i="48"/>
  <c r="F35" i="27" s="1"/>
  <c r="K35" i="48"/>
  <c r="AK35" i="48" s="1"/>
  <c r="G35" i="48"/>
  <c r="AG35" i="48" s="1"/>
  <c r="I130" i="48"/>
  <c r="I146" i="27" s="1"/>
  <c r="L92" i="48"/>
  <c r="L105" i="27" s="1"/>
  <c r="F34" i="48"/>
  <c r="L85" i="48"/>
  <c r="L98" i="27" s="1"/>
  <c r="AI29" i="48"/>
  <c r="K153" i="48"/>
  <c r="K167" i="27" s="1"/>
  <c r="L46" i="48"/>
  <c r="I37" i="48"/>
  <c r="AI37" i="48" s="1"/>
  <c r="L96" i="48"/>
  <c r="L109" i="27" s="1"/>
  <c r="F135" i="48"/>
  <c r="L28" i="48"/>
  <c r="K37" i="48"/>
  <c r="AK37" i="48" s="1"/>
  <c r="H37" i="48"/>
  <c r="AH37" i="48" s="1"/>
  <c r="I78" i="48"/>
  <c r="E78" i="48"/>
  <c r="J153" i="48"/>
  <c r="J167" i="27" s="1"/>
  <c r="I107" i="48"/>
  <c r="I120" i="27" s="1"/>
  <c r="I53" i="48"/>
  <c r="L89" i="48"/>
  <c r="L102" i="27" s="1"/>
  <c r="L129" i="48"/>
  <c r="F130" i="48"/>
  <c r="F146" i="27" s="1"/>
  <c r="E30" i="48"/>
  <c r="E35" i="27" s="1"/>
  <c r="E37" i="48"/>
  <c r="AE37" i="48" s="1"/>
  <c r="AF31" i="48"/>
  <c r="K134" i="48"/>
  <c r="E8" i="48"/>
  <c r="D107" i="48"/>
  <c r="D120" i="27" s="1"/>
  <c r="D53" i="48"/>
  <c r="D56" i="48" s="1"/>
  <c r="D53" i="27" s="1"/>
  <c r="L87" i="48"/>
  <c r="L100" i="27" s="1"/>
  <c r="K30" i="48"/>
  <c r="AK27" i="48"/>
  <c r="H34" i="48"/>
  <c r="F107" i="48"/>
  <c r="F120" i="27" s="1"/>
  <c r="F53" i="48"/>
  <c r="H30" i="48"/>
  <c r="H35" i="27" s="1"/>
  <c r="F133" i="48"/>
  <c r="D130" i="48"/>
  <c r="D146" i="27" s="1"/>
  <c r="D134" i="48"/>
  <c r="D136" i="48" s="1"/>
  <c r="D152" i="27" s="1"/>
  <c r="F35" i="48"/>
  <c r="AF35" i="48" s="1"/>
  <c r="J30" i="48"/>
  <c r="D139" i="49"/>
  <c r="E34" i="48"/>
  <c r="E107" i="48"/>
  <c r="E120" i="27" s="1"/>
  <c r="E53" i="48"/>
  <c r="L32" i="48"/>
  <c r="E134" i="48"/>
  <c r="L9" i="49"/>
  <c r="E14" i="48"/>
  <c r="E15" i="48" s="1"/>
  <c r="M99" i="48" s="1"/>
  <c r="H107" i="48"/>
  <c r="H120" i="27" s="1"/>
  <c r="H53" i="48"/>
  <c r="L33" i="48"/>
  <c r="AL33" i="48" s="1"/>
  <c r="F37" i="48"/>
  <c r="AF37" i="48" s="1"/>
  <c r="L131" i="48"/>
  <c r="L148" i="27" s="1"/>
  <c r="G136" i="48"/>
  <c r="G152" i="27" s="1"/>
  <c r="G153" i="48"/>
  <c r="G167" i="27" s="1"/>
  <c r="H150" i="49"/>
  <c r="H72" i="48"/>
  <c r="L94" i="48"/>
  <c r="L107" i="27" s="1"/>
  <c r="G30" i="48"/>
  <c r="J107" i="48"/>
  <c r="J120" i="27" s="1"/>
  <c r="J53" i="48"/>
  <c r="L97" i="48"/>
  <c r="L110" i="27" s="1"/>
  <c r="L47" i="49"/>
  <c r="L32" i="49"/>
  <c r="E135" i="49"/>
  <c r="E106" i="48" s="1"/>
  <c r="E119" i="27" s="1"/>
  <c r="D162" i="49"/>
  <c r="L23" i="49"/>
  <c r="AI30" i="48"/>
  <c r="AL41" i="48"/>
  <c r="L42" i="48"/>
  <c r="AL42" i="48" s="1"/>
  <c r="AM48" i="48" s="1"/>
  <c r="L48" i="48"/>
  <c r="AL48" i="48" s="1"/>
  <c r="AD37" i="48"/>
  <c r="I136" i="48"/>
  <c r="AD35" i="48"/>
  <c r="D144" i="26"/>
  <c r="K145" i="46"/>
  <c r="K175" i="26" s="1"/>
  <c r="J145" i="46"/>
  <c r="J175" i="26" s="1"/>
  <c r="I145" i="46"/>
  <c r="I175" i="26" s="1"/>
  <c r="H145" i="46"/>
  <c r="H175" i="26" s="1"/>
  <c r="G145" i="46"/>
  <c r="G175" i="26" s="1"/>
  <c r="F145" i="46"/>
  <c r="F175" i="26" s="1"/>
  <c r="E145" i="46"/>
  <c r="E175" i="26" s="1"/>
  <c r="D145" i="46"/>
  <c r="D175" i="26" s="1"/>
  <c r="K143" i="46"/>
  <c r="K173" i="26" s="1"/>
  <c r="J143" i="46"/>
  <c r="J173" i="26" s="1"/>
  <c r="I143" i="46"/>
  <c r="I173" i="26" s="1"/>
  <c r="H143" i="46"/>
  <c r="H173" i="26" s="1"/>
  <c r="G143" i="46"/>
  <c r="G173" i="26" s="1"/>
  <c r="F143" i="46"/>
  <c r="F173" i="26" s="1"/>
  <c r="E143" i="46"/>
  <c r="E173" i="26" s="1"/>
  <c r="D143" i="46"/>
  <c r="D173" i="26" s="1"/>
  <c r="K142" i="46"/>
  <c r="K172" i="26" s="1"/>
  <c r="J142" i="46"/>
  <c r="J172" i="26" s="1"/>
  <c r="I142" i="46"/>
  <c r="I172" i="26" s="1"/>
  <c r="H142" i="46"/>
  <c r="H172" i="26" s="1"/>
  <c r="G142" i="46"/>
  <c r="G172" i="26" s="1"/>
  <c r="F142" i="46"/>
  <c r="F172" i="26" s="1"/>
  <c r="E142" i="46"/>
  <c r="E172" i="26" s="1"/>
  <c r="D142" i="46"/>
  <c r="D172" i="26" s="1"/>
  <c r="K141" i="46"/>
  <c r="K171" i="26" s="1"/>
  <c r="J141" i="46"/>
  <c r="J171" i="26" s="1"/>
  <c r="I141" i="46"/>
  <c r="I171" i="26" s="1"/>
  <c r="H141" i="46"/>
  <c r="H171" i="26" s="1"/>
  <c r="G141" i="46"/>
  <c r="G171" i="26" s="1"/>
  <c r="F141" i="46"/>
  <c r="F171" i="26" s="1"/>
  <c r="E141" i="46"/>
  <c r="E171" i="26" s="1"/>
  <c r="D141" i="46"/>
  <c r="D171" i="26" s="1"/>
  <c r="K139" i="46"/>
  <c r="K169" i="26" s="1"/>
  <c r="J139" i="46"/>
  <c r="J169" i="26" s="1"/>
  <c r="I139" i="46"/>
  <c r="I169" i="26" s="1"/>
  <c r="H139" i="46"/>
  <c r="H169" i="26" s="1"/>
  <c r="G139" i="46"/>
  <c r="G169" i="26" s="1"/>
  <c r="F139" i="46"/>
  <c r="F169" i="26" s="1"/>
  <c r="E139" i="46"/>
  <c r="E169" i="26" s="1"/>
  <c r="D139" i="46"/>
  <c r="D169" i="26" s="1"/>
  <c r="K138" i="46"/>
  <c r="K168" i="26" s="1"/>
  <c r="J138" i="46"/>
  <c r="J168" i="26" s="1"/>
  <c r="I138" i="46"/>
  <c r="I168" i="26" s="1"/>
  <c r="H138" i="46"/>
  <c r="H168" i="26" s="1"/>
  <c r="G138" i="46"/>
  <c r="G168" i="26" s="1"/>
  <c r="F138" i="46"/>
  <c r="F168" i="26" s="1"/>
  <c r="E138" i="46"/>
  <c r="E168" i="26" s="1"/>
  <c r="D138" i="46"/>
  <c r="D168" i="26" s="1"/>
  <c r="K45" i="46"/>
  <c r="K47" i="26" s="1"/>
  <c r="J45" i="46"/>
  <c r="J47" i="26" s="1"/>
  <c r="I45" i="46"/>
  <c r="I47" i="26" s="1"/>
  <c r="H45" i="46"/>
  <c r="H47" i="26" s="1"/>
  <c r="G45" i="46"/>
  <c r="G47" i="26" s="1"/>
  <c r="F45" i="46"/>
  <c r="F47" i="26" s="1"/>
  <c r="E45" i="46"/>
  <c r="E47" i="26" s="1"/>
  <c r="D45" i="46"/>
  <c r="D47" i="26" s="1"/>
  <c r="K79" i="26"/>
  <c r="J79" i="26"/>
  <c r="I79" i="26"/>
  <c r="H79" i="26"/>
  <c r="G79" i="26"/>
  <c r="F79" i="26"/>
  <c r="E79" i="26"/>
  <c r="D79" i="26"/>
  <c r="K78" i="26"/>
  <c r="J78" i="26"/>
  <c r="I78" i="26"/>
  <c r="H78" i="26"/>
  <c r="G78" i="26"/>
  <c r="F78" i="26"/>
  <c r="E78" i="26"/>
  <c r="D78" i="26"/>
  <c r="K77" i="26"/>
  <c r="J77" i="26"/>
  <c r="I77" i="26"/>
  <c r="H77" i="26"/>
  <c r="G77" i="26"/>
  <c r="F77" i="26"/>
  <c r="E77" i="26"/>
  <c r="D77" i="26"/>
  <c r="D44" i="26"/>
  <c r="K65" i="46"/>
  <c r="K68" i="26" s="1"/>
  <c r="J65" i="46"/>
  <c r="J68" i="26" s="1"/>
  <c r="I65" i="46"/>
  <c r="I68" i="26" s="1"/>
  <c r="H65" i="46"/>
  <c r="H68" i="26" s="1"/>
  <c r="G65" i="46"/>
  <c r="G68" i="26" s="1"/>
  <c r="F65" i="46"/>
  <c r="F68" i="26" s="1"/>
  <c r="E65" i="46"/>
  <c r="E68" i="26" s="1"/>
  <c r="D65" i="46"/>
  <c r="D68" i="26" s="1"/>
  <c r="K64" i="46"/>
  <c r="K67" i="26" s="1"/>
  <c r="J64" i="46"/>
  <c r="J67" i="26" s="1"/>
  <c r="I64" i="46"/>
  <c r="I67" i="26" s="1"/>
  <c r="H64" i="46"/>
  <c r="H67" i="26" s="1"/>
  <c r="G64" i="46"/>
  <c r="G67" i="26" s="1"/>
  <c r="F64" i="46"/>
  <c r="F67" i="26" s="1"/>
  <c r="E64" i="46"/>
  <c r="E67" i="26" s="1"/>
  <c r="D64" i="46"/>
  <c r="D67" i="26" s="1"/>
  <c r="K63" i="46"/>
  <c r="K66" i="26" s="1"/>
  <c r="J63" i="46"/>
  <c r="J66" i="26" s="1"/>
  <c r="I63" i="46"/>
  <c r="I66" i="26" s="1"/>
  <c r="H63" i="46"/>
  <c r="H66" i="26" s="1"/>
  <c r="G63" i="46"/>
  <c r="G66" i="26" s="1"/>
  <c r="F63" i="46"/>
  <c r="F66" i="26" s="1"/>
  <c r="E63" i="46"/>
  <c r="E66" i="26" s="1"/>
  <c r="D63" i="46"/>
  <c r="D66" i="26" s="1"/>
  <c r="K61" i="46"/>
  <c r="K64" i="26" s="1"/>
  <c r="J61" i="46"/>
  <c r="J64" i="26" s="1"/>
  <c r="I61" i="46"/>
  <c r="I64" i="26" s="1"/>
  <c r="H61" i="46"/>
  <c r="H64" i="26" s="1"/>
  <c r="G61" i="46"/>
  <c r="G64" i="26" s="1"/>
  <c r="F61" i="46"/>
  <c r="F64" i="26" s="1"/>
  <c r="E61" i="46"/>
  <c r="E64" i="26" s="1"/>
  <c r="D61" i="46"/>
  <c r="D64" i="26" s="1"/>
  <c r="K60" i="46"/>
  <c r="K63" i="26" s="1"/>
  <c r="J60" i="46"/>
  <c r="J63" i="26" s="1"/>
  <c r="I60" i="46"/>
  <c r="I63" i="26" s="1"/>
  <c r="H60" i="46"/>
  <c r="H63" i="26" s="1"/>
  <c r="G60" i="46"/>
  <c r="G63" i="26" s="1"/>
  <c r="F60" i="46"/>
  <c r="F63" i="26" s="1"/>
  <c r="E60" i="46"/>
  <c r="E63" i="26" s="1"/>
  <c r="D60" i="46"/>
  <c r="D63" i="26" s="1"/>
  <c r="K55" i="46"/>
  <c r="J55" i="46"/>
  <c r="I55" i="46"/>
  <c r="H55" i="46"/>
  <c r="G55" i="46"/>
  <c r="F55" i="46"/>
  <c r="E55" i="46"/>
  <c r="D55" i="46"/>
  <c r="K54" i="46"/>
  <c r="K57" i="26" s="1"/>
  <c r="J54" i="46"/>
  <c r="J57" i="26" s="1"/>
  <c r="I54" i="46"/>
  <c r="I57" i="26" s="1"/>
  <c r="H54" i="46"/>
  <c r="H57" i="26" s="1"/>
  <c r="G54" i="46"/>
  <c r="G57" i="26" s="1"/>
  <c r="F54" i="46"/>
  <c r="F57" i="26" s="1"/>
  <c r="E54" i="46"/>
  <c r="E57" i="26" s="1"/>
  <c r="D54" i="46"/>
  <c r="D57" i="26" s="1"/>
  <c r="K53" i="46"/>
  <c r="J53" i="46"/>
  <c r="I53" i="46"/>
  <c r="H53" i="46"/>
  <c r="G53" i="46"/>
  <c r="F53" i="46"/>
  <c r="E53" i="46"/>
  <c r="D53" i="46"/>
  <c r="K52" i="46"/>
  <c r="K55" i="26" s="1"/>
  <c r="J52" i="46"/>
  <c r="J55" i="26" s="1"/>
  <c r="I52" i="46"/>
  <c r="I55" i="26" s="1"/>
  <c r="H52" i="46"/>
  <c r="H55" i="26" s="1"/>
  <c r="G52" i="46"/>
  <c r="G55" i="26" s="1"/>
  <c r="F52" i="46"/>
  <c r="F55" i="26" s="1"/>
  <c r="E52" i="46"/>
  <c r="E55" i="26" s="1"/>
  <c r="D52" i="46"/>
  <c r="D55" i="26" s="1"/>
  <c r="D51" i="46"/>
  <c r="D53" i="26" s="1"/>
  <c r="K36" i="46"/>
  <c r="K38" i="26" s="1"/>
  <c r="J36" i="46"/>
  <c r="J38" i="26" s="1"/>
  <c r="I36" i="46"/>
  <c r="I38" i="26" s="1"/>
  <c r="H36" i="46"/>
  <c r="H38" i="26" s="1"/>
  <c r="G36" i="46"/>
  <c r="G38" i="26" s="1"/>
  <c r="F36" i="46"/>
  <c r="F38" i="26" s="1"/>
  <c r="E36" i="46"/>
  <c r="E38" i="26" s="1"/>
  <c r="D36" i="46"/>
  <c r="D38" i="26" s="1"/>
  <c r="K37" i="46"/>
  <c r="K39" i="26" s="1"/>
  <c r="J37" i="46"/>
  <c r="J39" i="26" s="1"/>
  <c r="I37" i="46"/>
  <c r="I39" i="26" s="1"/>
  <c r="H37" i="46"/>
  <c r="H39" i="26" s="1"/>
  <c r="G37" i="46"/>
  <c r="G39" i="26" s="1"/>
  <c r="F37" i="46"/>
  <c r="F39" i="26" s="1"/>
  <c r="E37" i="46"/>
  <c r="E39" i="26" s="1"/>
  <c r="D37" i="46"/>
  <c r="D39" i="26" s="1"/>
  <c r="K30" i="46"/>
  <c r="K34" i="26" s="1"/>
  <c r="J30" i="46"/>
  <c r="J34" i="26" s="1"/>
  <c r="I30" i="46"/>
  <c r="I34" i="26" s="1"/>
  <c r="H30" i="46"/>
  <c r="H34" i="26" s="1"/>
  <c r="G30" i="46"/>
  <c r="G34" i="26" s="1"/>
  <c r="F30" i="46"/>
  <c r="F34" i="26" s="1"/>
  <c r="E30" i="46"/>
  <c r="E34" i="26" s="1"/>
  <c r="D30" i="46"/>
  <c r="D34" i="26" s="1"/>
  <c r="K29" i="46"/>
  <c r="K33" i="26" s="1"/>
  <c r="J29" i="46"/>
  <c r="J33" i="26" s="1"/>
  <c r="I29" i="46"/>
  <c r="I33" i="26" s="1"/>
  <c r="H29" i="46"/>
  <c r="H33" i="26" s="1"/>
  <c r="G29" i="46"/>
  <c r="G33" i="26" s="1"/>
  <c r="F29" i="46"/>
  <c r="F33" i="26" s="1"/>
  <c r="E29" i="46"/>
  <c r="E33" i="26" s="1"/>
  <c r="D29" i="46"/>
  <c r="D33" i="26" s="1"/>
  <c r="K125" i="46"/>
  <c r="K158" i="26" s="1"/>
  <c r="J125" i="46"/>
  <c r="J158" i="26" s="1"/>
  <c r="I125" i="46"/>
  <c r="I158" i="26" s="1"/>
  <c r="H125" i="46"/>
  <c r="H158" i="26" s="1"/>
  <c r="G125" i="46"/>
  <c r="G158" i="26" s="1"/>
  <c r="F125" i="46"/>
  <c r="F158" i="26" s="1"/>
  <c r="E125" i="46"/>
  <c r="E158" i="26" s="1"/>
  <c r="D125" i="46"/>
  <c r="D158" i="26" s="1"/>
  <c r="K126" i="46"/>
  <c r="K159" i="26" s="1"/>
  <c r="J126" i="46"/>
  <c r="J159" i="26" s="1"/>
  <c r="I126" i="46"/>
  <c r="I159" i="26" s="1"/>
  <c r="H126" i="46"/>
  <c r="H159" i="26" s="1"/>
  <c r="G126" i="46"/>
  <c r="G159" i="26" s="1"/>
  <c r="F126" i="46"/>
  <c r="F159" i="26" s="1"/>
  <c r="E126" i="46"/>
  <c r="E159" i="26" s="1"/>
  <c r="D126" i="46"/>
  <c r="D159" i="26" s="1"/>
  <c r="K88" i="46"/>
  <c r="K116" i="26" s="1"/>
  <c r="J88" i="46"/>
  <c r="J116" i="26" s="1"/>
  <c r="I88" i="46"/>
  <c r="I116" i="26" s="1"/>
  <c r="H88" i="46"/>
  <c r="H116" i="26" s="1"/>
  <c r="G88" i="46"/>
  <c r="G116" i="26" s="1"/>
  <c r="F88" i="46"/>
  <c r="F116" i="26" s="1"/>
  <c r="E88" i="46"/>
  <c r="E116" i="26" s="1"/>
  <c r="D88" i="46"/>
  <c r="D116" i="26" s="1"/>
  <c r="K83" i="46"/>
  <c r="K111" i="26" s="1"/>
  <c r="J83" i="46"/>
  <c r="J111" i="26" s="1"/>
  <c r="I83" i="46"/>
  <c r="I111" i="26" s="1"/>
  <c r="H83" i="46"/>
  <c r="H111" i="26" s="1"/>
  <c r="G83" i="46"/>
  <c r="G111" i="26" s="1"/>
  <c r="F83" i="46"/>
  <c r="F111" i="26" s="1"/>
  <c r="E83" i="46"/>
  <c r="E111" i="26" s="1"/>
  <c r="D83" i="46"/>
  <c r="D111" i="26" s="1"/>
  <c r="K85" i="46"/>
  <c r="K113" i="26" s="1"/>
  <c r="J85" i="46"/>
  <c r="J113" i="26" s="1"/>
  <c r="I85" i="46"/>
  <c r="I113" i="26" s="1"/>
  <c r="H85" i="46"/>
  <c r="H113" i="26" s="1"/>
  <c r="G85" i="46"/>
  <c r="G113" i="26" s="1"/>
  <c r="F85" i="46"/>
  <c r="F113" i="26" s="1"/>
  <c r="E85" i="46"/>
  <c r="E113" i="26" s="1"/>
  <c r="D85" i="46"/>
  <c r="D113" i="26" s="1"/>
  <c r="K82" i="46"/>
  <c r="K110" i="26" s="1"/>
  <c r="J82" i="46"/>
  <c r="J110" i="26" s="1"/>
  <c r="I82" i="46"/>
  <c r="I110" i="26" s="1"/>
  <c r="H82" i="46"/>
  <c r="H110" i="26" s="1"/>
  <c r="G82" i="46"/>
  <c r="G110" i="26" s="1"/>
  <c r="F82" i="46"/>
  <c r="F110" i="26" s="1"/>
  <c r="E82" i="46"/>
  <c r="E110" i="26" s="1"/>
  <c r="D82" i="46"/>
  <c r="D110" i="26" s="1"/>
  <c r="F136" i="48" l="1"/>
  <c r="F152" i="27" s="1"/>
  <c r="I38" i="48"/>
  <c r="I42" i="27" s="1"/>
  <c r="K136" i="48"/>
  <c r="K152" i="27" s="1"/>
  <c r="L36" i="48"/>
  <c r="AD30" i="48"/>
  <c r="L37" i="48"/>
  <c r="AL37" i="48" s="1"/>
  <c r="D38" i="48"/>
  <c r="D42" i="27" s="1"/>
  <c r="AG30" i="48"/>
  <c r="G35" i="27"/>
  <c r="I168" i="27"/>
  <c r="AF30" i="48"/>
  <c r="L134" i="48"/>
  <c r="AK30" i="48"/>
  <c r="K35" i="27"/>
  <c r="E80" i="48"/>
  <c r="E76" i="27"/>
  <c r="J80" i="48"/>
  <c r="J76" i="27"/>
  <c r="F78" i="27"/>
  <c r="K80" i="48"/>
  <c r="K76" i="27"/>
  <c r="AE30" i="48"/>
  <c r="L133" i="48"/>
  <c r="L150" i="27" s="1"/>
  <c r="F150" i="27"/>
  <c r="AH34" i="48"/>
  <c r="H40" i="27"/>
  <c r="AI34" i="48"/>
  <c r="I40" i="27"/>
  <c r="I98" i="48"/>
  <c r="I152" i="27"/>
  <c r="J98" i="48"/>
  <c r="J152" i="27"/>
  <c r="D165" i="27"/>
  <c r="AE34" i="48"/>
  <c r="E40" i="27"/>
  <c r="G98" i="48"/>
  <c r="H98" i="48"/>
  <c r="H152" i="27"/>
  <c r="K38" i="48"/>
  <c r="K42" i="27" s="1"/>
  <c r="H78" i="48"/>
  <c r="H70" i="27"/>
  <c r="J38" i="48"/>
  <c r="J42" i="27" s="1"/>
  <c r="J35" i="27"/>
  <c r="D153" i="48"/>
  <c r="D167" i="27" s="1"/>
  <c r="F153" i="48"/>
  <c r="F167" i="27" s="1"/>
  <c r="I80" i="48"/>
  <c r="I76" i="27"/>
  <c r="I86" i="27" s="1"/>
  <c r="L135" i="48"/>
  <c r="AF34" i="48"/>
  <c r="F40" i="27"/>
  <c r="D80" i="48"/>
  <c r="D78" i="27" s="1"/>
  <c r="D76" i="27"/>
  <c r="G76" i="27"/>
  <c r="G80" i="48"/>
  <c r="E144" i="46"/>
  <c r="E174" i="26" s="1"/>
  <c r="I144" i="46"/>
  <c r="I174" i="26" s="1"/>
  <c r="G66" i="46"/>
  <c r="G69" i="26" s="1"/>
  <c r="K66" i="46"/>
  <c r="K69" i="26" s="1"/>
  <c r="G57" i="46"/>
  <c r="G58" i="26"/>
  <c r="K57" i="46"/>
  <c r="K58" i="26"/>
  <c r="H57" i="46"/>
  <c r="H58" i="26"/>
  <c r="E57" i="46"/>
  <c r="E58" i="26"/>
  <c r="I57" i="46"/>
  <c r="I58" i="26"/>
  <c r="D57" i="46"/>
  <c r="D58" i="26"/>
  <c r="F57" i="46"/>
  <c r="F58" i="26"/>
  <c r="J57" i="46"/>
  <c r="J58" i="26"/>
  <c r="D144" i="46"/>
  <c r="D174" i="26" s="1"/>
  <c r="H144" i="46"/>
  <c r="H174" i="26" s="1"/>
  <c r="F66" i="46"/>
  <c r="F69" i="26" s="1"/>
  <c r="J66" i="46"/>
  <c r="J69" i="26" s="1"/>
  <c r="I56" i="46"/>
  <c r="I59" i="26" s="1"/>
  <c r="F144" i="46"/>
  <c r="F174" i="26" s="1"/>
  <c r="J144" i="46"/>
  <c r="J174" i="26" s="1"/>
  <c r="D66" i="46"/>
  <c r="D69" i="26" s="1"/>
  <c r="H66" i="46"/>
  <c r="H69" i="26" s="1"/>
  <c r="H84" i="46"/>
  <c r="H112" i="26" s="1"/>
  <c r="H27" i="46"/>
  <c r="E107" i="46"/>
  <c r="E136" i="26" s="1"/>
  <c r="E73" i="46"/>
  <c r="E88" i="26" s="1"/>
  <c r="E56" i="46"/>
  <c r="E59" i="26" s="1"/>
  <c r="E122" i="46"/>
  <c r="E90" i="46"/>
  <c r="E118" i="26" s="1"/>
  <c r="I122" i="46"/>
  <c r="I90" i="46"/>
  <c r="I118" i="26" s="1"/>
  <c r="E81" i="46"/>
  <c r="E109" i="26" s="1"/>
  <c r="E26" i="46"/>
  <c r="I81" i="46"/>
  <c r="I109" i="26" s="1"/>
  <c r="I26" i="46"/>
  <c r="E84" i="46"/>
  <c r="E112" i="26" s="1"/>
  <c r="E27" i="46"/>
  <c r="I84" i="46"/>
  <c r="I112" i="26" s="1"/>
  <c r="I27" i="46"/>
  <c r="D104" i="46"/>
  <c r="D133" i="26" s="1"/>
  <c r="D67" i="46"/>
  <c r="D70" i="26" s="1"/>
  <c r="H104" i="46"/>
  <c r="H133" i="26" s="1"/>
  <c r="H67" i="46"/>
  <c r="H70" i="26" s="1"/>
  <c r="F107" i="46"/>
  <c r="F136" i="26" s="1"/>
  <c r="F73" i="46"/>
  <c r="F88" i="26" s="1"/>
  <c r="J107" i="46"/>
  <c r="J136" i="26" s="1"/>
  <c r="J73" i="46"/>
  <c r="J88" i="26" s="1"/>
  <c r="D72" i="46"/>
  <c r="H72" i="46"/>
  <c r="F56" i="46"/>
  <c r="F59" i="26" s="1"/>
  <c r="J56" i="46"/>
  <c r="J59" i="26" s="1"/>
  <c r="H122" i="46"/>
  <c r="H90" i="46"/>
  <c r="H118" i="26" s="1"/>
  <c r="D84" i="46"/>
  <c r="D112" i="26" s="1"/>
  <c r="D27" i="46"/>
  <c r="K104" i="46"/>
  <c r="K133" i="26" s="1"/>
  <c r="K67" i="46"/>
  <c r="K70" i="26" s="1"/>
  <c r="K72" i="46"/>
  <c r="J122" i="46"/>
  <c r="J90" i="46"/>
  <c r="J118" i="26" s="1"/>
  <c r="F81" i="46"/>
  <c r="F109" i="26" s="1"/>
  <c r="F26" i="46"/>
  <c r="F84" i="46"/>
  <c r="F112" i="26" s="1"/>
  <c r="F27" i="46"/>
  <c r="J84" i="46"/>
  <c r="J112" i="26" s="1"/>
  <c r="J27" i="46"/>
  <c r="E104" i="46"/>
  <c r="E133" i="26" s="1"/>
  <c r="E67" i="46"/>
  <c r="E70" i="26" s="1"/>
  <c r="I104" i="46"/>
  <c r="I133" i="26" s="1"/>
  <c r="I67" i="46"/>
  <c r="I70" i="26" s="1"/>
  <c r="G107" i="46"/>
  <c r="G136" i="26" s="1"/>
  <c r="G73" i="46"/>
  <c r="G88" i="26" s="1"/>
  <c r="K107" i="46"/>
  <c r="K136" i="26" s="1"/>
  <c r="K73" i="46"/>
  <c r="K88" i="26" s="1"/>
  <c r="E72" i="46"/>
  <c r="I72" i="46"/>
  <c r="G56" i="46"/>
  <c r="G59" i="26" s="1"/>
  <c r="K56" i="46"/>
  <c r="K59" i="26" s="1"/>
  <c r="G144" i="46"/>
  <c r="G174" i="26" s="1"/>
  <c r="K144" i="46"/>
  <c r="K174" i="26" s="1"/>
  <c r="D122" i="46"/>
  <c r="D90" i="46"/>
  <c r="D118" i="26" s="1"/>
  <c r="D81" i="46"/>
  <c r="D109" i="26" s="1"/>
  <c r="D26" i="46"/>
  <c r="H81" i="46"/>
  <c r="H109" i="26" s="1"/>
  <c r="H26" i="46"/>
  <c r="G104" i="46"/>
  <c r="G133" i="26" s="1"/>
  <c r="G67" i="46"/>
  <c r="G70" i="26" s="1"/>
  <c r="I107" i="46"/>
  <c r="I136" i="26" s="1"/>
  <c r="I73" i="46"/>
  <c r="I88" i="26" s="1"/>
  <c r="G72" i="46"/>
  <c r="F122" i="46"/>
  <c r="F90" i="46"/>
  <c r="F118" i="26" s="1"/>
  <c r="J81" i="46"/>
  <c r="J109" i="26" s="1"/>
  <c r="J26" i="46"/>
  <c r="K123" i="46"/>
  <c r="K91" i="46"/>
  <c r="K119" i="26" s="1"/>
  <c r="G122" i="46"/>
  <c r="G90" i="46"/>
  <c r="G118" i="26" s="1"/>
  <c r="K122" i="46"/>
  <c r="K90" i="46"/>
  <c r="K118" i="26" s="1"/>
  <c r="G81" i="46"/>
  <c r="G109" i="26" s="1"/>
  <c r="G26" i="46"/>
  <c r="K81" i="46"/>
  <c r="K109" i="26" s="1"/>
  <c r="K26" i="46"/>
  <c r="G84" i="46"/>
  <c r="G112" i="26" s="1"/>
  <c r="G27" i="46"/>
  <c r="K84" i="46"/>
  <c r="K112" i="26" s="1"/>
  <c r="K27" i="46"/>
  <c r="E66" i="46"/>
  <c r="E69" i="26" s="1"/>
  <c r="I66" i="46"/>
  <c r="I69" i="26" s="1"/>
  <c r="F104" i="46"/>
  <c r="F133" i="26" s="1"/>
  <c r="F67" i="46"/>
  <c r="F70" i="26" s="1"/>
  <c r="J104" i="46"/>
  <c r="J133" i="26" s="1"/>
  <c r="J67" i="46"/>
  <c r="J70" i="26" s="1"/>
  <c r="D107" i="46"/>
  <c r="D136" i="26" s="1"/>
  <c r="D73" i="46"/>
  <c r="D88" i="26" s="1"/>
  <c r="H107" i="46"/>
  <c r="H136" i="26" s="1"/>
  <c r="H73" i="46"/>
  <c r="H88" i="26" s="1"/>
  <c r="F72" i="46"/>
  <c r="J72" i="46"/>
  <c r="D56" i="46"/>
  <c r="D59" i="26" s="1"/>
  <c r="H56" i="46"/>
  <c r="H59" i="26" s="1"/>
  <c r="AJ30" i="48"/>
  <c r="F38" i="48"/>
  <c r="F42" i="27" s="1"/>
  <c r="E17" i="48"/>
  <c r="M101" i="48" s="1"/>
  <c r="F98" i="48"/>
  <c r="E52" i="48"/>
  <c r="D58" i="48"/>
  <c r="L34" i="48"/>
  <c r="AL34" i="48" s="1"/>
  <c r="L30" i="48"/>
  <c r="L35" i="48"/>
  <c r="AL35" i="48" s="1"/>
  <c r="E38" i="48"/>
  <c r="E42" i="27" s="1"/>
  <c r="M97" i="48"/>
  <c r="N129" i="48"/>
  <c r="M91" i="48"/>
  <c r="M90" i="48"/>
  <c r="E136" i="48"/>
  <c r="AH30" i="48"/>
  <c r="H38" i="48"/>
  <c r="H42" i="27" s="1"/>
  <c r="G38" i="48"/>
  <c r="G42" i="27" s="1"/>
  <c r="L130" i="48"/>
  <c r="L146" i="27" s="1"/>
  <c r="E138" i="49"/>
  <c r="E109" i="48" s="1"/>
  <c r="E122" i="27" s="1"/>
  <c r="E161" i="49"/>
  <c r="AD38" i="48"/>
  <c r="D98" i="48"/>
  <c r="F90" i="48" l="1"/>
  <c r="I90" i="48"/>
  <c r="I91" i="48" s="1"/>
  <c r="I104" i="27" s="1"/>
  <c r="L136" i="48"/>
  <c r="AE38" i="48"/>
  <c r="AF38" i="48"/>
  <c r="D90" i="48"/>
  <c r="D103" i="27" s="1"/>
  <c r="J90" i="48"/>
  <c r="AI38" i="48"/>
  <c r="K98" i="48"/>
  <c r="K99" i="48" s="1"/>
  <c r="K112" i="27" s="1"/>
  <c r="E90" i="48"/>
  <c r="E91" i="48" s="1"/>
  <c r="E104" i="27" s="1"/>
  <c r="K90" i="48"/>
  <c r="K103" i="27" s="1"/>
  <c r="AK38" i="48"/>
  <c r="J91" i="48"/>
  <c r="J103" i="27"/>
  <c r="I78" i="27"/>
  <c r="E78" i="27"/>
  <c r="F91" i="48"/>
  <c r="F104" i="27" s="1"/>
  <c r="F103" i="27"/>
  <c r="F99" i="48"/>
  <c r="F111" i="27"/>
  <c r="H99" i="48"/>
  <c r="H112" i="27" s="1"/>
  <c r="H111" i="27"/>
  <c r="I99" i="48"/>
  <c r="I111" i="27"/>
  <c r="I103" i="27"/>
  <c r="AJ38" i="48"/>
  <c r="K91" i="48"/>
  <c r="G78" i="27"/>
  <c r="J99" i="48"/>
  <c r="J112" i="27" s="1"/>
  <c r="J111" i="27"/>
  <c r="E56" i="48"/>
  <c r="E53" i="27" s="1"/>
  <c r="E48" i="27"/>
  <c r="D99" i="48"/>
  <c r="D112" i="27" s="1"/>
  <c r="D111" i="27"/>
  <c r="L38" i="48"/>
  <c r="AL38" i="48" s="1"/>
  <c r="AL30" i="48"/>
  <c r="L35" i="27"/>
  <c r="K111" i="27"/>
  <c r="L98" i="48"/>
  <c r="L152" i="27"/>
  <c r="E98" i="48"/>
  <c r="E152" i="27"/>
  <c r="H80" i="48"/>
  <c r="H76" i="27"/>
  <c r="G99" i="48"/>
  <c r="G112" i="27" s="1"/>
  <c r="G111" i="27"/>
  <c r="K78" i="27"/>
  <c r="N80" i="48"/>
  <c r="J78" i="27"/>
  <c r="J123" i="46"/>
  <c r="J91" i="46"/>
  <c r="J119" i="26" s="1"/>
  <c r="I123" i="46"/>
  <c r="I91" i="46"/>
  <c r="I119" i="26" s="1"/>
  <c r="AH38" i="48"/>
  <c r="H90" i="48"/>
  <c r="AG38" i="48"/>
  <c r="G90" i="48"/>
  <c r="F135" i="49"/>
  <c r="F106" i="48" s="1"/>
  <c r="F119" i="27" s="1"/>
  <c r="E162" i="49"/>
  <c r="E139" i="49"/>
  <c r="F52" i="48" l="1"/>
  <c r="D91" i="48"/>
  <c r="E103" i="27"/>
  <c r="E58" i="48"/>
  <c r="L99" i="48"/>
  <c r="L111" i="27"/>
  <c r="D104" i="27"/>
  <c r="H91" i="48"/>
  <c r="H103" i="27"/>
  <c r="K101" i="48"/>
  <c r="K114" i="27" s="1"/>
  <c r="K104" i="27"/>
  <c r="F56" i="48"/>
  <c r="F53" i="27" s="1"/>
  <c r="F48" i="27"/>
  <c r="H78" i="27"/>
  <c r="G91" i="48"/>
  <c r="G103" i="27"/>
  <c r="E99" i="48"/>
  <c r="E111" i="27"/>
  <c r="I112" i="27"/>
  <c r="I101" i="48"/>
  <c r="I114" i="27" s="1"/>
  <c r="F101" i="48"/>
  <c r="F114" i="27" s="1"/>
  <c r="F112" i="27"/>
  <c r="J101" i="48"/>
  <c r="J114" i="27" s="1"/>
  <c r="J104" i="27"/>
  <c r="L90" i="48"/>
  <c r="L103" i="27" s="1"/>
  <c r="F138" i="49"/>
  <c r="F109" i="48" s="1"/>
  <c r="F122" i="27" s="1"/>
  <c r="F161" i="49"/>
  <c r="D101" i="48"/>
  <c r="L91" i="48" l="1"/>
  <c r="L104" i="27" s="1"/>
  <c r="F58" i="48"/>
  <c r="G52" i="48"/>
  <c r="G48" i="27" s="1"/>
  <c r="D114" i="27"/>
  <c r="E112" i="27"/>
  <c r="E101" i="48"/>
  <c r="E114" i="27" s="1"/>
  <c r="G56" i="48"/>
  <c r="G53" i="27" s="1"/>
  <c r="G101" i="48"/>
  <c r="G114" i="27" s="1"/>
  <c r="G104" i="27"/>
  <c r="H101" i="48"/>
  <c r="H114" i="27" s="1"/>
  <c r="H104" i="27"/>
  <c r="N99" i="48"/>
  <c r="L112" i="27"/>
  <c r="F162" i="49"/>
  <c r="G135" i="49"/>
  <c r="G106" i="48" s="1"/>
  <c r="G119" i="27" s="1"/>
  <c r="F139" i="49"/>
  <c r="D94" i="26"/>
  <c r="G58" i="48" l="1"/>
  <c r="H52" i="48"/>
  <c r="H56" i="48" s="1"/>
  <c r="L101" i="48"/>
  <c r="G161" i="49"/>
  <c r="G138" i="49"/>
  <c r="G109" i="48" s="1"/>
  <c r="G122" i="27" s="1"/>
  <c r="D181" i="26"/>
  <c r="H53" i="27" l="1"/>
  <c r="H65" i="27" s="1"/>
  <c r="I52" i="48"/>
  <c r="I48" i="27" s="1"/>
  <c r="H48" i="27"/>
  <c r="N101" i="48"/>
  <c r="L114" i="27"/>
  <c r="I56" i="48"/>
  <c r="I53" i="27" s="1"/>
  <c r="I65" i="27" s="1"/>
  <c r="H58" i="48"/>
  <c r="G162" i="49"/>
  <c r="H135" i="49"/>
  <c r="H106" i="48" s="1"/>
  <c r="H119" i="27" s="1"/>
  <c r="G139" i="49"/>
  <c r="I58" i="48" l="1"/>
  <c r="J52" i="48"/>
  <c r="H161" i="49"/>
  <c r="H138" i="49"/>
  <c r="H109" i="48" s="1"/>
  <c r="H122" i="27" s="1"/>
  <c r="J56" i="48" l="1"/>
  <c r="J48" i="27"/>
  <c r="H162" i="49"/>
  <c r="I135" i="49"/>
  <c r="I106" i="48" s="1"/>
  <c r="I119" i="27" s="1"/>
  <c r="H139" i="49"/>
  <c r="J53" i="27" l="1"/>
  <c r="J65" i="27" s="1"/>
  <c r="K52" i="48"/>
  <c r="J58" i="48"/>
  <c r="I161" i="49"/>
  <c r="I138" i="49"/>
  <c r="I109" i="48" s="1"/>
  <c r="I122" i="27" s="1"/>
  <c r="K56" i="48" l="1"/>
  <c r="K48" i="27"/>
  <c r="J135" i="49"/>
  <c r="J106" i="48" s="1"/>
  <c r="J119" i="27" s="1"/>
  <c r="I162" i="49"/>
  <c r="I139" i="49"/>
  <c r="K53" i="27" l="1"/>
  <c r="K65" i="27" s="1"/>
  <c r="N56" i="48"/>
  <c r="K58" i="48"/>
  <c r="J138" i="49"/>
  <c r="J109" i="48" s="1"/>
  <c r="J122" i="27" s="1"/>
  <c r="J161" i="49"/>
  <c r="J162" i="49" l="1"/>
  <c r="K135" i="49"/>
  <c r="K106" i="48" s="1"/>
  <c r="K119" i="27" s="1"/>
  <c r="J139" i="49"/>
  <c r="K161" i="49" l="1"/>
  <c r="K138" i="49"/>
  <c r="K109" i="48" s="1"/>
  <c r="K122" i="27" s="1"/>
  <c r="K162" i="49" l="1"/>
  <c r="E20" i="48" s="1"/>
  <c r="K139" i="49"/>
  <c r="L161" i="49"/>
  <c r="L162" i="49" l="1"/>
  <c r="E94" i="26" l="1"/>
  <c r="F94" i="26" l="1"/>
  <c r="G94" i="26" l="1"/>
  <c r="E181" i="26" l="1"/>
  <c r="F181" i="26" l="1"/>
  <c r="G181" i="26" l="1"/>
  <c r="H94" i="26" l="1"/>
  <c r="H181" i="26" l="1"/>
  <c r="I181" i="26" l="1"/>
  <c r="I94" i="26" l="1"/>
  <c r="F9" i="47" l="1"/>
  <c r="K251" i="47"/>
  <c r="K140" i="46" s="1"/>
  <c r="K170" i="26" s="1"/>
  <c r="J251" i="47"/>
  <c r="J140" i="46" s="1"/>
  <c r="J170" i="26" s="1"/>
  <c r="I251" i="47"/>
  <c r="I140" i="46" s="1"/>
  <c r="H251" i="47"/>
  <c r="H140" i="46" s="1"/>
  <c r="G251" i="47"/>
  <c r="G140" i="46" s="1"/>
  <c r="G170" i="26" s="1"/>
  <c r="F251" i="47"/>
  <c r="F140" i="46" s="1"/>
  <c r="F170" i="26" s="1"/>
  <c r="E251" i="47"/>
  <c r="E140" i="46" s="1"/>
  <c r="D251" i="47"/>
  <c r="D140" i="46" s="1"/>
  <c r="A220" i="47"/>
  <c r="A221" i="47" s="1"/>
  <c r="A223" i="47" s="1"/>
  <c r="A224" i="47" s="1"/>
  <c r="A225" i="47" s="1"/>
  <c r="A226" i="47" s="1"/>
  <c r="A227" i="47" s="1"/>
  <c r="A228" i="47" s="1"/>
  <c r="A229" i="47" s="1"/>
  <c r="A230" i="47" s="1"/>
  <c r="A232" i="47" s="1"/>
  <c r="A233" i="47" s="1"/>
  <c r="A234" i="47" s="1"/>
  <c r="A235" i="47" s="1"/>
  <c r="A236" i="47" s="1"/>
  <c r="A237" i="47" s="1"/>
  <c r="A238" i="47" s="1"/>
  <c r="A239" i="47" s="1"/>
  <c r="A241" i="47" s="1"/>
  <c r="A242" i="47" s="1"/>
  <c r="A243" i="47" s="1"/>
  <c r="A244" i="47" s="1"/>
  <c r="A245" i="47" s="1"/>
  <c r="K176" i="47"/>
  <c r="J176" i="47"/>
  <c r="I176" i="47"/>
  <c r="H176" i="47"/>
  <c r="G176" i="47"/>
  <c r="F176" i="47"/>
  <c r="E176" i="47"/>
  <c r="D176" i="47"/>
  <c r="K175" i="47"/>
  <c r="K132" i="46" s="1"/>
  <c r="K163" i="26" s="1"/>
  <c r="J175" i="47"/>
  <c r="J132" i="46" s="1"/>
  <c r="I175" i="47"/>
  <c r="I132" i="46" s="1"/>
  <c r="I163" i="26" s="1"/>
  <c r="H175" i="47"/>
  <c r="H132" i="46" s="1"/>
  <c r="H163" i="26" s="1"/>
  <c r="G175" i="47"/>
  <c r="G132" i="46" s="1"/>
  <c r="G163" i="26" s="1"/>
  <c r="F175" i="47"/>
  <c r="F132" i="46" s="1"/>
  <c r="F163" i="26" s="1"/>
  <c r="E175" i="47"/>
  <c r="E132" i="46" s="1"/>
  <c r="E163" i="26" s="1"/>
  <c r="D175" i="47"/>
  <c r="D132" i="46" s="1"/>
  <c r="D163" i="26" s="1"/>
  <c r="K174" i="47"/>
  <c r="K133" i="46" s="1"/>
  <c r="K164" i="26" s="1"/>
  <c r="J174" i="47"/>
  <c r="J133" i="46" s="1"/>
  <c r="J164" i="26" s="1"/>
  <c r="I174" i="47"/>
  <c r="I133" i="46" s="1"/>
  <c r="I164" i="26" s="1"/>
  <c r="H174" i="47"/>
  <c r="H133" i="46" s="1"/>
  <c r="H164" i="26" s="1"/>
  <c r="G174" i="47"/>
  <c r="G133" i="46" s="1"/>
  <c r="G164" i="26" s="1"/>
  <c r="F174" i="47"/>
  <c r="F133" i="46" s="1"/>
  <c r="E174" i="47"/>
  <c r="E133" i="46" s="1"/>
  <c r="E164" i="26" s="1"/>
  <c r="D174" i="47"/>
  <c r="D133" i="46" s="1"/>
  <c r="D164" i="26" s="1"/>
  <c r="K155" i="47"/>
  <c r="K117" i="46" s="1"/>
  <c r="K147" i="26" s="1"/>
  <c r="J155" i="47"/>
  <c r="J117" i="46" s="1"/>
  <c r="J147" i="26" s="1"/>
  <c r="I155" i="47"/>
  <c r="I117" i="46" s="1"/>
  <c r="I147" i="26" s="1"/>
  <c r="H155" i="47"/>
  <c r="H117" i="46" s="1"/>
  <c r="H147" i="26" s="1"/>
  <c r="G155" i="47"/>
  <c r="G117" i="46" s="1"/>
  <c r="G147" i="26" s="1"/>
  <c r="F155" i="47"/>
  <c r="F117" i="46" s="1"/>
  <c r="F147" i="26" s="1"/>
  <c r="E155" i="47"/>
  <c r="E117" i="46" s="1"/>
  <c r="E147" i="26" s="1"/>
  <c r="D155" i="47"/>
  <c r="D117" i="46" s="1"/>
  <c r="D147" i="26" s="1"/>
  <c r="K154" i="47"/>
  <c r="K116" i="46" s="1"/>
  <c r="K146" i="26" s="1"/>
  <c r="J154" i="47"/>
  <c r="J116" i="46" s="1"/>
  <c r="J146" i="26" s="1"/>
  <c r="I154" i="47"/>
  <c r="I116" i="46" s="1"/>
  <c r="I146" i="26" s="1"/>
  <c r="H154" i="47"/>
  <c r="H116" i="46" s="1"/>
  <c r="H146" i="26" s="1"/>
  <c r="G154" i="47"/>
  <c r="G116" i="46" s="1"/>
  <c r="G146" i="26" s="1"/>
  <c r="F154" i="47"/>
  <c r="F116" i="46" s="1"/>
  <c r="F146" i="26" s="1"/>
  <c r="E154" i="47"/>
  <c r="E116" i="46" s="1"/>
  <c r="E146" i="26" s="1"/>
  <c r="D154" i="47"/>
  <c r="D116" i="46" s="1"/>
  <c r="D146" i="26" s="1"/>
  <c r="K153" i="47"/>
  <c r="K115" i="46" s="1"/>
  <c r="J153" i="47"/>
  <c r="J115" i="46" s="1"/>
  <c r="I153" i="47"/>
  <c r="I115" i="46" s="1"/>
  <c r="H153" i="47"/>
  <c r="H115" i="46" s="1"/>
  <c r="G153" i="47"/>
  <c r="G115" i="46" s="1"/>
  <c r="F153" i="47"/>
  <c r="F115" i="46" s="1"/>
  <c r="E153" i="47"/>
  <c r="E115" i="46" s="1"/>
  <c r="D153" i="47"/>
  <c r="D115" i="46" s="1"/>
  <c r="K152" i="47"/>
  <c r="K114" i="46" s="1"/>
  <c r="K143" i="26" s="1"/>
  <c r="J152" i="47"/>
  <c r="J114" i="46" s="1"/>
  <c r="J143" i="26" s="1"/>
  <c r="I152" i="47"/>
  <c r="I114" i="46" s="1"/>
  <c r="I143" i="26" s="1"/>
  <c r="H152" i="47"/>
  <c r="H114" i="46" s="1"/>
  <c r="H143" i="26" s="1"/>
  <c r="G152" i="47"/>
  <c r="G114" i="46" s="1"/>
  <c r="G143" i="26" s="1"/>
  <c r="F152" i="47"/>
  <c r="F114" i="46" s="1"/>
  <c r="F143" i="26" s="1"/>
  <c r="E152" i="47"/>
  <c r="E114" i="46" s="1"/>
  <c r="E143" i="26" s="1"/>
  <c r="D152" i="47"/>
  <c r="D114" i="46" s="1"/>
  <c r="D143" i="26" s="1"/>
  <c r="K140" i="47"/>
  <c r="K62" i="46" s="1"/>
  <c r="K65" i="26" s="1"/>
  <c r="J140" i="47"/>
  <c r="J62" i="46" s="1"/>
  <c r="J65" i="26" s="1"/>
  <c r="I140" i="47"/>
  <c r="I62" i="46" s="1"/>
  <c r="I65" i="26" s="1"/>
  <c r="H140" i="47"/>
  <c r="H62" i="46" s="1"/>
  <c r="H65" i="26" s="1"/>
  <c r="G140" i="47"/>
  <c r="G62" i="46" s="1"/>
  <c r="G65" i="26" s="1"/>
  <c r="F140" i="47"/>
  <c r="F62" i="46" s="1"/>
  <c r="F65" i="26" s="1"/>
  <c r="E140" i="47"/>
  <c r="E62" i="46" s="1"/>
  <c r="E65" i="26" s="1"/>
  <c r="D140" i="47"/>
  <c r="D62" i="46" s="1"/>
  <c r="D65" i="26" s="1"/>
  <c r="B133" i="47"/>
  <c r="B132" i="47"/>
  <c r="B131" i="47"/>
  <c r="J130" i="47"/>
  <c r="F130" i="47"/>
  <c r="K144" i="47"/>
  <c r="K149" i="47" s="1"/>
  <c r="K68" i="46" s="1"/>
  <c r="J144" i="47"/>
  <c r="I144" i="47"/>
  <c r="H144" i="47"/>
  <c r="G144" i="47"/>
  <c r="G149" i="47" s="1"/>
  <c r="G68" i="46" s="1"/>
  <c r="F144" i="47"/>
  <c r="E144" i="47"/>
  <c r="D144" i="47"/>
  <c r="K131" i="47"/>
  <c r="J131" i="47"/>
  <c r="I131" i="47"/>
  <c r="H131" i="47"/>
  <c r="G131" i="47"/>
  <c r="F131" i="47"/>
  <c r="E131" i="47"/>
  <c r="D131" i="47"/>
  <c r="L44" i="47"/>
  <c r="L43" i="47"/>
  <c r="K46" i="47"/>
  <c r="G46" i="47"/>
  <c r="L36" i="47"/>
  <c r="L35" i="47"/>
  <c r="F32" i="47"/>
  <c r="I32" i="47"/>
  <c r="H32" i="47"/>
  <c r="E32" i="47"/>
  <c r="D32" i="47"/>
  <c r="L20" i="47"/>
  <c r="K23" i="47"/>
  <c r="G23" i="47"/>
  <c r="L15" i="47"/>
  <c r="J9" i="47"/>
  <c r="G9" i="47"/>
  <c r="K146" i="46"/>
  <c r="K176" i="26" s="1"/>
  <c r="G146" i="46"/>
  <c r="G176" i="26" s="1"/>
  <c r="H134" i="46"/>
  <c r="D134" i="46"/>
  <c r="L126" i="46"/>
  <c r="K127" i="46"/>
  <c r="K160" i="26" s="1"/>
  <c r="J127" i="46"/>
  <c r="J160" i="26" s="1"/>
  <c r="I127" i="46"/>
  <c r="I160" i="26" s="1"/>
  <c r="H127" i="46"/>
  <c r="H160" i="26" s="1"/>
  <c r="G127" i="46"/>
  <c r="G160" i="26" s="1"/>
  <c r="F127" i="46"/>
  <c r="F160" i="26" s="1"/>
  <c r="E127" i="46"/>
  <c r="E160" i="26" s="1"/>
  <c r="L125" i="46"/>
  <c r="E128" i="46"/>
  <c r="K108" i="46"/>
  <c r="K137" i="26" s="1"/>
  <c r="J108" i="46"/>
  <c r="J137" i="26" s="1"/>
  <c r="I108" i="46"/>
  <c r="I137" i="26" s="1"/>
  <c r="H108" i="46"/>
  <c r="H137" i="26" s="1"/>
  <c r="G108" i="46"/>
  <c r="G137" i="26" s="1"/>
  <c r="F108" i="46"/>
  <c r="F137" i="26" s="1"/>
  <c r="E108" i="46"/>
  <c r="E137" i="26" s="1"/>
  <c r="D108" i="46"/>
  <c r="D137" i="26" s="1"/>
  <c r="C93" i="46"/>
  <c r="C91" i="46"/>
  <c r="C90" i="46"/>
  <c r="L88" i="46"/>
  <c r="C88" i="46"/>
  <c r="C87" i="46"/>
  <c r="L85" i="46"/>
  <c r="C85" i="46"/>
  <c r="L84" i="46"/>
  <c r="C84" i="46"/>
  <c r="L83" i="46"/>
  <c r="C83" i="46"/>
  <c r="L82" i="46"/>
  <c r="C82" i="46"/>
  <c r="L81" i="46"/>
  <c r="C81" i="46"/>
  <c r="J74" i="46"/>
  <c r="F74" i="46"/>
  <c r="L73" i="46"/>
  <c r="K74" i="46"/>
  <c r="I74" i="46"/>
  <c r="H74" i="46"/>
  <c r="G74" i="46"/>
  <c r="E74" i="46"/>
  <c r="L72" i="46"/>
  <c r="L67" i="46"/>
  <c r="L70" i="26" s="1"/>
  <c r="L66" i="46"/>
  <c r="L69" i="26" s="1"/>
  <c r="L65" i="46"/>
  <c r="L68" i="26" s="1"/>
  <c r="L64" i="46"/>
  <c r="L67" i="26" s="1"/>
  <c r="L63" i="46"/>
  <c r="L66" i="26" s="1"/>
  <c r="L61" i="46"/>
  <c r="L64" i="26" s="1"/>
  <c r="K51" i="46"/>
  <c r="K53" i="26" s="1"/>
  <c r="J51" i="46"/>
  <c r="J53" i="26" s="1"/>
  <c r="I51" i="46"/>
  <c r="I53" i="26" s="1"/>
  <c r="H51" i="46"/>
  <c r="H53" i="26" s="1"/>
  <c r="G51" i="46"/>
  <c r="G53" i="26" s="1"/>
  <c r="F51" i="46"/>
  <c r="F53" i="26" s="1"/>
  <c r="E51" i="46"/>
  <c r="E53" i="26" s="1"/>
  <c r="L37" i="46"/>
  <c r="L39" i="26" s="1"/>
  <c r="K38" i="46"/>
  <c r="J38" i="46"/>
  <c r="I38" i="46"/>
  <c r="H38" i="46"/>
  <c r="G38" i="46"/>
  <c r="F38" i="46"/>
  <c r="E38" i="46"/>
  <c r="L36" i="46"/>
  <c r="L38" i="26" s="1"/>
  <c r="L30" i="46"/>
  <c r="L34" i="26" s="1"/>
  <c r="K31" i="46"/>
  <c r="J31" i="46"/>
  <c r="I31" i="46"/>
  <c r="H31" i="46"/>
  <c r="G31" i="46"/>
  <c r="F31" i="46"/>
  <c r="E31" i="46"/>
  <c r="D31" i="46"/>
  <c r="J33" i="46"/>
  <c r="L27" i="46"/>
  <c r="F32" i="46"/>
  <c r="E32" i="46"/>
  <c r="L26" i="46"/>
  <c r="K2" i="46"/>
  <c r="I129" i="46" s="1"/>
  <c r="H2" i="46"/>
  <c r="I32" i="46" l="1"/>
  <c r="I128" i="46"/>
  <c r="J32" i="46"/>
  <c r="J34" i="46" s="1"/>
  <c r="J37" i="26" s="1"/>
  <c r="J129" i="46"/>
  <c r="E33" i="46"/>
  <c r="E34" i="46" s="1"/>
  <c r="F33" i="46"/>
  <c r="F34" i="46" s="1"/>
  <c r="I33" i="46"/>
  <c r="G134" i="46"/>
  <c r="J146" i="46"/>
  <c r="J176" i="26" s="1"/>
  <c r="F128" i="46"/>
  <c r="J128" i="46"/>
  <c r="J130" i="46" s="1"/>
  <c r="J162" i="26" s="1"/>
  <c r="K129" i="46"/>
  <c r="K130" i="46" s="1"/>
  <c r="K162" i="26" s="1"/>
  <c r="G32" i="46"/>
  <c r="K32" i="46"/>
  <c r="G33" i="46"/>
  <c r="K33" i="46"/>
  <c r="G128" i="46"/>
  <c r="K128" i="46"/>
  <c r="I130" i="46"/>
  <c r="I162" i="26" s="1"/>
  <c r="H32" i="46"/>
  <c r="H33" i="46"/>
  <c r="D128" i="46"/>
  <c r="H128" i="46"/>
  <c r="F146" i="46"/>
  <c r="F176" i="26" s="1"/>
  <c r="K134" i="46"/>
  <c r="E7" i="46"/>
  <c r="M85" i="46" s="1"/>
  <c r="M113" i="26" s="1"/>
  <c r="L113" i="26"/>
  <c r="E10" i="46"/>
  <c r="N88" i="46" s="1"/>
  <c r="N116" i="26" s="1"/>
  <c r="L116" i="26"/>
  <c r="D146" i="46"/>
  <c r="D176" i="26" s="1"/>
  <c r="D170" i="26"/>
  <c r="H146" i="46"/>
  <c r="H176" i="26" s="1"/>
  <c r="H170" i="26"/>
  <c r="E5" i="46"/>
  <c r="N83" i="46" s="1"/>
  <c r="N111" i="26" s="1"/>
  <c r="L111" i="26"/>
  <c r="K69" i="46"/>
  <c r="K72" i="26" s="1"/>
  <c r="K71" i="26"/>
  <c r="E3" i="46"/>
  <c r="M81" i="46" s="1"/>
  <c r="M109" i="26" s="1"/>
  <c r="L109" i="26"/>
  <c r="G69" i="46"/>
  <c r="G72" i="26" s="1"/>
  <c r="G71" i="26"/>
  <c r="L133" i="46"/>
  <c r="F164" i="26"/>
  <c r="J134" i="46"/>
  <c r="J163" i="26"/>
  <c r="E146" i="46"/>
  <c r="E176" i="26" s="1"/>
  <c r="E170" i="26"/>
  <c r="I146" i="46"/>
  <c r="I176" i="26" s="1"/>
  <c r="I184" i="26" s="1"/>
  <c r="I170" i="26"/>
  <c r="E4" i="46"/>
  <c r="M82" i="46" s="1"/>
  <c r="M110" i="26" s="1"/>
  <c r="L110" i="26"/>
  <c r="E6" i="46"/>
  <c r="N84" i="46" s="1"/>
  <c r="N112" i="26" s="1"/>
  <c r="L112" i="26"/>
  <c r="E134" i="46"/>
  <c r="I134" i="46"/>
  <c r="F97" i="46"/>
  <c r="F125" i="26" s="1"/>
  <c r="L62" i="46"/>
  <c r="L65" i="26" s="1"/>
  <c r="F134" i="46"/>
  <c r="G124" i="47"/>
  <c r="G98" i="46"/>
  <c r="G43" i="46"/>
  <c r="K124" i="47"/>
  <c r="K98" i="46"/>
  <c r="K43" i="46"/>
  <c r="D123" i="46"/>
  <c r="D129" i="46" s="1"/>
  <c r="D130" i="46" s="1"/>
  <c r="D162" i="26" s="1"/>
  <c r="D91" i="46"/>
  <c r="D119" i="26" s="1"/>
  <c r="H123" i="46"/>
  <c r="H129" i="46" s="1"/>
  <c r="H91" i="46"/>
  <c r="H119" i="26" s="1"/>
  <c r="H124" i="47"/>
  <c r="H98" i="46"/>
  <c r="H43" i="46"/>
  <c r="E123" i="46"/>
  <c r="E129" i="46" s="1"/>
  <c r="E130" i="46" s="1"/>
  <c r="E162" i="26" s="1"/>
  <c r="E91" i="46"/>
  <c r="E119" i="26" s="1"/>
  <c r="L74" i="46"/>
  <c r="E9" i="47"/>
  <c r="E124" i="47"/>
  <c r="E98" i="46"/>
  <c r="E43" i="46"/>
  <c r="I124" i="47"/>
  <c r="I98" i="46"/>
  <c r="I43" i="46"/>
  <c r="J97" i="46"/>
  <c r="J125" i="26" s="1"/>
  <c r="F123" i="46"/>
  <c r="F129" i="46" s="1"/>
  <c r="F130" i="46" s="1"/>
  <c r="F162" i="26" s="1"/>
  <c r="F91" i="46"/>
  <c r="F119" i="26" s="1"/>
  <c r="D124" i="47"/>
  <c r="D98" i="46"/>
  <c r="D43" i="46"/>
  <c r="F124" i="47"/>
  <c r="F98" i="46"/>
  <c r="F43" i="46"/>
  <c r="J124" i="47"/>
  <c r="J98" i="46"/>
  <c r="J43" i="46"/>
  <c r="G123" i="46"/>
  <c r="G129" i="46" s="1"/>
  <c r="G130" i="46" s="1"/>
  <c r="G162" i="26" s="1"/>
  <c r="G91" i="46"/>
  <c r="G119" i="26" s="1"/>
  <c r="L31" i="46"/>
  <c r="G146" i="47"/>
  <c r="K146" i="47"/>
  <c r="I9" i="47"/>
  <c r="H23" i="47"/>
  <c r="L12" i="47"/>
  <c r="L16" i="47"/>
  <c r="D46" i="47"/>
  <c r="H46" i="47"/>
  <c r="L38" i="47"/>
  <c r="L8" i="47"/>
  <c r="J158" i="47"/>
  <c r="D9" i="47"/>
  <c r="H9" i="47"/>
  <c r="L7" i="47"/>
  <c r="L17" i="47"/>
  <c r="F23" i="47"/>
  <c r="L26" i="47"/>
  <c r="F46" i="47"/>
  <c r="D165" i="47"/>
  <c r="D44" i="46" s="1"/>
  <c r="D46" i="26" s="1"/>
  <c r="D132" i="47"/>
  <c r="D99" i="46" s="1"/>
  <c r="H165" i="47"/>
  <c r="H44" i="46" s="1"/>
  <c r="H46" i="26" s="1"/>
  <c r="H132" i="47"/>
  <c r="H99" i="46" s="1"/>
  <c r="K9" i="47"/>
  <c r="D23" i="47"/>
  <c r="L40" i="47"/>
  <c r="F158" i="47"/>
  <c r="L13" i="47"/>
  <c r="L21" i="47"/>
  <c r="J23" i="47"/>
  <c r="L31" i="47"/>
  <c r="J32" i="47"/>
  <c r="L39" i="47"/>
  <c r="J46" i="47"/>
  <c r="E23" i="47"/>
  <c r="I23" i="47"/>
  <c r="E46" i="47"/>
  <c r="I46" i="47"/>
  <c r="G165" i="47"/>
  <c r="G44" i="46" s="1"/>
  <c r="G46" i="26" s="1"/>
  <c r="G132" i="47"/>
  <c r="G99" i="46" s="1"/>
  <c r="K165" i="47"/>
  <c r="K44" i="46" s="1"/>
  <c r="K46" i="26" s="1"/>
  <c r="K132" i="47"/>
  <c r="K99" i="46" s="1"/>
  <c r="E130" i="47"/>
  <c r="E97" i="46" s="1"/>
  <c r="E125" i="26" s="1"/>
  <c r="I130" i="47"/>
  <c r="I97" i="46" s="1"/>
  <c r="I125" i="26" s="1"/>
  <c r="F146" i="47"/>
  <c r="J146" i="47"/>
  <c r="F149" i="47"/>
  <c r="F68" i="46" s="1"/>
  <c r="J149" i="47"/>
  <c r="J68" i="46" s="1"/>
  <c r="G32" i="47"/>
  <c r="K32" i="47"/>
  <c r="E165" i="47"/>
  <c r="E44" i="46" s="1"/>
  <c r="E46" i="26" s="1"/>
  <c r="E132" i="47"/>
  <c r="E99" i="46" s="1"/>
  <c r="I165" i="47"/>
  <c r="I44" i="46" s="1"/>
  <c r="I46" i="26" s="1"/>
  <c r="I132" i="47"/>
  <c r="I99" i="46" s="1"/>
  <c r="G130" i="47"/>
  <c r="G97" i="46" s="1"/>
  <c r="G125" i="26" s="1"/>
  <c r="K130" i="47"/>
  <c r="K97" i="46" s="1"/>
  <c r="K125" i="26" s="1"/>
  <c r="D146" i="47"/>
  <c r="H146" i="47"/>
  <c r="D149" i="47"/>
  <c r="D68" i="46" s="1"/>
  <c r="D71" i="26" s="1"/>
  <c r="H149" i="47"/>
  <c r="H68" i="46" s="1"/>
  <c r="L30" i="47"/>
  <c r="F165" i="47"/>
  <c r="F44" i="46" s="1"/>
  <c r="F46" i="26" s="1"/>
  <c r="F132" i="47"/>
  <c r="J165" i="47"/>
  <c r="J44" i="46" s="1"/>
  <c r="J46" i="26" s="1"/>
  <c r="J132" i="47"/>
  <c r="D130" i="47"/>
  <c r="H130" i="47"/>
  <c r="H97" i="46" s="1"/>
  <c r="H125" i="26" s="1"/>
  <c r="E146" i="47"/>
  <c r="I146" i="47"/>
  <c r="E149" i="47"/>
  <c r="E68" i="46" s="1"/>
  <c r="I149" i="47"/>
  <c r="I68" i="46" s="1"/>
  <c r="D28" i="46"/>
  <c r="D31" i="26" s="1"/>
  <c r="H28" i="46"/>
  <c r="D32" i="46"/>
  <c r="L60" i="46"/>
  <c r="L63" i="26" s="1"/>
  <c r="D74" i="46"/>
  <c r="N74" i="46" s="1"/>
  <c r="L90" i="46"/>
  <c r="L118" i="26" s="1"/>
  <c r="L122" i="46"/>
  <c r="J124" i="46"/>
  <c r="E28" i="46"/>
  <c r="I28" i="46"/>
  <c r="L29" i="46"/>
  <c r="L33" i="26" s="1"/>
  <c r="D33" i="46"/>
  <c r="D38" i="46"/>
  <c r="K124" i="46"/>
  <c r="K156" i="26" s="1"/>
  <c r="D127" i="46"/>
  <c r="L132" i="46"/>
  <c r="F28" i="46"/>
  <c r="J28" i="46"/>
  <c r="G28" i="46"/>
  <c r="K28" i="46"/>
  <c r="I124" i="46"/>
  <c r="E37" i="26" l="1"/>
  <c r="E39" i="46"/>
  <c r="F37" i="26"/>
  <c r="F39" i="46"/>
  <c r="M84" i="46"/>
  <c r="M112" i="26" s="1"/>
  <c r="L128" i="46"/>
  <c r="I34" i="46"/>
  <c r="J39" i="46"/>
  <c r="H124" i="46"/>
  <c r="H156" i="26" s="1"/>
  <c r="N82" i="46"/>
  <c r="N110" i="26" s="1"/>
  <c r="N81" i="46"/>
  <c r="N109" i="26" s="1"/>
  <c r="H130" i="46"/>
  <c r="H162" i="26" s="1"/>
  <c r="H34" i="46"/>
  <c r="H37" i="26" s="1"/>
  <c r="G34" i="46"/>
  <c r="L33" i="46"/>
  <c r="K34" i="46"/>
  <c r="K86" i="46" s="1"/>
  <c r="M83" i="46"/>
  <c r="M111" i="26" s="1"/>
  <c r="N85" i="46"/>
  <c r="N113" i="26" s="1"/>
  <c r="E124" i="46"/>
  <c r="E156" i="26" s="1"/>
  <c r="L134" i="46"/>
  <c r="M88" i="46"/>
  <c r="M116" i="26" s="1"/>
  <c r="F124" i="46"/>
  <c r="F156" i="26" s="1"/>
  <c r="J86" i="46"/>
  <c r="J31" i="26"/>
  <c r="I69" i="46"/>
  <c r="I72" i="26" s="1"/>
  <c r="I71" i="26"/>
  <c r="I92" i="46"/>
  <c r="I156" i="26"/>
  <c r="L127" i="46"/>
  <c r="D160" i="26"/>
  <c r="H69" i="46"/>
  <c r="H72" i="26" s="1"/>
  <c r="H71" i="26"/>
  <c r="J69" i="46"/>
  <c r="J72" i="26" s="1"/>
  <c r="J71" i="26"/>
  <c r="I31" i="26"/>
  <c r="F69" i="46"/>
  <c r="F72" i="26" s="1"/>
  <c r="F71" i="26"/>
  <c r="K31" i="26"/>
  <c r="E86" i="46"/>
  <c r="E31" i="26"/>
  <c r="H31" i="26"/>
  <c r="E69" i="46"/>
  <c r="E72" i="26" s="1"/>
  <c r="E71" i="26"/>
  <c r="F86" i="46"/>
  <c r="F31" i="26"/>
  <c r="G86" i="46"/>
  <c r="G31" i="26"/>
  <c r="J92" i="46"/>
  <c r="J156" i="26"/>
  <c r="K92" i="46"/>
  <c r="F133" i="47"/>
  <c r="F100" i="46" s="1"/>
  <c r="F129" i="26" s="1"/>
  <c r="F99" i="46"/>
  <c r="G124" i="46"/>
  <c r="L129" i="46"/>
  <c r="D97" i="46"/>
  <c r="D42" i="46"/>
  <c r="L123" i="46"/>
  <c r="J133" i="47"/>
  <c r="J100" i="46" s="1"/>
  <c r="J129" i="26" s="1"/>
  <c r="J99" i="46"/>
  <c r="D69" i="46"/>
  <c r="L68" i="46"/>
  <c r="L71" i="26" s="1"/>
  <c r="E92" i="46"/>
  <c r="D124" i="46"/>
  <c r="L91" i="46"/>
  <c r="L32" i="47"/>
  <c r="L23" i="47"/>
  <c r="D158" i="47"/>
  <c r="D133" i="47"/>
  <c r="D100" i="46" s="1"/>
  <c r="D129" i="26" s="1"/>
  <c r="L46" i="47"/>
  <c r="K158" i="47"/>
  <c r="K133" i="47"/>
  <c r="K100" i="46" s="1"/>
  <c r="I158" i="47"/>
  <c r="I133" i="47"/>
  <c r="I100" i="46" s="1"/>
  <c r="I129" i="26" s="1"/>
  <c r="L9" i="47"/>
  <c r="H158" i="47"/>
  <c r="H133" i="47"/>
  <c r="H100" i="46" s="1"/>
  <c r="H129" i="26" s="1"/>
  <c r="G158" i="47"/>
  <c r="G133" i="47"/>
  <c r="G100" i="46" s="1"/>
  <c r="G129" i="26" s="1"/>
  <c r="E158" i="47"/>
  <c r="E133" i="47"/>
  <c r="E100" i="46" s="1"/>
  <c r="E129" i="26" s="1"/>
  <c r="L38" i="46"/>
  <c r="E12" i="46"/>
  <c r="D34" i="46"/>
  <c r="D37" i="26" s="1"/>
  <c r="L32" i="46"/>
  <c r="L28" i="46"/>
  <c r="L31" i="26" s="1"/>
  <c r="L130" i="46"/>
  <c r="I37" i="26" l="1"/>
  <c r="I39" i="46"/>
  <c r="I86" i="46"/>
  <c r="H92" i="46"/>
  <c r="H86" i="46"/>
  <c r="H114" i="26" s="1"/>
  <c r="H39" i="46"/>
  <c r="G37" i="26"/>
  <c r="G39" i="46"/>
  <c r="K37" i="26"/>
  <c r="K39" i="46"/>
  <c r="F92" i="46"/>
  <c r="F93" i="46" s="1"/>
  <c r="F121" i="26" s="1"/>
  <c r="F159" i="47"/>
  <c r="L124" i="46"/>
  <c r="L156" i="26" s="1"/>
  <c r="E13" i="46"/>
  <c r="N91" i="46" s="1"/>
  <c r="N119" i="26" s="1"/>
  <c r="L119" i="26"/>
  <c r="K93" i="46"/>
  <c r="K121" i="26" s="1"/>
  <c r="K120" i="26"/>
  <c r="E87" i="46"/>
  <c r="E115" i="26" s="1"/>
  <c r="E114" i="26"/>
  <c r="E20" i="46"/>
  <c r="K129" i="26"/>
  <c r="L69" i="46"/>
  <c r="L72" i="26" s="1"/>
  <c r="D72" i="26"/>
  <c r="F120" i="26"/>
  <c r="G87" i="46"/>
  <c r="G115" i="26" s="1"/>
  <c r="G114" i="26"/>
  <c r="D92" i="46"/>
  <c r="D120" i="26" s="1"/>
  <c r="D156" i="26"/>
  <c r="D46" i="46"/>
  <c r="D48" i="26" s="1"/>
  <c r="D43" i="26"/>
  <c r="G92" i="46"/>
  <c r="G156" i="26"/>
  <c r="H93" i="46"/>
  <c r="H121" i="26" s="1"/>
  <c r="H120" i="26"/>
  <c r="E93" i="46"/>
  <c r="E121" i="26" s="1"/>
  <c r="E120" i="26"/>
  <c r="E19" i="46"/>
  <c r="D125" i="26"/>
  <c r="J93" i="46"/>
  <c r="J121" i="26" s="1"/>
  <c r="J120" i="26"/>
  <c r="F87" i="46"/>
  <c r="F115" i="26" s="1"/>
  <c r="F114" i="26"/>
  <c r="K87" i="46"/>
  <c r="K115" i="26" s="1"/>
  <c r="K114" i="26"/>
  <c r="I87" i="46"/>
  <c r="I115" i="26" s="1"/>
  <c r="I114" i="26"/>
  <c r="I93" i="46"/>
  <c r="I121" i="26" s="1"/>
  <c r="I120" i="26"/>
  <c r="J87" i="46"/>
  <c r="J115" i="26" s="1"/>
  <c r="J114" i="26"/>
  <c r="J159" i="47"/>
  <c r="G159" i="47"/>
  <c r="L158" i="47"/>
  <c r="E159" i="47"/>
  <c r="I159" i="47"/>
  <c r="D159" i="47"/>
  <c r="H159" i="47"/>
  <c r="K159" i="47"/>
  <c r="D86" i="46"/>
  <c r="D114" i="26" s="1"/>
  <c r="L34" i="46"/>
  <c r="D39" i="46"/>
  <c r="N90" i="46"/>
  <c r="N118" i="26" s="1"/>
  <c r="M90" i="46"/>
  <c r="M118" i="26" s="1"/>
  <c r="H87" i="46" l="1"/>
  <c r="H115" i="26" s="1"/>
  <c r="E42" i="46"/>
  <c r="E46" i="46" s="1"/>
  <c r="M91" i="46"/>
  <c r="M119" i="26" s="1"/>
  <c r="L92" i="46"/>
  <c r="L120" i="26" s="1"/>
  <c r="L39" i="46"/>
  <c r="L37" i="26"/>
  <c r="D47" i="46"/>
  <c r="D93" i="46"/>
  <c r="D121" i="26" s="1"/>
  <c r="G93" i="46"/>
  <c r="G121" i="26" s="1"/>
  <c r="G120" i="26"/>
  <c r="L159" i="47"/>
  <c r="L86" i="46"/>
  <c r="D87" i="46"/>
  <c r="E14" i="46" l="1"/>
  <c r="E15" i="46" s="1"/>
  <c r="E43" i="26"/>
  <c r="E48" i="26"/>
  <c r="E47" i="46"/>
  <c r="F42" i="46"/>
  <c r="F46" i="46" s="1"/>
  <c r="L93" i="46"/>
  <c r="L121" i="26" s="1"/>
  <c r="E8" i="46"/>
  <c r="E9" i="46" s="1"/>
  <c r="M87" i="46" s="1"/>
  <c r="M115" i="26" s="1"/>
  <c r="L114" i="26"/>
  <c r="L87" i="46"/>
  <c r="L115" i="26" s="1"/>
  <c r="D115" i="26"/>
  <c r="M93" i="46"/>
  <c r="M121" i="26" s="1"/>
  <c r="E17" i="46" l="1"/>
  <c r="N93" i="46"/>
  <c r="N121" i="26" s="1"/>
  <c r="F48" i="26"/>
  <c r="F47" i="46"/>
  <c r="F43" i="26"/>
  <c r="N87" i="46"/>
  <c r="N115" i="26" s="1"/>
  <c r="G42" i="46"/>
  <c r="G46" i="46" l="1"/>
  <c r="G43" i="26"/>
  <c r="G48" i="26" l="1"/>
  <c r="H42" i="46"/>
  <c r="G47" i="46"/>
  <c r="H46" i="46" l="1"/>
  <c r="H43" i="26"/>
  <c r="D15" i="10"/>
  <c r="E4" i="10" s="1"/>
  <c r="O3" i="55" s="1"/>
  <c r="G15" i="10"/>
  <c r="G3" i="10" s="1"/>
  <c r="F15" i="10"/>
  <c r="F3" i="10" s="1"/>
  <c r="E15" i="10"/>
  <c r="E3" i="10" s="1"/>
  <c r="N2" i="56" l="1"/>
  <c r="N163" i="56" s="1"/>
  <c r="O2" i="55"/>
  <c r="O185" i="55" s="1"/>
  <c r="P2" i="56"/>
  <c r="P162" i="56" s="1"/>
  <c r="Q2" i="55"/>
  <c r="O2" i="56"/>
  <c r="O163" i="56" s="1"/>
  <c r="P2" i="55"/>
  <c r="N3" i="56"/>
  <c r="N3" i="49"/>
  <c r="N164" i="49" s="1"/>
  <c r="D19" i="48" s="1"/>
  <c r="P2" i="47"/>
  <c r="P161" i="47" s="1"/>
  <c r="P2" i="49"/>
  <c r="O2" i="47"/>
  <c r="O162" i="47" s="1"/>
  <c r="O2" i="49"/>
  <c r="N2" i="47"/>
  <c r="N162" i="47" s="1"/>
  <c r="N2" i="49"/>
  <c r="N165" i="49" s="1"/>
  <c r="H48" i="26"/>
  <c r="H47" i="46"/>
  <c r="I42" i="46"/>
  <c r="N3" i="47"/>
  <c r="N161" i="47" s="1"/>
  <c r="D19" i="46"/>
  <c r="O162" i="56" l="1"/>
  <c r="P163" i="56"/>
  <c r="O161" i="47"/>
  <c r="O184" i="55"/>
  <c r="N162" i="56"/>
  <c r="P162" i="47"/>
  <c r="P164" i="49"/>
  <c r="P165" i="49"/>
  <c r="Q184" i="55"/>
  <c r="Q185" i="55"/>
  <c r="O164" i="49"/>
  <c r="O165" i="49"/>
  <c r="P184" i="55"/>
  <c r="P185" i="55"/>
  <c r="I46" i="46"/>
  <c r="I43" i="26"/>
  <c r="H90" i="27"/>
  <c r="I48" i="26" l="1"/>
  <c r="J42" i="46"/>
  <c r="I47" i="46"/>
  <c r="N96" i="43"/>
  <c r="N95" i="43"/>
  <c r="N94" i="43"/>
  <c r="N93" i="43"/>
  <c r="N91" i="43"/>
  <c r="N90" i="43"/>
  <c r="N89" i="43"/>
  <c r="N88" i="43"/>
  <c r="N87" i="43"/>
  <c r="N86" i="43"/>
  <c r="N85" i="43"/>
  <c r="J46" i="46" l="1"/>
  <c r="J43" i="26"/>
  <c r="J48" i="26" l="1"/>
  <c r="J47" i="46"/>
  <c r="K42" i="46"/>
  <c r="K46" i="46" l="1"/>
  <c r="K43" i="26"/>
  <c r="K48" i="26" l="1"/>
  <c r="N46" i="46"/>
  <c r="K47" i="46"/>
  <c r="J152" i="44" l="1"/>
  <c r="H152" i="44"/>
  <c r="D152" i="44"/>
  <c r="J148" i="44"/>
  <c r="H148" i="44"/>
  <c r="F148" i="44"/>
  <c r="D148" i="44"/>
  <c r="J150" i="44"/>
  <c r="H150" i="44"/>
  <c r="F150" i="44"/>
  <c r="D150" i="44"/>
  <c r="H147" i="44"/>
  <c r="F147" i="44"/>
  <c r="J146" i="44"/>
  <c r="H146" i="44"/>
  <c r="F146" i="44"/>
  <c r="D149" i="44"/>
  <c r="H145" i="44"/>
  <c r="F145" i="44"/>
  <c r="J144" i="44"/>
  <c r="H144" i="44"/>
  <c r="F144" i="44"/>
  <c r="D144" i="44"/>
  <c r="H178" i="45"/>
  <c r="H139" i="44" s="1"/>
  <c r="D178" i="45"/>
  <c r="D139" i="44" s="1"/>
  <c r="J174" i="45"/>
  <c r="J114" i="44" s="1"/>
  <c r="H174" i="45"/>
  <c r="H114" i="44" s="1"/>
  <c r="F174" i="45"/>
  <c r="F114" i="44" s="1"/>
  <c r="D174" i="45"/>
  <c r="D114" i="44" s="1"/>
  <c r="J55" i="44"/>
  <c r="H55" i="44"/>
  <c r="F55" i="44"/>
  <c r="D55" i="44"/>
  <c r="J122" i="44"/>
  <c r="H122" i="44"/>
  <c r="F122" i="44"/>
  <c r="D122" i="44"/>
  <c r="J121" i="44"/>
  <c r="F121" i="44"/>
  <c r="D121" i="44"/>
  <c r="J120" i="44"/>
  <c r="H120" i="44"/>
  <c r="F120" i="44"/>
  <c r="D120" i="44"/>
  <c r="J119" i="44"/>
  <c r="H119" i="44"/>
  <c r="D119" i="44"/>
  <c r="J153" i="45"/>
  <c r="J77" i="44" s="1"/>
  <c r="H153" i="45"/>
  <c r="H77" i="44" s="1"/>
  <c r="F153" i="45"/>
  <c r="F77" i="44" s="1"/>
  <c r="D153" i="45"/>
  <c r="D77" i="44" s="1"/>
  <c r="J143" i="45"/>
  <c r="J145" i="45" s="1"/>
  <c r="J72" i="44" s="1"/>
  <c r="H143" i="45"/>
  <c r="H145" i="45" s="1"/>
  <c r="F143" i="45"/>
  <c r="F145" i="45" s="1"/>
  <c r="F150" i="45" s="1"/>
  <c r="D143" i="45"/>
  <c r="D145" i="45" s="1"/>
  <c r="D150" i="45" s="1"/>
  <c r="H133" i="45"/>
  <c r="H66" i="44" s="1"/>
  <c r="D133" i="45"/>
  <c r="D66" i="44" s="1"/>
  <c r="I128" i="45"/>
  <c r="H45" i="44"/>
  <c r="F45" i="44"/>
  <c r="D45" i="44"/>
  <c r="J44" i="44"/>
  <c r="H44" i="44"/>
  <c r="H46" i="44" s="1"/>
  <c r="F44" i="44"/>
  <c r="D44" i="44"/>
  <c r="J41" i="44"/>
  <c r="H41" i="44"/>
  <c r="F41" i="44"/>
  <c r="D41" i="44"/>
  <c r="J40" i="44"/>
  <c r="H40" i="44"/>
  <c r="F40" i="44"/>
  <c r="D40" i="44"/>
  <c r="K113" i="44"/>
  <c r="I113" i="44"/>
  <c r="G113" i="44"/>
  <c r="E113" i="44"/>
  <c r="J79" i="44"/>
  <c r="F79" i="44"/>
  <c r="D79" i="44"/>
  <c r="K75" i="44"/>
  <c r="I75" i="44"/>
  <c r="G75" i="44"/>
  <c r="E75" i="44"/>
  <c r="K74" i="44"/>
  <c r="I74" i="44"/>
  <c r="G74" i="44"/>
  <c r="E74" i="44"/>
  <c r="J73" i="44"/>
  <c r="H73" i="44"/>
  <c r="F73" i="44"/>
  <c r="I76" i="44"/>
  <c r="G76" i="44"/>
  <c r="E76" i="44"/>
  <c r="J76" i="44"/>
  <c r="H76" i="44"/>
  <c r="F76" i="44"/>
  <c r="D76" i="44"/>
  <c r="K71" i="44"/>
  <c r="I71" i="44"/>
  <c r="G71" i="44"/>
  <c r="E71" i="44"/>
  <c r="J70" i="44"/>
  <c r="H70" i="44"/>
  <c r="F70" i="44"/>
  <c r="D135" i="45"/>
  <c r="K62" i="44"/>
  <c r="I62" i="44"/>
  <c r="G62" i="44"/>
  <c r="E62" i="44"/>
  <c r="J61" i="44"/>
  <c r="H61" i="44"/>
  <c r="F61" i="44"/>
  <c r="D61" i="44"/>
  <c r="J33" i="44"/>
  <c r="H33" i="44"/>
  <c r="F33" i="44"/>
  <c r="D33" i="44"/>
  <c r="J32" i="44"/>
  <c r="H32" i="44"/>
  <c r="F32" i="44"/>
  <c r="D32" i="44"/>
  <c r="J31" i="44"/>
  <c r="F47" i="45"/>
  <c r="D31" i="44"/>
  <c r="J131" i="44"/>
  <c r="H131" i="44"/>
  <c r="F131" i="44"/>
  <c r="D131" i="44"/>
  <c r="J132" i="44"/>
  <c r="H132" i="44"/>
  <c r="F132" i="44"/>
  <c r="J92" i="44"/>
  <c r="F92" i="44"/>
  <c r="J88" i="44"/>
  <c r="F88" i="44"/>
  <c r="D88" i="44"/>
  <c r="J87" i="44"/>
  <c r="H86" i="44"/>
  <c r="J96" i="44"/>
  <c r="F96" i="44"/>
  <c r="J94" i="44"/>
  <c r="H128" i="44"/>
  <c r="F94" i="44"/>
  <c r="H97" i="44"/>
  <c r="F97" i="44"/>
  <c r="D147" i="44"/>
  <c r="D145" i="44"/>
  <c r="I179" i="45"/>
  <c r="I138" i="44" s="1"/>
  <c r="H179" i="45"/>
  <c r="H138" i="44" s="1"/>
  <c r="E179" i="45"/>
  <c r="E138" i="44" s="1"/>
  <c r="D179" i="45"/>
  <c r="D138" i="44" s="1"/>
  <c r="K178" i="45"/>
  <c r="K139" i="44" s="1"/>
  <c r="J178" i="45"/>
  <c r="J139" i="44" s="1"/>
  <c r="G178" i="45"/>
  <c r="F178" i="45"/>
  <c r="F139" i="44" s="1"/>
  <c r="K180" i="45"/>
  <c r="J180" i="45"/>
  <c r="I180" i="45"/>
  <c r="H180" i="45"/>
  <c r="G180" i="45"/>
  <c r="F180" i="45"/>
  <c r="E180" i="45"/>
  <c r="D180" i="45"/>
  <c r="K179" i="45"/>
  <c r="K138" i="44" s="1"/>
  <c r="J179" i="45"/>
  <c r="J138" i="44" s="1"/>
  <c r="G179" i="45"/>
  <c r="G138" i="44" s="1"/>
  <c r="F179" i="45"/>
  <c r="F138" i="44" s="1"/>
  <c r="A179" i="45"/>
  <c r="A180" i="45" s="1"/>
  <c r="I178" i="45"/>
  <c r="I139" i="44" s="1"/>
  <c r="E178" i="45"/>
  <c r="E139" i="44" s="1"/>
  <c r="I174" i="45"/>
  <c r="I114" i="44" s="1"/>
  <c r="K174" i="45"/>
  <c r="K114" i="44" s="1"/>
  <c r="G174" i="45"/>
  <c r="G114" i="44" s="1"/>
  <c r="E174" i="45"/>
  <c r="H167" i="45"/>
  <c r="H54" i="44" s="1"/>
  <c r="I167" i="45"/>
  <c r="I54" i="44" s="1"/>
  <c r="D167" i="45"/>
  <c r="D54" i="44" s="1"/>
  <c r="F119" i="44"/>
  <c r="K153" i="45"/>
  <c r="K77" i="44" s="1"/>
  <c r="I153" i="45"/>
  <c r="I77" i="44" s="1"/>
  <c r="G153" i="45"/>
  <c r="G77" i="44" s="1"/>
  <c r="E153" i="45"/>
  <c r="E77" i="44" s="1"/>
  <c r="K143" i="45"/>
  <c r="K145" i="45" s="1"/>
  <c r="I143" i="45"/>
  <c r="I145" i="45" s="1"/>
  <c r="G143" i="45"/>
  <c r="E143" i="45"/>
  <c r="E145" i="45" s="1"/>
  <c r="E150" i="45" s="1"/>
  <c r="B138" i="45"/>
  <c r="K137" i="45"/>
  <c r="K108" i="44" s="1"/>
  <c r="G137" i="45"/>
  <c r="G108" i="44" s="1"/>
  <c r="B137" i="45"/>
  <c r="B136" i="45"/>
  <c r="K133" i="45"/>
  <c r="K66" i="44" s="1"/>
  <c r="I133" i="45"/>
  <c r="I66" i="44" s="1"/>
  <c r="G133" i="45"/>
  <c r="G66" i="44" s="1"/>
  <c r="J45" i="44"/>
  <c r="H79" i="44"/>
  <c r="K76" i="44"/>
  <c r="K167" i="45"/>
  <c r="K54" i="44" s="1"/>
  <c r="I137" i="45"/>
  <c r="I108" i="44" s="1"/>
  <c r="G167" i="45"/>
  <c r="G54" i="44" s="1"/>
  <c r="K47" i="45"/>
  <c r="L39" i="45"/>
  <c r="J47" i="45"/>
  <c r="G47" i="45"/>
  <c r="L36" i="45"/>
  <c r="L35" i="45"/>
  <c r="I32" i="45"/>
  <c r="E32" i="45"/>
  <c r="K32" i="45"/>
  <c r="H32" i="45"/>
  <c r="G32" i="45"/>
  <c r="I23" i="45"/>
  <c r="I87" i="44"/>
  <c r="D9" i="45"/>
  <c r="K9" i="45"/>
  <c r="G9" i="45"/>
  <c r="K152" i="44"/>
  <c r="I152" i="44"/>
  <c r="G152" i="44"/>
  <c r="F152" i="44"/>
  <c r="E152" i="44"/>
  <c r="K150" i="44"/>
  <c r="I150" i="44"/>
  <c r="G150" i="44"/>
  <c r="E150" i="44"/>
  <c r="K149" i="44"/>
  <c r="I149" i="44"/>
  <c r="G149" i="44"/>
  <c r="E149" i="44"/>
  <c r="K148" i="44"/>
  <c r="I148" i="44"/>
  <c r="G148" i="44"/>
  <c r="E148" i="44"/>
  <c r="K147" i="44"/>
  <c r="J147" i="44"/>
  <c r="I147" i="44"/>
  <c r="G147" i="44"/>
  <c r="E147" i="44"/>
  <c r="K146" i="44"/>
  <c r="I146" i="44"/>
  <c r="G146" i="44"/>
  <c r="E146" i="44"/>
  <c r="D146" i="44"/>
  <c r="K145" i="44"/>
  <c r="J145" i="44"/>
  <c r="I145" i="44"/>
  <c r="G145" i="44"/>
  <c r="E145" i="44"/>
  <c r="K144" i="44"/>
  <c r="I144" i="44"/>
  <c r="G144" i="44"/>
  <c r="E144" i="44"/>
  <c r="J140" i="44"/>
  <c r="G139" i="44"/>
  <c r="K132" i="44"/>
  <c r="I132" i="44"/>
  <c r="G132" i="44"/>
  <c r="E132" i="44"/>
  <c r="K131" i="44"/>
  <c r="I131" i="44"/>
  <c r="G131" i="44"/>
  <c r="E131" i="44"/>
  <c r="K129" i="44"/>
  <c r="G129" i="44"/>
  <c r="K128" i="44"/>
  <c r="I128" i="44"/>
  <c r="G128" i="44"/>
  <c r="E128" i="44"/>
  <c r="K122" i="44"/>
  <c r="I122" i="44"/>
  <c r="G122" i="44"/>
  <c r="E122" i="44"/>
  <c r="K121" i="44"/>
  <c r="I121" i="44"/>
  <c r="H121" i="44"/>
  <c r="G121" i="44"/>
  <c r="E121" i="44"/>
  <c r="K120" i="44"/>
  <c r="I120" i="44"/>
  <c r="G120" i="44"/>
  <c r="E120" i="44"/>
  <c r="K119" i="44"/>
  <c r="I119" i="44"/>
  <c r="G119" i="44"/>
  <c r="E119" i="44"/>
  <c r="E114" i="44"/>
  <c r="J113" i="44"/>
  <c r="H113" i="44"/>
  <c r="F113" i="44"/>
  <c r="D113" i="44"/>
  <c r="M100" i="44"/>
  <c r="N100" i="44" s="1"/>
  <c r="K97" i="44"/>
  <c r="G97" i="44"/>
  <c r="K96" i="44"/>
  <c r="I96" i="44"/>
  <c r="G96" i="44"/>
  <c r="E96" i="44"/>
  <c r="K95" i="44"/>
  <c r="I95" i="44"/>
  <c r="G95" i="44"/>
  <c r="E95" i="44"/>
  <c r="K94" i="44"/>
  <c r="I94" i="44"/>
  <c r="G94" i="44"/>
  <c r="E94" i="44"/>
  <c r="M93" i="44"/>
  <c r="K92" i="44"/>
  <c r="I92" i="44"/>
  <c r="G92" i="44"/>
  <c r="E92" i="44"/>
  <c r="K89" i="44"/>
  <c r="I89" i="44"/>
  <c r="G89" i="44"/>
  <c r="E89" i="44"/>
  <c r="K88" i="44"/>
  <c r="I88" i="44"/>
  <c r="G88" i="44"/>
  <c r="E88" i="44"/>
  <c r="K87" i="44"/>
  <c r="H87" i="44"/>
  <c r="G87" i="44"/>
  <c r="F87" i="44"/>
  <c r="K86" i="44"/>
  <c r="I86" i="44"/>
  <c r="G86" i="44"/>
  <c r="E86" i="44"/>
  <c r="K85" i="44"/>
  <c r="I85" i="44"/>
  <c r="G85" i="44"/>
  <c r="E85" i="44"/>
  <c r="K79" i="44"/>
  <c r="I79" i="44"/>
  <c r="G79" i="44"/>
  <c r="E79" i="44"/>
  <c r="J75" i="44"/>
  <c r="H75" i="44"/>
  <c r="F75" i="44"/>
  <c r="D75" i="44"/>
  <c r="J74" i="44"/>
  <c r="H74" i="44"/>
  <c r="F74" i="44"/>
  <c r="D74" i="44"/>
  <c r="K73" i="44"/>
  <c r="I73" i="44"/>
  <c r="G73" i="44"/>
  <c r="E73" i="44"/>
  <c r="D73" i="44"/>
  <c r="J71" i="44"/>
  <c r="H71" i="44"/>
  <c r="F71" i="44"/>
  <c r="D71" i="44"/>
  <c r="K70" i="44"/>
  <c r="I70" i="44"/>
  <c r="G70" i="44"/>
  <c r="E70" i="44"/>
  <c r="D70" i="44"/>
  <c r="K64" i="44"/>
  <c r="I64" i="44"/>
  <c r="G64" i="44"/>
  <c r="E64" i="44"/>
  <c r="J63" i="44"/>
  <c r="H63" i="44"/>
  <c r="F63" i="44"/>
  <c r="D63" i="44"/>
  <c r="J62" i="44"/>
  <c r="H62" i="44"/>
  <c r="F62" i="44"/>
  <c r="D62" i="44"/>
  <c r="K61" i="44"/>
  <c r="I61" i="44"/>
  <c r="G61" i="44"/>
  <c r="E61" i="44"/>
  <c r="K55" i="44"/>
  <c r="I55" i="44"/>
  <c r="G55" i="44"/>
  <c r="E55" i="44"/>
  <c r="AC48" i="44"/>
  <c r="K45" i="44"/>
  <c r="I45" i="44"/>
  <c r="G45" i="44"/>
  <c r="E45" i="44"/>
  <c r="K44" i="44"/>
  <c r="I44" i="44"/>
  <c r="G44" i="44"/>
  <c r="E44" i="44"/>
  <c r="K41" i="44"/>
  <c r="I41" i="44"/>
  <c r="G41" i="44"/>
  <c r="E41" i="44"/>
  <c r="K40" i="44"/>
  <c r="I40" i="44"/>
  <c r="G40" i="44"/>
  <c r="E40" i="44"/>
  <c r="K33" i="44"/>
  <c r="I33" i="44"/>
  <c r="G33" i="44"/>
  <c r="E33" i="44"/>
  <c r="K32" i="44"/>
  <c r="I32" i="44"/>
  <c r="G32" i="44"/>
  <c r="E32" i="44"/>
  <c r="K31" i="44"/>
  <c r="I31" i="44"/>
  <c r="G31" i="44"/>
  <c r="E31" i="44"/>
  <c r="K29" i="44"/>
  <c r="AK29" i="44" s="1"/>
  <c r="I29" i="44"/>
  <c r="G29" i="44"/>
  <c r="AG29" i="44" s="1"/>
  <c r="E29" i="44"/>
  <c r="K28" i="44"/>
  <c r="I28" i="44"/>
  <c r="G28" i="44"/>
  <c r="E28" i="44"/>
  <c r="K27" i="44"/>
  <c r="I27" i="44"/>
  <c r="G27" i="44"/>
  <c r="E27" i="44"/>
  <c r="AL26" i="44"/>
  <c r="AK26" i="44"/>
  <c r="AJ26" i="44"/>
  <c r="AI26" i="44"/>
  <c r="AH26" i="44"/>
  <c r="AG26" i="44"/>
  <c r="AF26" i="44"/>
  <c r="AE26" i="44"/>
  <c r="AD26" i="44"/>
  <c r="K2" i="44"/>
  <c r="H2" i="44"/>
  <c r="AC48" i="43"/>
  <c r="H2" i="43"/>
  <c r="H101" i="26"/>
  <c r="J54" i="26"/>
  <c r="H54" i="26"/>
  <c r="F54" i="26"/>
  <c r="K54" i="26"/>
  <c r="I54" i="26"/>
  <c r="G54" i="26"/>
  <c r="E54" i="26"/>
  <c r="E72" i="44" l="1"/>
  <c r="AG41" i="44"/>
  <c r="AF40" i="44"/>
  <c r="AI31" i="44"/>
  <c r="AI40" i="44"/>
  <c r="AI41" i="44"/>
  <c r="E133" i="44"/>
  <c r="I133" i="44"/>
  <c r="AH40" i="44"/>
  <c r="AG31" i="44"/>
  <c r="E36" i="44"/>
  <c r="AK31" i="44"/>
  <c r="K48" i="44"/>
  <c r="AK48" i="44" s="1"/>
  <c r="G135" i="44"/>
  <c r="J133" i="44"/>
  <c r="K135" i="44"/>
  <c r="F133" i="44"/>
  <c r="AE31" i="44"/>
  <c r="AE33" i="44"/>
  <c r="AE40" i="44"/>
  <c r="K140" i="44"/>
  <c r="K134" i="44"/>
  <c r="I151" i="44"/>
  <c r="I35" i="44"/>
  <c r="AI35" i="44" s="1"/>
  <c r="I36" i="44"/>
  <c r="E48" i="44"/>
  <c r="AE48" i="44" s="1"/>
  <c r="F42" i="44"/>
  <c r="AF42" i="44" s="1"/>
  <c r="K35" i="44"/>
  <c r="AK35" i="44" s="1"/>
  <c r="K36" i="44"/>
  <c r="K34" i="44"/>
  <c r="AE41" i="44"/>
  <c r="E46" i="44"/>
  <c r="G48" i="44"/>
  <c r="AG48" i="44" s="1"/>
  <c r="G46" i="44"/>
  <c r="D136" i="45"/>
  <c r="D53" i="44" s="1"/>
  <c r="H136" i="45"/>
  <c r="H107" i="44" s="1"/>
  <c r="G36" i="44"/>
  <c r="G42" i="44"/>
  <c r="AG42" i="44" s="1"/>
  <c r="AG40" i="44"/>
  <c r="K151" i="44"/>
  <c r="K46" i="44"/>
  <c r="AF33" i="44"/>
  <c r="L33" i="44"/>
  <c r="AL33" i="44" s="1"/>
  <c r="AD33" i="44"/>
  <c r="AH33" i="44"/>
  <c r="L45" i="44"/>
  <c r="D107" i="44"/>
  <c r="AJ33" i="44"/>
  <c r="AJ40" i="44"/>
  <c r="I37" i="44"/>
  <c r="AI37" i="44" s="1"/>
  <c r="AI29" i="44"/>
  <c r="I150" i="45"/>
  <c r="I72" i="44"/>
  <c r="H140" i="44"/>
  <c r="F9" i="45"/>
  <c r="F129" i="44"/>
  <c r="F135" i="44" s="1"/>
  <c r="J97" i="44"/>
  <c r="J129" i="44"/>
  <c r="J135" i="44" s="1"/>
  <c r="F85" i="44"/>
  <c r="F27" i="44"/>
  <c r="J85" i="44"/>
  <c r="J27" i="44"/>
  <c r="J35" i="44" s="1"/>
  <c r="F89" i="44"/>
  <c r="F29" i="44"/>
  <c r="J89" i="44"/>
  <c r="J29" i="44"/>
  <c r="J37" i="44" s="1"/>
  <c r="F46" i="44"/>
  <c r="H150" i="45"/>
  <c r="H72" i="44"/>
  <c r="D151" i="44"/>
  <c r="F149" i="44"/>
  <c r="J149" i="44"/>
  <c r="F31" i="44"/>
  <c r="D72" i="44"/>
  <c r="E37" i="44"/>
  <c r="AE37" i="44" s="1"/>
  <c r="AE29" i="44"/>
  <c r="F140" i="44"/>
  <c r="D140" i="44"/>
  <c r="D97" i="44"/>
  <c r="D129" i="44"/>
  <c r="H9" i="45"/>
  <c r="H129" i="44"/>
  <c r="H135" i="44" s="1"/>
  <c r="D128" i="44"/>
  <c r="H95" i="44"/>
  <c r="L13" i="45"/>
  <c r="E13" i="44" s="1"/>
  <c r="D96" i="44"/>
  <c r="H96" i="44"/>
  <c r="D23" i="45"/>
  <c r="D85" i="44"/>
  <c r="D27" i="44"/>
  <c r="D35" i="44" s="1"/>
  <c r="H85" i="44"/>
  <c r="H27" i="44"/>
  <c r="D86" i="44"/>
  <c r="D28" i="44"/>
  <c r="D89" i="44"/>
  <c r="D29" i="44"/>
  <c r="AD29" i="44" s="1"/>
  <c r="H89" i="44"/>
  <c r="H29" i="44"/>
  <c r="AH29" i="44" s="1"/>
  <c r="D87" i="44"/>
  <c r="H88" i="44"/>
  <c r="H133" i="44"/>
  <c r="H47" i="45"/>
  <c r="E63" i="44"/>
  <c r="E136" i="45"/>
  <c r="I136" i="45"/>
  <c r="I63" i="44"/>
  <c r="D137" i="45"/>
  <c r="D108" i="44" s="1"/>
  <c r="D64" i="44"/>
  <c r="H137" i="45"/>
  <c r="H108" i="44" s="1"/>
  <c r="H64" i="44"/>
  <c r="L40" i="44"/>
  <c r="AL40" i="44" s="1"/>
  <c r="D46" i="44"/>
  <c r="H149" i="44"/>
  <c r="H28" i="44"/>
  <c r="H31" i="44"/>
  <c r="F72" i="44"/>
  <c r="D94" i="44"/>
  <c r="H94" i="44"/>
  <c r="L94" i="44" s="1"/>
  <c r="D95" i="44"/>
  <c r="K42" i="44"/>
  <c r="AK42" i="44" s="1"/>
  <c r="AK40" i="44"/>
  <c r="G34" i="44"/>
  <c r="AK41" i="44"/>
  <c r="E140" i="44"/>
  <c r="I140" i="44"/>
  <c r="E42" i="44"/>
  <c r="I42" i="44"/>
  <c r="G133" i="44"/>
  <c r="K133" i="44"/>
  <c r="I46" i="44"/>
  <c r="I48" i="44"/>
  <c r="AI33" i="44"/>
  <c r="I34" i="44"/>
  <c r="E34" i="44"/>
  <c r="AD40" i="44"/>
  <c r="D42" i="44"/>
  <c r="H42" i="44"/>
  <c r="E78" i="44"/>
  <c r="H78" i="44"/>
  <c r="H86" i="27" s="1"/>
  <c r="E134" i="44"/>
  <c r="F23" i="45"/>
  <c r="F86" i="44"/>
  <c r="F28" i="44"/>
  <c r="J86" i="44"/>
  <c r="J28" i="44"/>
  <c r="G30" i="44"/>
  <c r="AG27" i="44"/>
  <c r="G35" i="44"/>
  <c r="K30" i="44"/>
  <c r="AK27" i="44"/>
  <c r="J34" i="44"/>
  <c r="AJ31" i="44"/>
  <c r="F48" i="44"/>
  <c r="AF41" i="44"/>
  <c r="J48" i="44"/>
  <c r="AJ41" i="44"/>
  <c r="J42" i="44"/>
  <c r="L44" i="44"/>
  <c r="J78" i="44"/>
  <c r="K155" i="44"/>
  <c r="E9" i="45"/>
  <c r="E129" i="44"/>
  <c r="E97" i="44"/>
  <c r="I129" i="44"/>
  <c r="I9" i="45"/>
  <c r="I97" i="44"/>
  <c r="F95" i="44"/>
  <c r="F128" i="44"/>
  <c r="J95" i="44"/>
  <c r="J128" i="44"/>
  <c r="D161" i="45"/>
  <c r="D106" i="44"/>
  <c r="D52" i="44"/>
  <c r="G136" i="45"/>
  <c r="G63" i="44"/>
  <c r="K136" i="45"/>
  <c r="K63" i="44"/>
  <c r="F137" i="45"/>
  <c r="F108" i="44" s="1"/>
  <c r="F167" i="45"/>
  <c r="F54" i="44" s="1"/>
  <c r="F64" i="44"/>
  <c r="J137" i="45"/>
  <c r="J108" i="44" s="1"/>
  <c r="J167" i="45"/>
  <c r="J54" i="44" s="1"/>
  <c r="J64" i="44"/>
  <c r="F78" i="44"/>
  <c r="J46" i="44"/>
  <c r="F128" i="45"/>
  <c r="J128" i="45"/>
  <c r="F133" i="45"/>
  <c r="J133" i="45"/>
  <c r="E30" i="44"/>
  <c r="AE27" i="44"/>
  <c r="I30" i="44"/>
  <c r="AI27" i="44"/>
  <c r="D34" i="44"/>
  <c r="AD31" i="44"/>
  <c r="H34" i="44"/>
  <c r="AH31" i="44"/>
  <c r="E35" i="44"/>
  <c r="AD41" i="44"/>
  <c r="D48" i="44"/>
  <c r="AH41" i="44"/>
  <c r="H48" i="44"/>
  <c r="L41" i="44"/>
  <c r="H134" i="44"/>
  <c r="G140" i="44"/>
  <c r="L139" i="44"/>
  <c r="L32" i="44"/>
  <c r="G37" i="44"/>
  <c r="AG33" i="44"/>
  <c r="K37" i="44"/>
  <c r="AK33" i="44"/>
  <c r="L131" i="44"/>
  <c r="D92" i="44"/>
  <c r="H92" i="44"/>
  <c r="L26" i="45"/>
  <c r="E9" i="44" s="1"/>
  <c r="K150" i="45"/>
  <c r="K72" i="44"/>
  <c r="L138" i="44"/>
  <c r="G151" i="44"/>
  <c r="L7" i="45"/>
  <c r="E23" i="45"/>
  <c r="E87" i="44"/>
  <c r="J150" i="45"/>
  <c r="G134" i="44"/>
  <c r="I134" i="44"/>
  <c r="E151" i="44"/>
  <c r="D32" i="45"/>
  <c r="L30" i="45"/>
  <c r="D132" i="44"/>
  <c r="J23" i="45"/>
  <c r="J32" i="45"/>
  <c r="F32" i="45"/>
  <c r="D47" i="45"/>
  <c r="L38" i="45"/>
  <c r="L40" i="45"/>
  <c r="G130" i="44"/>
  <c r="K130" i="44"/>
  <c r="L12" i="45"/>
  <c r="E12" i="44" s="1"/>
  <c r="G23" i="45"/>
  <c r="K23" i="45"/>
  <c r="L16" i="45"/>
  <c r="E4" i="44" s="1"/>
  <c r="L17" i="45"/>
  <c r="E7" i="44" s="1"/>
  <c r="L20" i="45"/>
  <c r="E5" i="44" s="1"/>
  <c r="L21" i="45"/>
  <c r="E6" i="44" s="1"/>
  <c r="L44" i="45"/>
  <c r="L45" i="45"/>
  <c r="F136" i="45"/>
  <c r="J136" i="45"/>
  <c r="E137" i="45"/>
  <c r="E108" i="44" s="1"/>
  <c r="E167" i="45"/>
  <c r="E54" i="44" s="1"/>
  <c r="E128" i="45"/>
  <c r="G145" i="45"/>
  <c r="L8" i="45"/>
  <c r="E11" i="44" s="1"/>
  <c r="J9" i="45"/>
  <c r="L15" i="45"/>
  <c r="H23" i="45"/>
  <c r="I47" i="45"/>
  <c r="K128" i="45"/>
  <c r="E133" i="45"/>
  <c r="E66" i="44" s="1"/>
  <c r="L31" i="45"/>
  <c r="L43" i="45"/>
  <c r="H128" i="45"/>
  <c r="E47" i="45"/>
  <c r="G128" i="45"/>
  <c r="D128" i="45"/>
  <c r="K136" i="44" l="1"/>
  <c r="D153" i="44"/>
  <c r="L29" i="44"/>
  <c r="I78" i="44"/>
  <c r="F35" i="44"/>
  <c r="J151" i="44"/>
  <c r="D155" i="44"/>
  <c r="I80" i="44"/>
  <c r="AK34" i="44"/>
  <c r="I155" i="44"/>
  <c r="K153" i="44"/>
  <c r="H15" i="10"/>
  <c r="H3" i="10" s="1"/>
  <c r="I65" i="44"/>
  <c r="L31" i="44"/>
  <c r="L89" i="44"/>
  <c r="L85" i="44"/>
  <c r="H53" i="44"/>
  <c r="F34" i="44"/>
  <c r="I153" i="44"/>
  <c r="F151" i="44"/>
  <c r="AF31" i="44"/>
  <c r="H65" i="44"/>
  <c r="L27" i="44"/>
  <c r="D30" i="44"/>
  <c r="D38" i="44" s="1"/>
  <c r="AD27" i="44"/>
  <c r="D130" i="44"/>
  <c r="D134" i="44"/>
  <c r="L86" i="44"/>
  <c r="L88" i="44"/>
  <c r="D37" i="44"/>
  <c r="AI42" i="44"/>
  <c r="D65" i="44"/>
  <c r="H35" i="44"/>
  <c r="L35" i="44" s="1"/>
  <c r="AH27" i="44"/>
  <c r="H151" i="44"/>
  <c r="H175" i="27" s="1"/>
  <c r="AF29" i="44"/>
  <c r="F37" i="44"/>
  <c r="AF27" i="44"/>
  <c r="H36" i="44"/>
  <c r="H130" i="44"/>
  <c r="AE42" i="44"/>
  <c r="AG34" i="44"/>
  <c r="I107" i="44"/>
  <c r="I53" i="44"/>
  <c r="H37" i="44"/>
  <c r="L96" i="44"/>
  <c r="L129" i="44"/>
  <c r="L95" i="44"/>
  <c r="L97" i="44"/>
  <c r="E65" i="44"/>
  <c r="D138" i="45"/>
  <c r="D139" i="45" s="1"/>
  <c r="J65" i="44"/>
  <c r="H30" i="44"/>
  <c r="AH30" i="44" s="1"/>
  <c r="E53" i="44"/>
  <c r="E107" i="44"/>
  <c r="M96" i="44"/>
  <c r="AJ29" i="44"/>
  <c r="AJ27" i="44"/>
  <c r="D78" i="44"/>
  <c r="D36" i="44"/>
  <c r="M88" i="44"/>
  <c r="E3" i="44"/>
  <c r="L23" i="45"/>
  <c r="M94" i="44"/>
  <c r="M89" i="44"/>
  <c r="L47" i="45"/>
  <c r="J153" i="44"/>
  <c r="J155" i="44"/>
  <c r="L132" i="44"/>
  <c r="D135" i="44"/>
  <c r="E153" i="44"/>
  <c r="E155" i="44"/>
  <c r="L9" i="45"/>
  <c r="E14" i="44"/>
  <c r="E15" i="44" s="1"/>
  <c r="M92" i="44"/>
  <c r="AH48" i="44"/>
  <c r="AJ37" i="44"/>
  <c r="AH34" i="44"/>
  <c r="J66" i="44"/>
  <c r="K107" i="44"/>
  <c r="K53" i="44"/>
  <c r="AF34" i="44"/>
  <c r="K38" i="44"/>
  <c r="AK30" i="44"/>
  <c r="H80" i="44"/>
  <c r="L87" i="44"/>
  <c r="L46" i="44"/>
  <c r="G150" i="45"/>
  <c r="G72" i="44"/>
  <c r="J107" i="44"/>
  <c r="J53" i="44"/>
  <c r="F153" i="44"/>
  <c r="L32" i="45"/>
  <c r="G155" i="44"/>
  <c r="G153" i="44"/>
  <c r="AD35" i="44"/>
  <c r="AK37" i="44"/>
  <c r="H136" i="44"/>
  <c r="AE35" i="44"/>
  <c r="I38" i="44"/>
  <c r="AI30" i="44"/>
  <c r="F66" i="44"/>
  <c r="F65" i="44"/>
  <c r="E135" i="44"/>
  <c r="E130" i="44"/>
  <c r="J80" i="44"/>
  <c r="AJ42" i="44"/>
  <c r="AF48" i="44"/>
  <c r="AJ34" i="44"/>
  <c r="AF35" i="44"/>
  <c r="AD37" i="44"/>
  <c r="AG35" i="44"/>
  <c r="F36" i="44"/>
  <c r="F30" i="44"/>
  <c r="E80" i="44"/>
  <c r="AE34" i="44"/>
  <c r="AI48" i="44"/>
  <c r="F107" i="44"/>
  <c r="F53" i="44"/>
  <c r="M86" i="44"/>
  <c r="G136" i="44"/>
  <c r="K78" i="44"/>
  <c r="AD48" i="44"/>
  <c r="AL31" i="44"/>
  <c r="AD34" i="44"/>
  <c r="F80" i="44"/>
  <c r="G107" i="44"/>
  <c r="G53" i="44"/>
  <c r="E19" i="44"/>
  <c r="J134" i="44"/>
  <c r="J130" i="44"/>
  <c r="F134" i="44"/>
  <c r="F130" i="44"/>
  <c r="AJ35" i="44"/>
  <c r="AL29" i="44"/>
  <c r="J36" i="44"/>
  <c r="J30" i="44"/>
  <c r="AH42" i="44"/>
  <c r="AI34" i="44"/>
  <c r="M87" i="44"/>
  <c r="M95" i="44"/>
  <c r="L92" i="44"/>
  <c r="D133" i="44"/>
  <c r="AG37" i="44"/>
  <c r="AL41" i="44"/>
  <c r="L48" i="44"/>
  <c r="L42" i="44"/>
  <c r="L28" i="44"/>
  <c r="E38" i="44"/>
  <c r="AE30" i="44"/>
  <c r="D56" i="44"/>
  <c r="I135" i="44"/>
  <c r="I130" i="44"/>
  <c r="K65" i="44"/>
  <c r="AJ48" i="44"/>
  <c r="G38" i="44"/>
  <c r="AG30" i="44"/>
  <c r="G65" i="44"/>
  <c r="K98" i="44"/>
  <c r="L128" i="44"/>
  <c r="AD42" i="44"/>
  <c r="L140" i="44"/>
  <c r="Q2" i="56" l="1"/>
  <c r="Q162" i="56" s="1"/>
  <c r="R2" i="55"/>
  <c r="Q2" i="47"/>
  <c r="Q162" i="47" s="1"/>
  <c r="Q2" i="49"/>
  <c r="H168" i="27"/>
  <c r="L34" i="44"/>
  <c r="Q161" i="47"/>
  <c r="I82" i="44"/>
  <c r="F155" i="44"/>
  <c r="K99" i="44"/>
  <c r="I15" i="10"/>
  <c r="I3" i="10" s="1"/>
  <c r="E135" i="45"/>
  <c r="E161" i="45" s="1"/>
  <c r="H38" i="44"/>
  <c r="AH38" i="44" s="1"/>
  <c r="D162" i="45"/>
  <c r="H155" i="44"/>
  <c r="H153" i="44"/>
  <c r="AL27" i="44"/>
  <c r="D109" i="44"/>
  <c r="D80" i="44"/>
  <c r="AH37" i="44"/>
  <c r="AF37" i="44"/>
  <c r="L37" i="44"/>
  <c r="AL37" i="44" s="1"/>
  <c r="AH35" i="44"/>
  <c r="AD30" i="44"/>
  <c r="AL42" i="44"/>
  <c r="AM48" i="44" s="1"/>
  <c r="L133" i="44"/>
  <c r="J136" i="44"/>
  <c r="E82" i="44"/>
  <c r="L130" i="44"/>
  <c r="I136" i="44"/>
  <c r="H82" i="44"/>
  <c r="L135" i="44"/>
  <c r="D136" i="44"/>
  <c r="M99" i="44"/>
  <c r="L134" i="44"/>
  <c r="E90" i="44"/>
  <c r="AE38" i="44"/>
  <c r="AL48" i="44"/>
  <c r="E136" i="44"/>
  <c r="F136" i="44"/>
  <c r="AI38" i="44"/>
  <c r="I90" i="44"/>
  <c r="H98" i="44"/>
  <c r="G78" i="44"/>
  <c r="M97" i="44"/>
  <c r="N129" i="44"/>
  <c r="G90" i="44"/>
  <c r="AG38" i="44"/>
  <c r="E52" i="44"/>
  <c r="D58" i="44"/>
  <c r="AJ30" i="44"/>
  <c r="J38" i="44"/>
  <c r="AL34" i="44"/>
  <c r="G98" i="44"/>
  <c r="AF30" i="44"/>
  <c r="F38" i="44"/>
  <c r="L30" i="44"/>
  <c r="J82" i="44"/>
  <c r="E106" i="44"/>
  <c r="N128" i="44"/>
  <c r="M85" i="44"/>
  <c r="E8" i="44"/>
  <c r="AD38" i="44"/>
  <c r="D90" i="44"/>
  <c r="F82" i="44"/>
  <c r="K80" i="44"/>
  <c r="L36" i="44"/>
  <c r="AL35" i="44"/>
  <c r="K90" i="44"/>
  <c r="AK38" i="44"/>
  <c r="Q163" i="56" l="1"/>
  <c r="R2" i="56"/>
  <c r="R162" i="56" s="1"/>
  <c r="S2" i="55"/>
  <c r="Q164" i="49"/>
  <c r="Q165" i="49"/>
  <c r="R184" i="55"/>
  <c r="R185" i="55"/>
  <c r="R2" i="47"/>
  <c r="R161" i="47" s="1"/>
  <c r="R2" i="49"/>
  <c r="E91" i="44"/>
  <c r="G91" i="44"/>
  <c r="H99" i="44"/>
  <c r="K91" i="44"/>
  <c r="G99" i="44"/>
  <c r="I91" i="44"/>
  <c r="J15" i="10"/>
  <c r="J3" i="10" s="1"/>
  <c r="H90" i="44"/>
  <c r="E138" i="45"/>
  <c r="E109" i="44" s="1"/>
  <c r="D82" i="44"/>
  <c r="D91" i="44"/>
  <c r="AL30" i="44"/>
  <c r="J98" i="44"/>
  <c r="J90" i="44"/>
  <c r="AJ38" i="44"/>
  <c r="E56" i="44"/>
  <c r="F98" i="44"/>
  <c r="L136" i="44"/>
  <c r="D98" i="44"/>
  <c r="F90" i="44"/>
  <c r="AF38" i="44"/>
  <c r="G80" i="44"/>
  <c r="I98" i="44"/>
  <c r="N80" i="44"/>
  <c r="K82" i="44"/>
  <c r="L38" i="44"/>
  <c r="M91" i="44"/>
  <c r="M90" i="44"/>
  <c r="E98" i="44"/>
  <c r="E17" i="44"/>
  <c r="R163" i="56" l="1"/>
  <c r="G101" i="44"/>
  <c r="S2" i="56"/>
  <c r="S163" i="56" s="1"/>
  <c r="T2" i="55"/>
  <c r="E162" i="45"/>
  <c r="R162" i="47"/>
  <c r="R164" i="49"/>
  <c r="R165" i="49"/>
  <c r="S184" i="55"/>
  <c r="S185" i="55"/>
  <c r="S2" i="47"/>
  <c r="S161" i="47" s="1"/>
  <c r="S2" i="49"/>
  <c r="J91" i="44"/>
  <c r="E99" i="44"/>
  <c r="E101" i="44" s="1"/>
  <c r="F91" i="44"/>
  <c r="J99" i="44"/>
  <c r="F99" i="44"/>
  <c r="H91" i="44"/>
  <c r="I99" i="44"/>
  <c r="D99" i="44"/>
  <c r="K101" i="44"/>
  <c r="L15" i="10"/>
  <c r="L3" i="10" s="1"/>
  <c r="K15" i="10"/>
  <c r="K3" i="10" s="1"/>
  <c r="F135" i="45"/>
  <c r="F106" i="44" s="1"/>
  <c r="E139" i="45"/>
  <c r="G82" i="44"/>
  <c r="L90" i="44"/>
  <c r="AL38" i="44"/>
  <c r="I101" i="44"/>
  <c r="D101" i="44"/>
  <c r="L98" i="44"/>
  <c r="M101" i="44"/>
  <c r="E58" i="44"/>
  <c r="F52" i="44"/>
  <c r="L91" i="44" l="1"/>
  <c r="F101" i="44"/>
  <c r="S162" i="56"/>
  <c r="T2" i="56"/>
  <c r="T162" i="56" s="1"/>
  <c r="U2" i="55"/>
  <c r="U2" i="56"/>
  <c r="U162" i="56" s="1"/>
  <c r="V2" i="55"/>
  <c r="J101" i="44"/>
  <c r="F161" i="45"/>
  <c r="S162" i="47"/>
  <c r="T2" i="47"/>
  <c r="T162" i="47" s="1"/>
  <c r="T2" i="49"/>
  <c r="U2" i="49"/>
  <c r="S164" i="49"/>
  <c r="S165" i="49"/>
  <c r="T184" i="55"/>
  <c r="T185" i="55"/>
  <c r="H101" i="44"/>
  <c r="U2" i="47"/>
  <c r="D20" i="46"/>
  <c r="L99" i="44"/>
  <c r="N99" i="44" s="1"/>
  <c r="F138" i="45"/>
  <c r="F109" i="44" s="1"/>
  <c r="F56" i="44"/>
  <c r="U163" i="56" l="1"/>
  <c r="T163" i="56"/>
  <c r="T161" i="47"/>
  <c r="G135" i="45"/>
  <c r="G161" i="45" s="1"/>
  <c r="V184" i="55"/>
  <c r="V185" i="55"/>
  <c r="T164" i="49"/>
  <c r="T165" i="49"/>
  <c r="U184" i="55"/>
  <c r="U185" i="55"/>
  <c r="U164" i="49"/>
  <c r="U165" i="49"/>
  <c r="D20" i="48" s="1"/>
  <c r="L101" i="44"/>
  <c r="N101" i="44" s="1"/>
  <c r="U161" i="47"/>
  <c r="U162" i="47"/>
  <c r="F139" i="45"/>
  <c r="F162" i="45"/>
  <c r="G52" i="44"/>
  <c r="F58" i="44"/>
  <c r="G138" i="45" l="1"/>
  <c r="G106" i="44"/>
  <c r="H135" i="45"/>
  <c r="G162" i="45"/>
  <c r="G109" i="44"/>
  <c r="G139" i="45"/>
  <c r="G56" i="44"/>
  <c r="H161" i="45" l="1"/>
  <c r="H138" i="45"/>
  <c r="H106" i="44"/>
  <c r="G58" i="44"/>
  <c r="H52" i="44"/>
  <c r="H162" i="45" l="1"/>
  <c r="H109" i="44"/>
  <c r="I135" i="45"/>
  <c r="H139" i="45"/>
  <c r="H56" i="44"/>
  <c r="H58" i="44" l="1"/>
  <c r="I52" i="44"/>
  <c r="I161" i="45"/>
  <c r="I138" i="45"/>
  <c r="I106" i="44"/>
  <c r="I56" i="44" l="1"/>
  <c r="J135" i="45"/>
  <c r="I162" i="45"/>
  <c r="I109" i="44"/>
  <c r="I139" i="45"/>
  <c r="I58" i="44" l="1"/>
  <c r="J52" i="44"/>
  <c r="J161" i="45"/>
  <c r="J106" i="44"/>
  <c r="J138" i="45"/>
  <c r="K135" i="45" l="1"/>
  <c r="J162" i="45"/>
  <c r="J109" i="44"/>
  <c r="J139" i="45"/>
  <c r="J56" i="44"/>
  <c r="K138" i="45" l="1"/>
  <c r="K161" i="45"/>
  <c r="K106" i="44"/>
  <c r="K52" i="44"/>
  <c r="J58" i="44"/>
  <c r="K56" i="44" l="1"/>
  <c r="L161" i="45"/>
  <c r="K162" i="45"/>
  <c r="K109" i="44"/>
  <c r="K139" i="45"/>
  <c r="K58" i="44" l="1"/>
  <c r="N56" i="44"/>
  <c r="L162" i="45"/>
  <c r="E20" i="44"/>
  <c r="K145" i="41" l="1"/>
  <c r="I145" i="41"/>
  <c r="G145" i="41"/>
  <c r="K251" i="42"/>
  <c r="K140" i="41" s="1"/>
  <c r="J251" i="42"/>
  <c r="J140" i="41" s="1"/>
  <c r="I251" i="42"/>
  <c r="I140" i="41" s="1"/>
  <c r="H251" i="42"/>
  <c r="H140" i="41" s="1"/>
  <c r="G251" i="42"/>
  <c r="G140" i="41" s="1"/>
  <c r="F251" i="42"/>
  <c r="F140" i="41" s="1"/>
  <c r="K143" i="41"/>
  <c r="J143" i="41"/>
  <c r="I143" i="41"/>
  <c r="E143" i="41"/>
  <c r="D143" i="41"/>
  <c r="K142" i="41"/>
  <c r="J142" i="41"/>
  <c r="I142" i="41"/>
  <c r="G142" i="41"/>
  <c r="K141" i="41"/>
  <c r="I141" i="41"/>
  <c r="H141" i="41"/>
  <c r="G141" i="41"/>
  <c r="E141" i="41"/>
  <c r="J144" i="41"/>
  <c r="K139" i="41"/>
  <c r="J139" i="41"/>
  <c r="I139" i="41"/>
  <c r="G139" i="41"/>
  <c r="D139" i="41"/>
  <c r="K138" i="41"/>
  <c r="H138" i="41"/>
  <c r="G138" i="41"/>
  <c r="F138" i="41"/>
  <c r="E138" i="41"/>
  <c r="K155" i="42"/>
  <c r="K117" i="41" s="1"/>
  <c r="I155" i="42"/>
  <c r="I117" i="41" s="1"/>
  <c r="G155" i="42"/>
  <c r="G117" i="41" s="1"/>
  <c r="F155" i="42"/>
  <c r="F117" i="41" s="1"/>
  <c r="D155" i="42"/>
  <c r="D117" i="41" s="1"/>
  <c r="K154" i="42"/>
  <c r="K116" i="41" s="1"/>
  <c r="I154" i="42"/>
  <c r="I116" i="41" s="1"/>
  <c r="H154" i="42"/>
  <c r="H116" i="41" s="1"/>
  <c r="G154" i="42"/>
  <c r="G116" i="41" s="1"/>
  <c r="E154" i="42"/>
  <c r="E116" i="41" s="1"/>
  <c r="K153" i="42"/>
  <c r="K115" i="41" s="1"/>
  <c r="I153" i="42"/>
  <c r="E153" i="42"/>
  <c r="D153" i="42"/>
  <c r="K152" i="42"/>
  <c r="K114" i="41" s="1"/>
  <c r="I152" i="42"/>
  <c r="I114" i="41" s="1"/>
  <c r="G152" i="42"/>
  <c r="G114" i="41" s="1"/>
  <c r="E152" i="42"/>
  <c r="E114" i="41" s="1"/>
  <c r="D152" i="42"/>
  <c r="D114" i="41" s="1"/>
  <c r="K176" i="42"/>
  <c r="J176" i="42"/>
  <c r="I176" i="42"/>
  <c r="G176" i="42"/>
  <c r="F176" i="42"/>
  <c r="K175" i="42"/>
  <c r="K132" i="41" s="1"/>
  <c r="H175" i="42"/>
  <c r="H132" i="41" s="1"/>
  <c r="G175" i="42"/>
  <c r="G132" i="41" s="1"/>
  <c r="F175" i="42"/>
  <c r="F132" i="41" s="1"/>
  <c r="E175" i="42"/>
  <c r="E132" i="41" s="1"/>
  <c r="K174" i="42"/>
  <c r="K133" i="41" s="1"/>
  <c r="J174" i="42"/>
  <c r="J133" i="41" s="1"/>
  <c r="J145" i="26" s="1"/>
  <c r="I174" i="42"/>
  <c r="I133" i="41" s="1"/>
  <c r="H174" i="42"/>
  <c r="H133" i="41" s="1"/>
  <c r="G174" i="42"/>
  <c r="G133" i="41" s="1"/>
  <c r="F174" i="42"/>
  <c r="E174" i="42"/>
  <c r="E133" i="41" s="1"/>
  <c r="K45" i="41"/>
  <c r="I45" i="41"/>
  <c r="E45" i="41"/>
  <c r="D45" i="41"/>
  <c r="I140" i="42"/>
  <c r="I62" i="41" s="1"/>
  <c r="H140" i="42"/>
  <c r="H62" i="41" s="1"/>
  <c r="G140" i="42"/>
  <c r="G62" i="41" s="1"/>
  <c r="F140" i="42"/>
  <c r="F62" i="41" s="1"/>
  <c r="E140" i="42"/>
  <c r="E62" i="41" s="1"/>
  <c r="K56" i="41"/>
  <c r="G56" i="41"/>
  <c r="K72" i="41"/>
  <c r="J72" i="41"/>
  <c r="K107" i="41"/>
  <c r="J107" i="41"/>
  <c r="I73" i="41"/>
  <c r="H144" i="42"/>
  <c r="G107" i="41"/>
  <c r="F73" i="41"/>
  <c r="E107" i="41"/>
  <c r="K67" i="41"/>
  <c r="I104" i="41"/>
  <c r="H104" i="41"/>
  <c r="G67" i="41"/>
  <c r="F67" i="41"/>
  <c r="D67" i="41"/>
  <c r="J65" i="41"/>
  <c r="H65" i="41"/>
  <c r="F65" i="41"/>
  <c r="K64" i="41"/>
  <c r="J64" i="41"/>
  <c r="H64" i="41"/>
  <c r="F64" i="41"/>
  <c r="K63" i="41"/>
  <c r="J63" i="41"/>
  <c r="I63" i="41"/>
  <c r="G63" i="41"/>
  <c r="E63" i="41"/>
  <c r="D66" i="41"/>
  <c r="K66" i="41"/>
  <c r="I66" i="41"/>
  <c r="G66" i="41"/>
  <c r="E66" i="41"/>
  <c r="K61" i="41"/>
  <c r="J61" i="41"/>
  <c r="H61" i="41"/>
  <c r="G61" i="41"/>
  <c r="F61" i="41"/>
  <c r="D61" i="41"/>
  <c r="J60" i="41"/>
  <c r="I60" i="41"/>
  <c r="H60" i="41"/>
  <c r="G60" i="41"/>
  <c r="F60" i="41"/>
  <c r="E60" i="41"/>
  <c r="K55" i="41"/>
  <c r="J55" i="41"/>
  <c r="I55" i="41"/>
  <c r="H55" i="41"/>
  <c r="G55" i="41"/>
  <c r="F55" i="41"/>
  <c r="E55" i="41"/>
  <c r="D55" i="41"/>
  <c r="K54" i="41"/>
  <c r="I54" i="41"/>
  <c r="H132" i="42"/>
  <c r="G54" i="41"/>
  <c r="F54" i="41"/>
  <c r="E54" i="41"/>
  <c r="D132" i="42"/>
  <c r="K53" i="41"/>
  <c r="I53" i="41"/>
  <c r="H53" i="41"/>
  <c r="E53" i="41"/>
  <c r="D131" i="42"/>
  <c r="I130" i="42"/>
  <c r="D130" i="42"/>
  <c r="K52" i="41"/>
  <c r="J52" i="41"/>
  <c r="I52" i="41"/>
  <c r="H52" i="41"/>
  <c r="G52" i="41"/>
  <c r="E52" i="41"/>
  <c r="D52" i="41"/>
  <c r="D51" i="41"/>
  <c r="K36" i="41"/>
  <c r="J36" i="41"/>
  <c r="I36" i="41"/>
  <c r="G36" i="41"/>
  <c r="F36" i="41"/>
  <c r="E36" i="41"/>
  <c r="K37" i="41"/>
  <c r="J37" i="41"/>
  <c r="I37" i="41"/>
  <c r="H37" i="41"/>
  <c r="G37" i="41"/>
  <c r="F37" i="41"/>
  <c r="D37" i="41"/>
  <c r="K30" i="41"/>
  <c r="J30" i="41"/>
  <c r="I30" i="41"/>
  <c r="H30" i="41"/>
  <c r="G30" i="41"/>
  <c r="F30" i="41"/>
  <c r="E30" i="41"/>
  <c r="D30" i="41"/>
  <c r="J46" i="42"/>
  <c r="I29" i="41"/>
  <c r="H29" i="41"/>
  <c r="F46" i="42"/>
  <c r="D29" i="41"/>
  <c r="K125" i="41"/>
  <c r="H125" i="41"/>
  <c r="G125" i="41"/>
  <c r="D125" i="41"/>
  <c r="K126" i="41"/>
  <c r="J126" i="41"/>
  <c r="I126" i="41"/>
  <c r="H126" i="41"/>
  <c r="G126" i="41"/>
  <c r="D126" i="41"/>
  <c r="J88" i="41"/>
  <c r="H88" i="41"/>
  <c r="F88" i="41"/>
  <c r="E88" i="41"/>
  <c r="D88" i="41"/>
  <c r="K84" i="41"/>
  <c r="I84" i="41"/>
  <c r="H84" i="41"/>
  <c r="G84" i="41"/>
  <c r="E84" i="41"/>
  <c r="D84" i="41"/>
  <c r="K83" i="41"/>
  <c r="J83" i="41"/>
  <c r="I83" i="41"/>
  <c r="G83" i="41"/>
  <c r="J85" i="41"/>
  <c r="H85" i="41"/>
  <c r="D85" i="41"/>
  <c r="J82" i="41"/>
  <c r="H82" i="41"/>
  <c r="F82" i="41"/>
  <c r="D82" i="41"/>
  <c r="K81" i="41"/>
  <c r="J81" i="41"/>
  <c r="I26" i="41"/>
  <c r="H23" i="42"/>
  <c r="G81" i="41"/>
  <c r="F81" i="41"/>
  <c r="E23" i="42"/>
  <c r="D81" i="41"/>
  <c r="J122" i="41"/>
  <c r="H90" i="41"/>
  <c r="F90" i="41"/>
  <c r="D122" i="41"/>
  <c r="K91" i="41"/>
  <c r="J123" i="41"/>
  <c r="H9" i="42"/>
  <c r="G91" i="41"/>
  <c r="D9" i="42"/>
  <c r="G131" i="42"/>
  <c r="K103" i="40"/>
  <c r="J103" i="40"/>
  <c r="I103" i="40"/>
  <c r="H103" i="40"/>
  <c r="G103" i="40"/>
  <c r="F103" i="40"/>
  <c r="E103" i="40"/>
  <c r="D103" i="40"/>
  <c r="E251" i="42"/>
  <c r="E140" i="41" s="1"/>
  <c r="D251" i="42"/>
  <c r="D140" i="41" s="1"/>
  <c r="A220" i="42"/>
  <c r="A221" i="42" s="1"/>
  <c r="A223" i="42" s="1"/>
  <c r="A224" i="42" s="1"/>
  <c r="A225" i="42" s="1"/>
  <c r="A226" i="42" s="1"/>
  <c r="A227" i="42" s="1"/>
  <c r="A228" i="42" s="1"/>
  <c r="A229" i="42" s="1"/>
  <c r="A230" i="42" s="1"/>
  <c r="A232" i="42" s="1"/>
  <c r="A233" i="42" s="1"/>
  <c r="A234" i="42" s="1"/>
  <c r="A235" i="42" s="1"/>
  <c r="A236" i="42" s="1"/>
  <c r="A237" i="42" s="1"/>
  <c r="A238" i="42" s="1"/>
  <c r="A239" i="42" s="1"/>
  <c r="A241" i="42" s="1"/>
  <c r="A242" i="42" s="1"/>
  <c r="A243" i="42" s="1"/>
  <c r="A244" i="42" s="1"/>
  <c r="A245" i="42" s="1"/>
  <c r="E142" i="41"/>
  <c r="E139" i="41"/>
  <c r="E155" i="42"/>
  <c r="E117" i="41" s="1"/>
  <c r="D154" i="42"/>
  <c r="D116" i="41" s="1"/>
  <c r="H152" i="42"/>
  <c r="H114" i="41" s="1"/>
  <c r="J175" i="42"/>
  <c r="J132" i="41" s="1"/>
  <c r="I175" i="42"/>
  <c r="I132" i="41" s="1"/>
  <c r="H176" i="42"/>
  <c r="E176" i="42"/>
  <c r="D176" i="42"/>
  <c r="D175" i="42"/>
  <c r="D132" i="41" s="1"/>
  <c r="D174" i="42"/>
  <c r="D133" i="41" s="1"/>
  <c r="J155" i="42"/>
  <c r="J117" i="41" s="1"/>
  <c r="H155" i="42"/>
  <c r="H117" i="41" s="1"/>
  <c r="J154" i="42"/>
  <c r="J116" i="41" s="1"/>
  <c r="F154" i="42"/>
  <c r="F116" i="41" s="1"/>
  <c r="J153" i="42"/>
  <c r="J115" i="41" s="1"/>
  <c r="H153" i="42"/>
  <c r="H115" i="41" s="1"/>
  <c r="G153" i="42"/>
  <c r="G115" i="41" s="1"/>
  <c r="F153" i="42"/>
  <c r="F115" i="41" s="1"/>
  <c r="J152" i="42"/>
  <c r="J114" i="41" s="1"/>
  <c r="F152" i="42"/>
  <c r="F114" i="41" s="1"/>
  <c r="K140" i="42"/>
  <c r="K62" i="41" s="1"/>
  <c r="J140" i="42"/>
  <c r="J62" i="41" s="1"/>
  <c r="D140" i="42"/>
  <c r="D62" i="41" s="1"/>
  <c r="B133" i="42"/>
  <c r="B132" i="42"/>
  <c r="K131" i="42"/>
  <c r="B131" i="42"/>
  <c r="F144" i="42"/>
  <c r="D144" i="42"/>
  <c r="D149" i="42" s="1"/>
  <c r="D68" i="41" s="1"/>
  <c r="D64" i="41"/>
  <c r="E37" i="41"/>
  <c r="L44" i="42"/>
  <c r="L43" i="42"/>
  <c r="L36" i="42"/>
  <c r="L35" i="42"/>
  <c r="I32" i="42"/>
  <c r="J145" i="41"/>
  <c r="H145" i="41"/>
  <c r="F145" i="41"/>
  <c r="E145" i="41"/>
  <c r="D145" i="41"/>
  <c r="F144" i="41"/>
  <c r="D144" i="41"/>
  <c r="H143" i="41"/>
  <c r="G143" i="41"/>
  <c r="F143" i="41"/>
  <c r="H142" i="41"/>
  <c r="F142" i="41"/>
  <c r="D142" i="41"/>
  <c r="J141" i="41"/>
  <c r="F141" i="41"/>
  <c r="D141" i="41"/>
  <c r="H139" i="41"/>
  <c r="F139" i="41"/>
  <c r="J138" i="41"/>
  <c r="I138" i="41"/>
  <c r="D138" i="41"/>
  <c r="F133" i="41"/>
  <c r="I125" i="41"/>
  <c r="E125" i="41"/>
  <c r="K110" i="41"/>
  <c r="J110" i="41"/>
  <c r="I110" i="41"/>
  <c r="H110" i="41"/>
  <c r="G110" i="41"/>
  <c r="F110" i="41"/>
  <c r="E110" i="41"/>
  <c r="D110" i="41"/>
  <c r="H107" i="41"/>
  <c r="F107" i="41"/>
  <c r="D107" i="41"/>
  <c r="J104" i="41"/>
  <c r="F104" i="41"/>
  <c r="D104" i="41"/>
  <c r="C93" i="41"/>
  <c r="I91" i="41"/>
  <c r="C91" i="41"/>
  <c r="C90" i="41"/>
  <c r="I88" i="41"/>
  <c r="C88" i="41"/>
  <c r="C87" i="41"/>
  <c r="C85" i="41"/>
  <c r="C84" i="41"/>
  <c r="E83" i="41"/>
  <c r="C83" i="41"/>
  <c r="C82" i="41"/>
  <c r="I81" i="41"/>
  <c r="H81" i="41"/>
  <c r="E81" i="41"/>
  <c r="C81" i="41"/>
  <c r="J73" i="41"/>
  <c r="D73" i="41"/>
  <c r="F72" i="41"/>
  <c r="J67" i="41"/>
  <c r="H67" i="41"/>
  <c r="H66" i="41"/>
  <c r="K65" i="41"/>
  <c r="I65" i="41"/>
  <c r="G65" i="41"/>
  <c r="E65" i="41"/>
  <c r="D65" i="41"/>
  <c r="I64" i="41"/>
  <c r="G64" i="41"/>
  <c r="E64" i="41"/>
  <c r="H63" i="41"/>
  <c r="F63" i="41"/>
  <c r="D63" i="41"/>
  <c r="I61" i="41"/>
  <c r="E61" i="41"/>
  <c r="K60" i="41"/>
  <c r="D60" i="41"/>
  <c r="J56" i="41"/>
  <c r="I56" i="41"/>
  <c r="H56" i="41"/>
  <c r="F56" i="41"/>
  <c r="E56" i="41"/>
  <c r="D56" i="41"/>
  <c r="F52" i="41"/>
  <c r="J45" i="41"/>
  <c r="H45" i="41"/>
  <c r="F45" i="41"/>
  <c r="H36" i="41"/>
  <c r="D36" i="41"/>
  <c r="E29" i="41"/>
  <c r="E26" i="41"/>
  <c r="K2" i="41"/>
  <c r="H2" i="41"/>
  <c r="C91" i="40"/>
  <c r="C90" i="40"/>
  <c r="C89" i="40"/>
  <c r="C87" i="40"/>
  <c r="C86" i="40"/>
  <c r="C85" i="40"/>
  <c r="C84" i="40"/>
  <c r="C83" i="40"/>
  <c r="C81" i="40"/>
  <c r="X18" i="40"/>
  <c r="W18" i="40"/>
  <c r="X16" i="40"/>
  <c r="W16" i="40"/>
  <c r="X11" i="40"/>
  <c r="W11" i="40"/>
  <c r="H2" i="40"/>
  <c r="H122" i="41" l="1"/>
  <c r="H131" i="42"/>
  <c r="H43" i="41" s="1"/>
  <c r="I134" i="41"/>
  <c r="H27" i="41"/>
  <c r="D54" i="41"/>
  <c r="K23" i="42"/>
  <c r="I131" i="42"/>
  <c r="J129" i="41"/>
  <c r="G26" i="41"/>
  <c r="E131" i="42"/>
  <c r="E124" i="42" s="1"/>
  <c r="K26" i="41"/>
  <c r="H54" i="41"/>
  <c r="J29" i="41"/>
  <c r="J31" i="41" s="1"/>
  <c r="D124" i="42"/>
  <c r="D43" i="41"/>
  <c r="G51" i="41"/>
  <c r="G145" i="26"/>
  <c r="K145" i="26"/>
  <c r="D98" i="41"/>
  <c r="D27" i="41"/>
  <c r="D53" i="41"/>
  <c r="H145" i="26"/>
  <c r="E32" i="41"/>
  <c r="H51" i="41"/>
  <c r="E145" i="26"/>
  <c r="I145" i="26"/>
  <c r="D108" i="41"/>
  <c r="F145" i="26"/>
  <c r="I56" i="26"/>
  <c r="I45" i="26"/>
  <c r="D115" i="41"/>
  <c r="D99" i="41"/>
  <c r="F85" i="41"/>
  <c r="F132" i="42"/>
  <c r="F99" i="41" s="1"/>
  <c r="G132" i="42"/>
  <c r="G99" i="41" s="1"/>
  <c r="K165" i="42"/>
  <c r="K44" i="41" s="1"/>
  <c r="F29" i="41"/>
  <c r="J90" i="41"/>
  <c r="J91" i="41"/>
  <c r="J27" i="41"/>
  <c r="J33" i="41" s="1"/>
  <c r="K57" i="41"/>
  <c r="E108" i="41"/>
  <c r="E115" i="41"/>
  <c r="I115" i="41"/>
  <c r="G72" i="41"/>
  <c r="K104" i="41"/>
  <c r="E144" i="42"/>
  <c r="E146" i="42" s="1"/>
  <c r="G104" i="41"/>
  <c r="I107" i="41"/>
  <c r="J144" i="42"/>
  <c r="J149" i="42" s="1"/>
  <c r="J68" i="41" s="1"/>
  <c r="K132" i="42"/>
  <c r="K99" i="41" s="1"/>
  <c r="I144" i="42"/>
  <c r="I146" i="42" s="1"/>
  <c r="F66" i="41"/>
  <c r="J66" i="41"/>
  <c r="D72" i="41"/>
  <c r="D74" i="41" s="1"/>
  <c r="H72" i="41"/>
  <c r="E144" i="41"/>
  <c r="E146" i="41" s="1"/>
  <c r="I144" i="41"/>
  <c r="G144" i="41"/>
  <c r="K144" i="41"/>
  <c r="E73" i="41"/>
  <c r="K124" i="42"/>
  <c r="D158" i="42"/>
  <c r="H130" i="42"/>
  <c r="H97" i="41" s="1"/>
  <c r="H149" i="42"/>
  <c r="H68" i="41" s="1"/>
  <c r="H69" i="41" s="1"/>
  <c r="H144" i="41"/>
  <c r="H108" i="41"/>
  <c r="L62" i="41"/>
  <c r="I123" i="41"/>
  <c r="I9" i="42"/>
  <c r="I90" i="41"/>
  <c r="E123" i="41"/>
  <c r="E91" i="41"/>
  <c r="E122" i="41"/>
  <c r="E90" i="41"/>
  <c r="E126" i="41"/>
  <c r="E32" i="42"/>
  <c r="E67" i="41"/>
  <c r="E104" i="41"/>
  <c r="J74" i="41"/>
  <c r="F108" i="41"/>
  <c r="I122" i="41"/>
  <c r="I128" i="41" s="1"/>
  <c r="E72" i="41"/>
  <c r="H33" i="41"/>
  <c r="F74" i="41"/>
  <c r="F146" i="41"/>
  <c r="F126" i="41"/>
  <c r="G57" i="41"/>
  <c r="L63" i="41"/>
  <c r="L65" i="41"/>
  <c r="H73" i="41"/>
  <c r="J108" i="41"/>
  <c r="F123" i="41"/>
  <c r="H99" i="41"/>
  <c r="H146" i="42"/>
  <c r="D146" i="41"/>
  <c r="D146" i="42"/>
  <c r="F83" i="41"/>
  <c r="J54" i="41"/>
  <c r="J132" i="42"/>
  <c r="J99" i="41" s="1"/>
  <c r="J165" i="42"/>
  <c r="J44" i="41" s="1"/>
  <c r="J57" i="41"/>
  <c r="K51" i="41"/>
  <c r="G124" i="42"/>
  <c r="G98" i="41"/>
  <c r="G43" i="41"/>
  <c r="F51" i="41"/>
  <c r="E57" i="41"/>
  <c r="G38" i="41"/>
  <c r="H31" i="41"/>
  <c r="F57" i="41"/>
  <c r="K43" i="41"/>
  <c r="G53" i="41"/>
  <c r="K98" i="41"/>
  <c r="I127" i="41"/>
  <c r="E38" i="41"/>
  <c r="F165" i="42"/>
  <c r="F44" i="41" s="1"/>
  <c r="L36" i="41"/>
  <c r="H38" i="41"/>
  <c r="D31" i="41"/>
  <c r="I31" i="41"/>
  <c r="I32" i="41"/>
  <c r="F38" i="41"/>
  <c r="J38" i="41"/>
  <c r="I38" i="41"/>
  <c r="D90" i="41"/>
  <c r="F91" i="41"/>
  <c r="F122" i="41"/>
  <c r="H91" i="41"/>
  <c r="H123" i="41"/>
  <c r="G108" i="41"/>
  <c r="K108" i="41"/>
  <c r="F27" i="41"/>
  <c r="D26" i="41"/>
  <c r="D83" i="41"/>
  <c r="H26" i="41"/>
  <c r="H83" i="41"/>
  <c r="L20" i="42"/>
  <c r="L21" i="42"/>
  <c r="K38" i="41"/>
  <c r="D38" i="41"/>
  <c r="F84" i="41"/>
  <c r="J84" i="41"/>
  <c r="F125" i="41"/>
  <c r="J125" i="41"/>
  <c r="D32" i="42"/>
  <c r="H32" i="42"/>
  <c r="L31" i="42"/>
  <c r="G90" i="41"/>
  <c r="K90" i="41"/>
  <c r="E31" i="41"/>
  <c r="L37" i="41"/>
  <c r="J51" i="41"/>
  <c r="I57" i="41"/>
  <c r="G122" i="41"/>
  <c r="K122" i="41"/>
  <c r="D128" i="41"/>
  <c r="D127" i="41"/>
  <c r="H128" i="41"/>
  <c r="H127" i="41"/>
  <c r="F134" i="41"/>
  <c r="L133" i="41"/>
  <c r="H146" i="41"/>
  <c r="K9" i="42"/>
  <c r="L13" i="42"/>
  <c r="F131" i="42"/>
  <c r="F53" i="41"/>
  <c r="J131" i="42"/>
  <c r="J53" i="41"/>
  <c r="E165" i="42"/>
  <c r="E44" i="41" s="1"/>
  <c r="E132" i="42"/>
  <c r="E99" i="41" s="1"/>
  <c r="I165" i="42"/>
  <c r="I44" i="41" s="1"/>
  <c r="I132" i="42"/>
  <c r="I99" i="41" s="1"/>
  <c r="D57" i="41"/>
  <c r="E51" i="41"/>
  <c r="H57" i="41"/>
  <c r="I51" i="41"/>
  <c r="L61" i="41"/>
  <c r="D69" i="41"/>
  <c r="L64" i="41"/>
  <c r="I67" i="41"/>
  <c r="I72" i="41"/>
  <c r="G144" i="42"/>
  <c r="G149" i="42" s="1"/>
  <c r="G68" i="41" s="1"/>
  <c r="G73" i="41"/>
  <c r="K144" i="42"/>
  <c r="K146" i="42" s="1"/>
  <c r="K73" i="41"/>
  <c r="I158" i="42"/>
  <c r="I97" i="41"/>
  <c r="E134" i="41"/>
  <c r="L30" i="41"/>
  <c r="L81" i="41"/>
  <c r="G88" i="41"/>
  <c r="K88" i="41"/>
  <c r="D123" i="41"/>
  <c r="J134" i="41"/>
  <c r="K134" i="41"/>
  <c r="J146" i="41"/>
  <c r="L15" i="42"/>
  <c r="E82" i="41"/>
  <c r="I82" i="41"/>
  <c r="E85" i="41"/>
  <c r="E27" i="41"/>
  <c r="I85" i="41"/>
  <c r="I27" i="41"/>
  <c r="G46" i="42"/>
  <c r="G29" i="41"/>
  <c r="K46" i="42"/>
  <c r="K29" i="41"/>
  <c r="L60" i="41"/>
  <c r="J124" i="41"/>
  <c r="G127" i="41"/>
  <c r="K127" i="41"/>
  <c r="G134" i="41"/>
  <c r="D91" i="41"/>
  <c r="L7" i="42"/>
  <c r="F23" i="42"/>
  <c r="F26" i="41"/>
  <c r="J23" i="42"/>
  <c r="J26" i="41"/>
  <c r="G82" i="41"/>
  <c r="K82" i="41"/>
  <c r="G85" i="41"/>
  <c r="G27" i="41"/>
  <c r="K85" i="41"/>
  <c r="K27" i="41"/>
  <c r="J32" i="42"/>
  <c r="G165" i="42"/>
  <c r="G44" i="41" s="1"/>
  <c r="G45" i="41"/>
  <c r="D134" i="41"/>
  <c r="H134" i="41"/>
  <c r="L132" i="41"/>
  <c r="G9" i="42"/>
  <c r="L8" i="42"/>
  <c r="I23" i="42"/>
  <c r="D23" i="42"/>
  <c r="L16" i="42"/>
  <c r="G32" i="42"/>
  <c r="K32" i="42"/>
  <c r="G130" i="42"/>
  <c r="K130" i="42"/>
  <c r="F149" i="42"/>
  <c r="F68" i="41" s="1"/>
  <c r="G123" i="41"/>
  <c r="K123" i="41"/>
  <c r="E9" i="42"/>
  <c r="G23" i="42"/>
  <c r="L17" i="42"/>
  <c r="L40" i="42"/>
  <c r="E130" i="42"/>
  <c r="F146" i="42"/>
  <c r="F9" i="42"/>
  <c r="J9" i="42"/>
  <c r="L12" i="42"/>
  <c r="L39" i="42"/>
  <c r="L26" i="42"/>
  <c r="F32" i="42"/>
  <c r="H46" i="42"/>
  <c r="L38" i="42"/>
  <c r="D46" i="42"/>
  <c r="D165" i="42"/>
  <c r="D44" i="41" s="1"/>
  <c r="L30" i="42"/>
  <c r="E46" i="42"/>
  <c r="I46" i="42"/>
  <c r="F130" i="42"/>
  <c r="J130" i="42"/>
  <c r="H165" i="42"/>
  <c r="H44" i="41" s="1"/>
  <c r="K29" i="38"/>
  <c r="K29" i="43" s="1"/>
  <c r="AK29" i="43" s="1"/>
  <c r="J29" i="38"/>
  <c r="J29" i="43" s="1"/>
  <c r="AJ29" i="43" s="1"/>
  <c r="I29" i="38"/>
  <c r="I29" i="43" s="1"/>
  <c r="AI29" i="43" s="1"/>
  <c r="H29" i="38"/>
  <c r="H29" i="43" s="1"/>
  <c r="AH29" i="43" s="1"/>
  <c r="G29" i="38"/>
  <c r="G29" i="43" s="1"/>
  <c r="AG29" i="43" s="1"/>
  <c r="F29" i="38"/>
  <c r="F29" i="43" s="1"/>
  <c r="AF29" i="43" s="1"/>
  <c r="E29" i="38"/>
  <c r="E29" i="43" s="1"/>
  <c r="AE29" i="43" s="1"/>
  <c r="D29" i="38"/>
  <c r="D29" i="43" s="1"/>
  <c r="AD29" i="43" s="1"/>
  <c r="K28" i="38"/>
  <c r="K28" i="43" s="1"/>
  <c r="J28" i="38"/>
  <c r="J28" i="43" s="1"/>
  <c r="I28" i="38"/>
  <c r="I28" i="43" s="1"/>
  <c r="H28" i="38"/>
  <c r="H28" i="43" s="1"/>
  <c r="G28" i="38"/>
  <c r="G28" i="43" s="1"/>
  <c r="F28" i="38"/>
  <c r="F28" i="43" s="1"/>
  <c r="E28" i="38"/>
  <c r="E28" i="43" s="1"/>
  <c r="D28" i="38"/>
  <c r="D28" i="43" s="1"/>
  <c r="H124" i="42" l="1"/>
  <c r="H98" i="41"/>
  <c r="E149" i="42"/>
  <c r="E68" i="41" s="1"/>
  <c r="K149" i="42"/>
  <c r="K68" i="41" s="1"/>
  <c r="I43" i="41"/>
  <c r="I124" i="42"/>
  <c r="I133" i="42"/>
  <c r="D33" i="41"/>
  <c r="I98" i="41"/>
  <c r="E43" i="41"/>
  <c r="E98" i="41"/>
  <c r="E129" i="41"/>
  <c r="H158" i="42"/>
  <c r="L32" i="42"/>
  <c r="I129" i="41"/>
  <c r="E124" i="41"/>
  <c r="H184" i="26"/>
  <c r="I124" i="41"/>
  <c r="E128" i="41"/>
  <c r="F31" i="41"/>
  <c r="F56" i="26"/>
  <c r="F45" i="26"/>
  <c r="I108" i="41"/>
  <c r="G56" i="26"/>
  <c r="G45" i="26"/>
  <c r="K56" i="26"/>
  <c r="K45" i="26"/>
  <c r="J56" i="26"/>
  <c r="J45" i="26"/>
  <c r="H45" i="26"/>
  <c r="H56" i="26"/>
  <c r="L126" i="41"/>
  <c r="E127" i="41"/>
  <c r="E56" i="26"/>
  <c r="E45" i="26"/>
  <c r="K146" i="41"/>
  <c r="D133" i="42"/>
  <c r="D100" i="41" s="1"/>
  <c r="G146" i="41"/>
  <c r="H133" i="42"/>
  <c r="H100" i="41" s="1"/>
  <c r="E69" i="41"/>
  <c r="J146" i="42"/>
  <c r="I146" i="41"/>
  <c r="I149" i="42"/>
  <c r="I68" i="41" s="1"/>
  <c r="L68" i="41" s="1"/>
  <c r="G146" i="42"/>
  <c r="L66" i="41"/>
  <c r="D97" i="41"/>
  <c r="D42" i="41"/>
  <c r="L72" i="41"/>
  <c r="H124" i="41"/>
  <c r="E74" i="41"/>
  <c r="H129" i="41"/>
  <c r="F129" i="41"/>
  <c r="H74" i="41"/>
  <c r="L82" i="41"/>
  <c r="L27" i="41"/>
  <c r="K28" i="41"/>
  <c r="L23" i="42"/>
  <c r="K32" i="41"/>
  <c r="L125" i="41"/>
  <c r="L122" i="41"/>
  <c r="F124" i="41"/>
  <c r="K129" i="41"/>
  <c r="G33" i="41"/>
  <c r="F158" i="42"/>
  <c r="F133" i="42"/>
  <c r="F97" i="41"/>
  <c r="E158" i="42"/>
  <c r="E133" i="42"/>
  <c r="E97" i="41"/>
  <c r="L91" i="41"/>
  <c r="G31" i="41"/>
  <c r="D129" i="41"/>
  <c r="D124" i="41"/>
  <c r="L123" i="41"/>
  <c r="J124" i="42"/>
  <c r="J98" i="41"/>
  <c r="J43" i="41"/>
  <c r="L38" i="41"/>
  <c r="D32" i="41"/>
  <c r="D28" i="41"/>
  <c r="L26" i="41"/>
  <c r="G74" i="41"/>
  <c r="L29" i="41"/>
  <c r="L46" i="42"/>
  <c r="D159" i="42"/>
  <c r="F69" i="41"/>
  <c r="J32" i="41"/>
  <c r="J28" i="41"/>
  <c r="F32" i="41"/>
  <c r="F28" i="41"/>
  <c r="K31" i="41"/>
  <c r="I33" i="41"/>
  <c r="E3" i="41"/>
  <c r="K124" i="41"/>
  <c r="K128" i="41"/>
  <c r="L73" i="41"/>
  <c r="K69" i="41"/>
  <c r="G28" i="41"/>
  <c r="I28" i="41"/>
  <c r="K158" i="42"/>
  <c r="K133" i="42"/>
  <c r="K97" i="41"/>
  <c r="L134" i="41"/>
  <c r="I159" i="42"/>
  <c r="I100" i="41"/>
  <c r="K74" i="41"/>
  <c r="I74" i="41"/>
  <c r="F124" i="42"/>
  <c r="F98" i="41"/>
  <c r="F43" i="41"/>
  <c r="G128" i="41"/>
  <c r="G124" i="41"/>
  <c r="J127" i="41"/>
  <c r="L90" i="41"/>
  <c r="H32" i="41"/>
  <c r="H28" i="41"/>
  <c r="G69" i="41"/>
  <c r="F33" i="41"/>
  <c r="G32" i="41"/>
  <c r="J69" i="41"/>
  <c r="J158" i="42"/>
  <c r="J133" i="42"/>
  <c r="J97" i="41"/>
  <c r="G129" i="41"/>
  <c r="G158" i="42"/>
  <c r="G133" i="42"/>
  <c r="G97" i="41"/>
  <c r="J128" i="41"/>
  <c r="K33" i="41"/>
  <c r="L9" i="42"/>
  <c r="E33" i="41"/>
  <c r="E28" i="41"/>
  <c r="L85" i="41"/>
  <c r="L84" i="41"/>
  <c r="F128" i="41"/>
  <c r="F127" i="41"/>
  <c r="L88" i="41"/>
  <c r="L83" i="41"/>
  <c r="L67" i="41"/>
  <c r="E130" i="41" l="1"/>
  <c r="I130" i="41"/>
  <c r="I92" i="41" s="1"/>
  <c r="H159" i="42"/>
  <c r="D46" i="41"/>
  <c r="E42" i="41" s="1"/>
  <c r="K34" i="41"/>
  <c r="E19" i="41"/>
  <c r="I69" i="41"/>
  <c r="H130" i="41"/>
  <c r="H92" i="41" s="1"/>
  <c r="L127" i="41"/>
  <c r="E4" i="41"/>
  <c r="L128" i="41"/>
  <c r="E10" i="41"/>
  <c r="L33" i="41"/>
  <c r="E34" i="41"/>
  <c r="K159" i="42"/>
  <c r="K100" i="41"/>
  <c r="F34" i="41"/>
  <c r="E6" i="41"/>
  <c r="G159" i="42"/>
  <c r="G100" i="41"/>
  <c r="E12" i="41"/>
  <c r="N74" i="41"/>
  <c r="L31" i="41"/>
  <c r="K130" i="41"/>
  <c r="L32" i="41"/>
  <c r="D34" i="41"/>
  <c r="L129" i="41"/>
  <c r="F130" i="41"/>
  <c r="H34" i="41"/>
  <c r="I34" i="41"/>
  <c r="J34" i="41"/>
  <c r="J130" i="41"/>
  <c r="E92" i="41"/>
  <c r="F159" i="42"/>
  <c r="F100" i="41"/>
  <c r="E5" i="41"/>
  <c r="E7" i="41"/>
  <c r="J159" i="42"/>
  <c r="J100" i="41"/>
  <c r="G34" i="41"/>
  <c r="G130" i="41"/>
  <c r="L158" i="42"/>
  <c r="M81" i="41"/>
  <c r="N81" i="41"/>
  <c r="L28" i="41"/>
  <c r="D130" i="41"/>
  <c r="L124" i="41"/>
  <c r="E13" i="41"/>
  <c r="E159" i="42"/>
  <c r="E100" i="41"/>
  <c r="L74" i="41"/>
  <c r="G184" i="26"/>
  <c r="F184" i="26"/>
  <c r="E184" i="26"/>
  <c r="D184" i="26"/>
  <c r="G175" i="27"/>
  <c r="F175" i="27"/>
  <c r="F168" i="27" s="1"/>
  <c r="E175" i="27"/>
  <c r="E168" i="27" s="1"/>
  <c r="D175" i="27"/>
  <c r="D168" i="27" s="1"/>
  <c r="J185" i="26" l="1"/>
  <c r="G168" i="27"/>
  <c r="J176" i="27"/>
  <c r="K39" i="41"/>
  <c r="K86" i="41"/>
  <c r="K87" i="41" s="1"/>
  <c r="H93" i="41"/>
  <c r="E93" i="41"/>
  <c r="M82" i="41"/>
  <c r="I93" i="41"/>
  <c r="D47" i="41"/>
  <c r="L69" i="41"/>
  <c r="N82" i="41"/>
  <c r="L130" i="41"/>
  <c r="D92" i="41"/>
  <c r="G92" i="41"/>
  <c r="M85" i="41"/>
  <c r="N85" i="41"/>
  <c r="M83" i="41"/>
  <c r="N83" i="41"/>
  <c r="F92" i="41"/>
  <c r="E20" i="41"/>
  <c r="G86" i="41"/>
  <c r="G39" i="41"/>
  <c r="E46" i="41"/>
  <c r="J92" i="41"/>
  <c r="H86" i="41"/>
  <c r="H39" i="41"/>
  <c r="M84" i="41"/>
  <c r="N84" i="41"/>
  <c r="L159" i="42"/>
  <c r="J86" i="41"/>
  <c r="J39" i="41"/>
  <c r="K92" i="41"/>
  <c r="N91" i="41"/>
  <c r="M91" i="41"/>
  <c r="I86" i="41"/>
  <c r="I39" i="41"/>
  <c r="D86" i="41"/>
  <c r="L34" i="41"/>
  <c r="D39" i="41"/>
  <c r="N90" i="41"/>
  <c r="M90" i="41"/>
  <c r="F86" i="41"/>
  <c r="F39" i="41"/>
  <c r="E86" i="41"/>
  <c r="E39" i="41"/>
  <c r="N88" i="41"/>
  <c r="M88" i="41"/>
  <c r="F87" i="41" l="1"/>
  <c r="I87" i="41"/>
  <c r="K93" i="41"/>
  <c r="H87" i="41"/>
  <c r="G87" i="41"/>
  <c r="J93" i="41"/>
  <c r="G93" i="41"/>
  <c r="E87" i="41"/>
  <c r="J87" i="41"/>
  <c r="F93" i="41"/>
  <c r="L39" i="41"/>
  <c r="L86" i="41"/>
  <c r="D87" i="41"/>
  <c r="E47" i="41"/>
  <c r="F42" i="41"/>
  <c r="L92" i="41"/>
  <c r="D93" i="41"/>
  <c r="G90" i="27"/>
  <c r="G86" i="27"/>
  <c r="E8" i="41" l="1"/>
  <c r="E9" i="41" s="1"/>
  <c r="E14" i="41"/>
  <c r="L93" i="41"/>
  <c r="L87" i="41"/>
  <c r="F46" i="41"/>
  <c r="N96" i="37"/>
  <c r="N95" i="37"/>
  <c r="N94" i="37"/>
  <c r="N93" i="37"/>
  <c r="N91" i="37"/>
  <c r="N90" i="37"/>
  <c r="N89" i="37"/>
  <c r="N88" i="37"/>
  <c r="N87" i="37"/>
  <c r="N86" i="37"/>
  <c r="N85" i="37"/>
  <c r="H2" i="38"/>
  <c r="H2" i="37"/>
  <c r="K152" i="38"/>
  <c r="K150" i="43" s="1"/>
  <c r="J152" i="38"/>
  <c r="J150" i="43" s="1"/>
  <c r="G152" i="38"/>
  <c r="G150" i="43" s="1"/>
  <c r="F152" i="38"/>
  <c r="F150" i="43" s="1"/>
  <c r="K148" i="38"/>
  <c r="K146" i="43" s="1"/>
  <c r="J148" i="38"/>
  <c r="J146" i="43" s="1"/>
  <c r="G148" i="38"/>
  <c r="G146" i="43" s="1"/>
  <c r="F148" i="38"/>
  <c r="F146" i="43" s="1"/>
  <c r="H150" i="38"/>
  <c r="H148" i="43" s="1"/>
  <c r="D150" i="38"/>
  <c r="D148" i="43" s="1"/>
  <c r="K147" i="38"/>
  <c r="K145" i="43" s="1"/>
  <c r="J147" i="38"/>
  <c r="J145" i="43" s="1"/>
  <c r="G147" i="38"/>
  <c r="G145" i="43" s="1"/>
  <c r="F147" i="38"/>
  <c r="F145" i="43" s="1"/>
  <c r="H146" i="38"/>
  <c r="H144" i="43" s="1"/>
  <c r="D146" i="38"/>
  <c r="D144" i="43" s="1"/>
  <c r="K149" i="38"/>
  <c r="K147" i="43" s="1"/>
  <c r="J149" i="38"/>
  <c r="J147" i="43" s="1"/>
  <c r="G149" i="38"/>
  <c r="G147" i="43" s="1"/>
  <c r="F149" i="38"/>
  <c r="F147" i="43" s="1"/>
  <c r="I149" i="38"/>
  <c r="I147" i="43" s="1"/>
  <c r="H149" i="38"/>
  <c r="H147" i="43" s="1"/>
  <c r="D149" i="38"/>
  <c r="D147" i="43" s="1"/>
  <c r="K145" i="38"/>
  <c r="K143" i="43" s="1"/>
  <c r="J145" i="38"/>
  <c r="J143" i="43" s="1"/>
  <c r="G145" i="38"/>
  <c r="G143" i="43" s="1"/>
  <c r="F145" i="38"/>
  <c r="F143" i="43" s="1"/>
  <c r="H144" i="38"/>
  <c r="H142" i="43" s="1"/>
  <c r="D144" i="38"/>
  <c r="D142" i="43" s="1"/>
  <c r="K179" i="39"/>
  <c r="J179" i="39"/>
  <c r="J138" i="38" s="1"/>
  <c r="J136" i="43" s="1"/>
  <c r="G179" i="39"/>
  <c r="G138" i="38" s="1"/>
  <c r="G136" i="43" s="1"/>
  <c r="I178" i="39"/>
  <c r="I139" i="38" s="1"/>
  <c r="I137" i="43" s="1"/>
  <c r="H178" i="39"/>
  <c r="H139" i="38" s="1"/>
  <c r="H137" i="43" s="1"/>
  <c r="E178" i="39"/>
  <c r="E139" i="38" s="1"/>
  <c r="E137" i="43" s="1"/>
  <c r="D178" i="39"/>
  <c r="D139" i="38" s="1"/>
  <c r="D137" i="43" s="1"/>
  <c r="K180" i="39"/>
  <c r="J180" i="39"/>
  <c r="I180" i="39"/>
  <c r="H180" i="39"/>
  <c r="G180" i="39"/>
  <c r="F180" i="39"/>
  <c r="E180" i="39"/>
  <c r="D180" i="39"/>
  <c r="I179" i="39"/>
  <c r="I138" i="38" s="1"/>
  <c r="H179" i="39"/>
  <c r="H138" i="38" s="1"/>
  <c r="H136" i="43" s="1"/>
  <c r="F179" i="39"/>
  <c r="F138" i="38" s="1"/>
  <c r="E179" i="39"/>
  <c r="E138" i="38" s="1"/>
  <c r="E136" i="43" s="1"/>
  <c r="D179" i="39"/>
  <c r="D138" i="38" s="1"/>
  <c r="D136" i="43" s="1"/>
  <c r="A179" i="39"/>
  <c r="A180" i="39" s="1"/>
  <c r="K178" i="39"/>
  <c r="K139" i="38" s="1"/>
  <c r="K137" i="43" s="1"/>
  <c r="J178" i="39"/>
  <c r="J139" i="38" s="1"/>
  <c r="J137" i="43" s="1"/>
  <c r="G178" i="39"/>
  <c r="G139" i="38" s="1"/>
  <c r="G137" i="43" s="1"/>
  <c r="F178" i="39"/>
  <c r="F139" i="38" s="1"/>
  <c r="F137" i="43" s="1"/>
  <c r="K174" i="39"/>
  <c r="K114" i="38" s="1"/>
  <c r="K112" i="43" s="1"/>
  <c r="G174" i="39"/>
  <c r="G114" i="38" s="1"/>
  <c r="G112" i="43" s="1"/>
  <c r="F174" i="39"/>
  <c r="F114" i="38" s="1"/>
  <c r="F112" i="43" s="1"/>
  <c r="J174" i="39"/>
  <c r="J114" i="38" s="1"/>
  <c r="J112" i="43" s="1"/>
  <c r="I174" i="39"/>
  <c r="I114" i="38" s="1"/>
  <c r="I112" i="43" s="1"/>
  <c r="H174" i="39"/>
  <c r="H114" i="38" s="1"/>
  <c r="H112" i="43" s="1"/>
  <c r="E174" i="39"/>
  <c r="E114" i="38" s="1"/>
  <c r="E112" i="43" s="1"/>
  <c r="D174" i="39"/>
  <c r="D114" i="38" s="1"/>
  <c r="D112" i="43" s="1"/>
  <c r="K167" i="39"/>
  <c r="K54" i="38" s="1"/>
  <c r="K54" i="43" s="1"/>
  <c r="J167" i="39"/>
  <c r="J54" i="38" s="1"/>
  <c r="J54" i="43" s="1"/>
  <c r="G167" i="39"/>
  <c r="G54" i="38" s="1"/>
  <c r="G54" i="43" s="1"/>
  <c r="F167" i="39"/>
  <c r="I122" i="38"/>
  <c r="I120" i="43" s="1"/>
  <c r="E122" i="38"/>
  <c r="E120" i="43" s="1"/>
  <c r="I121" i="38"/>
  <c r="I119" i="43" s="1"/>
  <c r="E121" i="38"/>
  <c r="E119" i="43" s="1"/>
  <c r="I120" i="38"/>
  <c r="I118" i="43" s="1"/>
  <c r="E120" i="38"/>
  <c r="E118" i="43" s="1"/>
  <c r="I119" i="38"/>
  <c r="I117" i="43" s="1"/>
  <c r="E119" i="38"/>
  <c r="E117" i="43" s="1"/>
  <c r="H153" i="39"/>
  <c r="H77" i="38" s="1"/>
  <c r="H77" i="43" s="1"/>
  <c r="E153" i="39"/>
  <c r="K153" i="39"/>
  <c r="K77" i="38" s="1"/>
  <c r="K77" i="43" s="1"/>
  <c r="J153" i="39"/>
  <c r="J77" i="38" s="1"/>
  <c r="J77" i="43" s="1"/>
  <c r="I153" i="39"/>
  <c r="I77" i="38" s="1"/>
  <c r="I77" i="43" s="1"/>
  <c r="G153" i="39"/>
  <c r="G77" i="38" s="1"/>
  <c r="G77" i="43" s="1"/>
  <c r="F153" i="39"/>
  <c r="F77" i="38" s="1"/>
  <c r="F77" i="43" s="1"/>
  <c r="D153" i="39"/>
  <c r="D77" i="38" s="1"/>
  <c r="D77" i="43" s="1"/>
  <c r="H143" i="39"/>
  <c r="H145" i="39" s="1"/>
  <c r="K143" i="39"/>
  <c r="K145" i="39" s="1"/>
  <c r="K150" i="39" s="1"/>
  <c r="J143" i="39"/>
  <c r="J145" i="39" s="1"/>
  <c r="I143" i="39"/>
  <c r="I145" i="39" s="1"/>
  <c r="G143" i="39"/>
  <c r="G145" i="39" s="1"/>
  <c r="G150" i="39" s="1"/>
  <c r="F143" i="39"/>
  <c r="F145" i="39" s="1"/>
  <c r="E143" i="39"/>
  <c r="E145" i="39" s="1"/>
  <c r="D143" i="39"/>
  <c r="D145" i="39" s="1"/>
  <c r="D150" i="39" s="1"/>
  <c r="B138" i="39"/>
  <c r="J137" i="39"/>
  <c r="J108" i="38" s="1"/>
  <c r="J106" i="43" s="1"/>
  <c r="I137" i="39"/>
  <c r="F137" i="39"/>
  <c r="F108" i="38" s="1"/>
  <c r="F106" i="43" s="1"/>
  <c r="E137" i="39"/>
  <c r="E108" i="38" s="1"/>
  <c r="E106" i="43" s="1"/>
  <c r="B137" i="39"/>
  <c r="K136" i="39"/>
  <c r="K107" i="38" s="1"/>
  <c r="K105" i="43" s="1"/>
  <c r="J136" i="39"/>
  <c r="G136" i="39"/>
  <c r="F136" i="39"/>
  <c r="F53" i="38" s="1"/>
  <c r="F53" i="43" s="1"/>
  <c r="B136" i="39"/>
  <c r="D135" i="39"/>
  <c r="H133" i="39"/>
  <c r="H66" i="38" s="1"/>
  <c r="H66" i="43" s="1"/>
  <c r="G133" i="39"/>
  <c r="G66" i="38" s="1"/>
  <c r="K133" i="39"/>
  <c r="K66" i="38" s="1"/>
  <c r="K66" i="43" s="1"/>
  <c r="J133" i="39"/>
  <c r="I133" i="39"/>
  <c r="I66" i="38" s="1"/>
  <c r="I66" i="43" s="1"/>
  <c r="F133" i="39"/>
  <c r="F66" i="38" s="1"/>
  <c r="F66" i="43" s="1"/>
  <c r="E133" i="39"/>
  <c r="E66" i="38" s="1"/>
  <c r="E66" i="43" s="1"/>
  <c r="D133" i="39"/>
  <c r="D128" i="39"/>
  <c r="G128" i="39"/>
  <c r="I113" i="38"/>
  <c r="I111" i="43" s="1"/>
  <c r="E113" i="38"/>
  <c r="E111" i="43" s="1"/>
  <c r="K74" i="38"/>
  <c r="K74" i="43" s="1"/>
  <c r="G74" i="38"/>
  <c r="G74" i="43" s="1"/>
  <c r="K71" i="38"/>
  <c r="K71" i="43" s="1"/>
  <c r="G71" i="38"/>
  <c r="G71" i="43" s="1"/>
  <c r="K137" i="39"/>
  <c r="I167" i="39"/>
  <c r="I54" i="38" s="1"/>
  <c r="I54" i="43" s="1"/>
  <c r="G137" i="39"/>
  <c r="G108" i="38" s="1"/>
  <c r="G106" i="43" s="1"/>
  <c r="E167" i="39"/>
  <c r="E54" i="38" s="1"/>
  <c r="E54" i="43" s="1"/>
  <c r="I136" i="39"/>
  <c r="I53" i="38" s="1"/>
  <c r="I53" i="43" s="1"/>
  <c r="E136" i="39"/>
  <c r="K62" i="38"/>
  <c r="K62" i="43" s="1"/>
  <c r="G62" i="38"/>
  <c r="G62" i="43" s="1"/>
  <c r="J47" i="39"/>
  <c r="I32" i="38"/>
  <c r="I32" i="43" s="1"/>
  <c r="E32" i="38"/>
  <c r="E32" i="43" s="1"/>
  <c r="I33" i="38"/>
  <c r="I47" i="39"/>
  <c r="H47" i="39"/>
  <c r="D47" i="39"/>
  <c r="L36" i="39"/>
  <c r="L35" i="39"/>
  <c r="G32" i="39"/>
  <c r="D32" i="39"/>
  <c r="L31" i="39"/>
  <c r="J32" i="39"/>
  <c r="F32" i="39"/>
  <c r="L26" i="39"/>
  <c r="E9" i="38" s="1"/>
  <c r="H23" i="39"/>
  <c r="E23" i="39"/>
  <c r="H96" i="38"/>
  <c r="H95" i="43" s="1"/>
  <c r="K9" i="39"/>
  <c r="H9" i="39"/>
  <c r="G9" i="39"/>
  <c r="F94" i="38"/>
  <c r="F93" i="43" s="1"/>
  <c r="L8" i="39"/>
  <c r="E11" i="38" s="1"/>
  <c r="E11" i="43" s="1"/>
  <c r="K129" i="38"/>
  <c r="K127" i="43" s="1"/>
  <c r="J9" i="39"/>
  <c r="H97" i="38"/>
  <c r="H96" i="43" s="1"/>
  <c r="G129" i="38"/>
  <c r="G127" i="43" s="1"/>
  <c r="F9" i="39"/>
  <c r="I152" i="38"/>
  <c r="I150" i="43" s="1"/>
  <c r="H152" i="38"/>
  <c r="H150" i="43" s="1"/>
  <c r="E152" i="38"/>
  <c r="E150" i="43" s="1"/>
  <c r="D152" i="38"/>
  <c r="D150" i="43" s="1"/>
  <c r="K150" i="38"/>
  <c r="K148" i="43" s="1"/>
  <c r="J150" i="38"/>
  <c r="J148" i="43" s="1"/>
  <c r="I150" i="38"/>
  <c r="I148" i="43" s="1"/>
  <c r="G150" i="38"/>
  <c r="G148" i="43" s="1"/>
  <c r="F150" i="38"/>
  <c r="F148" i="43" s="1"/>
  <c r="E150" i="38"/>
  <c r="E148" i="43" s="1"/>
  <c r="E149" i="38"/>
  <c r="E147" i="43" s="1"/>
  <c r="I148" i="38"/>
  <c r="I146" i="43" s="1"/>
  <c r="H148" i="38"/>
  <c r="H146" i="43" s="1"/>
  <c r="E148" i="38"/>
  <c r="E146" i="43" s="1"/>
  <c r="D148" i="38"/>
  <c r="D146" i="43" s="1"/>
  <c r="I147" i="38"/>
  <c r="I145" i="43" s="1"/>
  <c r="H147" i="38"/>
  <c r="H145" i="43" s="1"/>
  <c r="E147" i="38"/>
  <c r="E145" i="43" s="1"/>
  <c r="D147" i="38"/>
  <c r="D145" i="43" s="1"/>
  <c r="K146" i="38"/>
  <c r="K144" i="43" s="1"/>
  <c r="J146" i="38"/>
  <c r="J144" i="43" s="1"/>
  <c r="I146" i="38"/>
  <c r="I144" i="43" s="1"/>
  <c r="G146" i="38"/>
  <c r="G144" i="43" s="1"/>
  <c r="F146" i="38"/>
  <c r="F144" i="43" s="1"/>
  <c r="E146" i="38"/>
  <c r="E144" i="43" s="1"/>
  <c r="I145" i="38"/>
  <c r="I143" i="43" s="1"/>
  <c r="H145" i="38"/>
  <c r="H143" i="43" s="1"/>
  <c r="E145" i="38"/>
  <c r="E143" i="43" s="1"/>
  <c r="D145" i="38"/>
  <c r="D143" i="43" s="1"/>
  <c r="K144" i="38"/>
  <c r="J144" i="38"/>
  <c r="J142" i="43" s="1"/>
  <c r="I144" i="38"/>
  <c r="I142" i="43" s="1"/>
  <c r="G144" i="38"/>
  <c r="G142" i="43" s="1"/>
  <c r="F144" i="38"/>
  <c r="F142" i="43" s="1"/>
  <c r="E144" i="38"/>
  <c r="E142" i="43" s="1"/>
  <c r="K138" i="38"/>
  <c r="K136" i="43" s="1"/>
  <c r="J132" i="38"/>
  <c r="J130" i="43" s="1"/>
  <c r="I132" i="38"/>
  <c r="I130" i="43" s="1"/>
  <c r="H132" i="38"/>
  <c r="H130" i="43" s="1"/>
  <c r="F132" i="38"/>
  <c r="F130" i="43" s="1"/>
  <c r="E132" i="38"/>
  <c r="E130" i="43" s="1"/>
  <c r="D132" i="38"/>
  <c r="D130" i="43" s="1"/>
  <c r="K131" i="38"/>
  <c r="K129" i="43" s="1"/>
  <c r="J131" i="38"/>
  <c r="J129" i="43" s="1"/>
  <c r="I131" i="38"/>
  <c r="I129" i="43" s="1"/>
  <c r="H131" i="38"/>
  <c r="H129" i="43" s="1"/>
  <c r="G131" i="38"/>
  <c r="G129" i="43" s="1"/>
  <c r="F131" i="38"/>
  <c r="E131" i="38"/>
  <c r="E129" i="43" s="1"/>
  <c r="D131" i="38"/>
  <c r="J129" i="38"/>
  <c r="J127" i="43" s="1"/>
  <c r="I129" i="38"/>
  <c r="I127" i="43" s="1"/>
  <c r="F129" i="38"/>
  <c r="D129" i="38"/>
  <c r="D127" i="43" s="1"/>
  <c r="K128" i="38"/>
  <c r="K126" i="43" s="1"/>
  <c r="H128" i="38"/>
  <c r="G128" i="38"/>
  <c r="G126" i="43" s="1"/>
  <c r="F128" i="38"/>
  <c r="F126" i="43" s="1"/>
  <c r="D128" i="38"/>
  <c r="D126" i="43" s="1"/>
  <c r="K122" i="38"/>
  <c r="K120" i="43" s="1"/>
  <c r="J122" i="38"/>
  <c r="J120" i="43" s="1"/>
  <c r="H122" i="38"/>
  <c r="H120" i="43" s="1"/>
  <c r="G122" i="38"/>
  <c r="G120" i="43" s="1"/>
  <c r="F122" i="38"/>
  <c r="F120" i="43" s="1"/>
  <c r="D122" i="38"/>
  <c r="D120" i="43" s="1"/>
  <c r="K121" i="38"/>
  <c r="K119" i="43" s="1"/>
  <c r="J121" i="38"/>
  <c r="J119" i="43" s="1"/>
  <c r="H121" i="38"/>
  <c r="H119" i="43" s="1"/>
  <c r="G121" i="38"/>
  <c r="G119" i="43" s="1"/>
  <c r="F121" i="38"/>
  <c r="F119" i="43" s="1"/>
  <c r="D121" i="38"/>
  <c r="D119" i="43" s="1"/>
  <c r="K120" i="38"/>
  <c r="K118" i="43" s="1"/>
  <c r="J120" i="38"/>
  <c r="J118" i="43" s="1"/>
  <c r="H120" i="38"/>
  <c r="H118" i="43" s="1"/>
  <c r="G120" i="38"/>
  <c r="G118" i="43" s="1"/>
  <c r="F120" i="38"/>
  <c r="F118" i="43" s="1"/>
  <c r="D120" i="38"/>
  <c r="D118" i="43" s="1"/>
  <c r="K119" i="38"/>
  <c r="K117" i="43" s="1"/>
  <c r="J119" i="38"/>
  <c r="J117" i="43" s="1"/>
  <c r="H119" i="38"/>
  <c r="H117" i="43" s="1"/>
  <c r="G119" i="38"/>
  <c r="G117" i="43" s="1"/>
  <c r="F119" i="38"/>
  <c r="F117" i="43" s="1"/>
  <c r="D119" i="38"/>
  <c r="D117" i="43" s="1"/>
  <c r="K113" i="38"/>
  <c r="K111" i="43" s="1"/>
  <c r="J113" i="38"/>
  <c r="J111" i="43" s="1"/>
  <c r="H113" i="38"/>
  <c r="H111" i="43" s="1"/>
  <c r="G113" i="38"/>
  <c r="G111" i="43" s="1"/>
  <c r="F113" i="38"/>
  <c r="F111" i="43" s="1"/>
  <c r="D113" i="38"/>
  <c r="D111" i="43" s="1"/>
  <c r="K108" i="38"/>
  <c r="K106" i="43" s="1"/>
  <c r="J107" i="38"/>
  <c r="J105" i="43" s="1"/>
  <c r="F107" i="38"/>
  <c r="F105" i="43" s="1"/>
  <c r="M100" i="38"/>
  <c r="N100" i="38" s="1"/>
  <c r="K97" i="38"/>
  <c r="K96" i="43" s="1"/>
  <c r="J97" i="38"/>
  <c r="J96" i="43" s="1"/>
  <c r="I97" i="38"/>
  <c r="I96" i="43" s="1"/>
  <c r="G97" i="38"/>
  <c r="G96" i="43" s="1"/>
  <c r="F97" i="38"/>
  <c r="F96" i="43" s="1"/>
  <c r="K96" i="38"/>
  <c r="K95" i="43" s="1"/>
  <c r="J96" i="38"/>
  <c r="J95" i="43" s="1"/>
  <c r="I96" i="38"/>
  <c r="I95" i="43" s="1"/>
  <c r="G96" i="38"/>
  <c r="G95" i="43" s="1"/>
  <c r="F96" i="38"/>
  <c r="F95" i="43" s="1"/>
  <c r="E96" i="38"/>
  <c r="E95" i="43" s="1"/>
  <c r="J95" i="38"/>
  <c r="J94" i="43" s="1"/>
  <c r="I95" i="38"/>
  <c r="I94" i="43" s="1"/>
  <c r="H95" i="38"/>
  <c r="H94" i="43" s="1"/>
  <c r="F95" i="38"/>
  <c r="F94" i="43" s="1"/>
  <c r="D95" i="38"/>
  <c r="D94" i="43" s="1"/>
  <c r="K94" i="38"/>
  <c r="K93" i="43" s="1"/>
  <c r="I94" i="38"/>
  <c r="I93" i="43" s="1"/>
  <c r="H94" i="38"/>
  <c r="H93" i="43" s="1"/>
  <c r="G94" i="38"/>
  <c r="G93" i="43" s="1"/>
  <c r="D94" i="38"/>
  <c r="D93" i="43" s="1"/>
  <c r="M93" i="38"/>
  <c r="K92" i="38"/>
  <c r="K91" i="43" s="1"/>
  <c r="J92" i="38"/>
  <c r="J91" i="43" s="1"/>
  <c r="I92" i="38"/>
  <c r="I91" i="43" s="1"/>
  <c r="H92" i="38"/>
  <c r="H91" i="43" s="1"/>
  <c r="G92" i="38"/>
  <c r="G91" i="43" s="1"/>
  <c r="F92" i="38"/>
  <c r="F91" i="43" s="1"/>
  <c r="E92" i="38"/>
  <c r="E91" i="43" s="1"/>
  <c r="D92" i="38"/>
  <c r="D91" i="43" s="1"/>
  <c r="K89" i="38"/>
  <c r="K89" i="43" s="1"/>
  <c r="I89" i="38"/>
  <c r="I89" i="43" s="1"/>
  <c r="H89" i="38"/>
  <c r="H89" i="43" s="1"/>
  <c r="G89" i="38"/>
  <c r="G89" i="43" s="1"/>
  <c r="E89" i="38"/>
  <c r="E89" i="43" s="1"/>
  <c r="D89" i="38"/>
  <c r="D89" i="43" s="1"/>
  <c r="I88" i="38"/>
  <c r="I88" i="43" s="1"/>
  <c r="H88" i="38"/>
  <c r="H88" i="43" s="1"/>
  <c r="F88" i="38"/>
  <c r="F88" i="43" s="1"/>
  <c r="E88" i="38"/>
  <c r="E88" i="43" s="1"/>
  <c r="D88" i="38"/>
  <c r="D88" i="43" s="1"/>
  <c r="K87" i="38"/>
  <c r="K87" i="43" s="1"/>
  <c r="J87" i="38"/>
  <c r="J87" i="43" s="1"/>
  <c r="I87" i="38"/>
  <c r="I87" i="43" s="1"/>
  <c r="H87" i="38"/>
  <c r="H87" i="43" s="1"/>
  <c r="G87" i="38"/>
  <c r="G87" i="43" s="1"/>
  <c r="F87" i="38"/>
  <c r="F87" i="43" s="1"/>
  <c r="E87" i="38"/>
  <c r="E87" i="43" s="1"/>
  <c r="D87" i="38"/>
  <c r="D87" i="43" s="1"/>
  <c r="J86" i="38"/>
  <c r="J86" i="43" s="1"/>
  <c r="I86" i="38"/>
  <c r="I86" i="43" s="1"/>
  <c r="H86" i="38"/>
  <c r="H86" i="43" s="1"/>
  <c r="F86" i="38"/>
  <c r="F86" i="43" s="1"/>
  <c r="E86" i="38"/>
  <c r="E86" i="43" s="1"/>
  <c r="D86" i="38"/>
  <c r="D86" i="43" s="1"/>
  <c r="K85" i="38"/>
  <c r="K85" i="43" s="1"/>
  <c r="I85" i="38"/>
  <c r="I85" i="43" s="1"/>
  <c r="H85" i="38"/>
  <c r="H85" i="43" s="1"/>
  <c r="G85" i="38"/>
  <c r="G85" i="43" s="1"/>
  <c r="E85" i="38"/>
  <c r="E85" i="43" s="1"/>
  <c r="D85" i="38"/>
  <c r="D85" i="43" s="1"/>
  <c r="K79" i="38"/>
  <c r="K79" i="43" s="1"/>
  <c r="J79" i="38"/>
  <c r="J79" i="43" s="1"/>
  <c r="I79" i="38"/>
  <c r="I79" i="43" s="1"/>
  <c r="H79" i="38"/>
  <c r="H79" i="43" s="1"/>
  <c r="G79" i="38"/>
  <c r="G79" i="43" s="1"/>
  <c r="F79" i="38"/>
  <c r="F79" i="43" s="1"/>
  <c r="E79" i="38"/>
  <c r="E79" i="43" s="1"/>
  <c r="D79" i="38"/>
  <c r="D79" i="43" s="1"/>
  <c r="E77" i="38"/>
  <c r="E77" i="43" s="1"/>
  <c r="K76" i="38"/>
  <c r="K76" i="43" s="1"/>
  <c r="J76" i="38"/>
  <c r="J76" i="43" s="1"/>
  <c r="I76" i="38"/>
  <c r="I76" i="43" s="1"/>
  <c r="H76" i="38"/>
  <c r="H76" i="43" s="1"/>
  <c r="G76" i="38"/>
  <c r="G76" i="43" s="1"/>
  <c r="F76" i="38"/>
  <c r="F76" i="43" s="1"/>
  <c r="E76" i="38"/>
  <c r="E76" i="43" s="1"/>
  <c r="D76" i="38"/>
  <c r="D76" i="43" s="1"/>
  <c r="K75" i="38"/>
  <c r="K75" i="43" s="1"/>
  <c r="J75" i="38"/>
  <c r="J75" i="43" s="1"/>
  <c r="I75" i="38"/>
  <c r="I75" i="43" s="1"/>
  <c r="H75" i="38"/>
  <c r="H75" i="43" s="1"/>
  <c r="G75" i="38"/>
  <c r="G75" i="43" s="1"/>
  <c r="F75" i="38"/>
  <c r="F75" i="43" s="1"/>
  <c r="E75" i="38"/>
  <c r="E75" i="43" s="1"/>
  <c r="D75" i="38"/>
  <c r="D75" i="43" s="1"/>
  <c r="J74" i="38"/>
  <c r="J74" i="43" s="1"/>
  <c r="I74" i="38"/>
  <c r="I74" i="43" s="1"/>
  <c r="H74" i="38"/>
  <c r="H74" i="43" s="1"/>
  <c r="F74" i="38"/>
  <c r="F74" i="43" s="1"/>
  <c r="E74" i="38"/>
  <c r="E74" i="43" s="1"/>
  <c r="D74" i="38"/>
  <c r="D74" i="43" s="1"/>
  <c r="K73" i="38"/>
  <c r="K73" i="43" s="1"/>
  <c r="J73" i="38"/>
  <c r="J73" i="43" s="1"/>
  <c r="I73" i="38"/>
  <c r="I73" i="43" s="1"/>
  <c r="H73" i="38"/>
  <c r="H73" i="43" s="1"/>
  <c r="G73" i="38"/>
  <c r="G73" i="43" s="1"/>
  <c r="F73" i="38"/>
  <c r="F73" i="43" s="1"/>
  <c r="E73" i="38"/>
  <c r="E73" i="43" s="1"/>
  <c r="D73" i="38"/>
  <c r="D73" i="43" s="1"/>
  <c r="G72" i="38"/>
  <c r="G72" i="43" s="1"/>
  <c r="D72" i="38"/>
  <c r="D72" i="43" s="1"/>
  <c r="J71" i="38"/>
  <c r="J71" i="43" s="1"/>
  <c r="I71" i="38"/>
  <c r="I71" i="43" s="1"/>
  <c r="H71" i="38"/>
  <c r="H71" i="43" s="1"/>
  <c r="F71" i="38"/>
  <c r="F71" i="43" s="1"/>
  <c r="E71" i="38"/>
  <c r="E71" i="43" s="1"/>
  <c r="D71" i="38"/>
  <c r="D71" i="43" s="1"/>
  <c r="K70" i="38"/>
  <c r="J70" i="38"/>
  <c r="J70" i="43" s="1"/>
  <c r="I70" i="38"/>
  <c r="I70" i="43" s="1"/>
  <c r="H70" i="38"/>
  <c r="H70" i="43" s="1"/>
  <c r="G70" i="38"/>
  <c r="F70" i="38"/>
  <c r="F70" i="43" s="1"/>
  <c r="E70" i="38"/>
  <c r="E70" i="43" s="1"/>
  <c r="D70" i="38"/>
  <c r="D70" i="43" s="1"/>
  <c r="J66" i="38"/>
  <c r="J66" i="43" s="1"/>
  <c r="K64" i="38"/>
  <c r="K64" i="43" s="1"/>
  <c r="J64" i="38"/>
  <c r="J64" i="43" s="1"/>
  <c r="I64" i="38"/>
  <c r="I64" i="43" s="1"/>
  <c r="H64" i="38"/>
  <c r="H64" i="43" s="1"/>
  <c r="G64" i="38"/>
  <c r="G64" i="43" s="1"/>
  <c r="F64" i="38"/>
  <c r="F64" i="43" s="1"/>
  <c r="E64" i="38"/>
  <c r="E64" i="43" s="1"/>
  <c r="D64" i="38"/>
  <c r="D64" i="43" s="1"/>
  <c r="K63" i="38"/>
  <c r="K63" i="43" s="1"/>
  <c r="J63" i="38"/>
  <c r="J63" i="43" s="1"/>
  <c r="I63" i="38"/>
  <c r="I63" i="43" s="1"/>
  <c r="H63" i="38"/>
  <c r="H63" i="43" s="1"/>
  <c r="G63" i="38"/>
  <c r="G63" i="43" s="1"/>
  <c r="F63" i="38"/>
  <c r="F63" i="43" s="1"/>
  <c r="E63" i="38"/>
  <c r="E63" i="43" s="1"/>
  <c r="D63" i="38"/>
  <c r="D63" i="43" s="1"/>
  <c r="J62" i="38"/>
  <c r="J62" i="43" s="1"/>
  <c r="I62" i="38"/>
  <c r="I62" i="43" s="1"/>
  <c r="H62" i="38"/>
  <c r="H62" i="43" s="1"/>
  <c r="F62" i="38"/>
  <c r="F62" i="43" s="1"/>
  <c r="E62" i="38"/>
  <c r="E62" i="43" s="1"/>
  <c r="D62" i="38"/>
  <c r="D62" i="43" s="1"/>
  <c r="K61" i="38"/>
  <c r="J61" i="38"/>
  <c r="J61" i="43" s="1"/>
  <c r="I61" i="38"/>
  <c r="I61" i="43" s="1"/>
  <c r="H61" i="38"/>
  <c r="G61" i="38"/>
  <c r="F61" i="38"/>
  <c r="F61" i="43" s="1"/>
  <c r="E61" i="38"/>
  <c r="E61" i="43" s="1"/>
  <c r="D61" i="38"/>
  <c r="K55" i="38"/>
  <c r="K55" i="43" s="1"/>
  <c r="J55" i="38"/>
  <c r="J55" i="43" s="1"/>
  <c r="I55" i="38"/>
  <c r="I55" i="43" s="1"/>
  <c r="H55" i="38"/>
  <c r="H55" i="43" s="1"/>
  <c r="G55" i="38"/>
  <c r="G55" i="43" s="1"/>
  <c r="F55" i="38"/>
  <c r="F55" i="43" s="1"/>
  <c r="E55" i="38"/>
  <c r="E55" i="43" s="1"/>
  <c r="D55" i="38"/>
  <c r="D55" i="43" s="1"/>
  <c r="F54" i="38"/>
  <c r="F54" i="43" s="1"/>
  <c r="K53" i="38"/>
  <c r="K53" i="43" s="1"/>
  <c r="J53" i="38"/>
  <c r="J53" i="43" s="1"/>
  <c r="E53" i="38"/>
  <c r="E53" i="43" s="1"/>
  <c r="AC48" i="38"/>
  <c r="K45" i="38"/>
  <c r="K45" i="43" s="1"/>
  <c r="J45" i="38"/>
  <c r="J45" i="43" s="1"/>
  <c r="I45" i="38"/>
  <c r="I45" i="43" s="1"/>
  <c r="H45" i="38"/>
  <c r="H45" i="43" s="1"/>
  <c r="G45" i="38"/>
  <c r="F45" i="38"/>
  <c r="F45" i="43" s="1"/>
  <c r="E45" i="38"/>
  <c r="D45" i="38"/>
  <c r="D45" i="43" s="1"/>
  <c r="K44" i="38"/>
  <c r="K44" i="43" s="1"/>
  <c r="J44" i="38"/>
  <c r="J44" i="43" s="1"/>
  <c r="I44" i="38"/>
  <c r="I44" i="43" s="1"/>
  <c r="H44" i="38"/>
  <c r="H44" i="43" s="1"/>
  <c r="G44" i="38"/>
  <c r="G44" i="43" s="1"/>
  <c r="F44" i="38"/>
  <c r="F44" i="43" s="1"/>
  <c r="E44" i="38"/>
  <c r="E44" i="43" s="1"/>
  <c r="D44" i="38"/>
  <c r="D44" i="43" s="1"/>
  <c r="K41" i="38"/>
  <c r="K41" i="43" s="1"/>
  <c r="AK41" i="43" s="1"/>
  <c r="J41" i="38"/>
  <c r="J41" i="43" s="1"/>
  <c r="AJ41" i="43" s="1"/>
  <c r="I41" i="38"/>
  <c r="H41" i="38"/>
  <c r="H41" i="43" s="1"/>
  <c r="AH41" i="43" s="1"/>
  <c r="G41" i="38"/>
  <c r="G41" i="43" s="1"/>
  <c r="AG41" i="43" s="1"/>
  <c r="F41" i="38"/>
  <c r="F41" i="43" s="1"/>
  <c r="AF41" i="43" s="1"/>
  <c r="E41" i="38"/>
  <c r="AE41" i="38" s="1"/>
  <c r="D41" i="38"/>
  <c r="K40" i="38"/>
  <c r="J40" i="38"/>
  <c r="J40" i="43" s="1"/>
  <c r="AJ40" i="43" s="1"/>
  <c r="I40" i="38"/>
  <c r="I40" i="43" s="1"/>
  <c r="AI40" i="43" s="1"/>
  <c r="H40" i="38"/>
  <c r="G40" i="38"/>
  <c r="F40" i="38"/>
  <c r="E40" i="38"/>
  <c r="E40" i="43" s="1"/>
  <c r="AE40" i="43" s="1"/>
  <c r="D40" i="38"/>
  <c r="K33" i="38"/>
  <c r="J33" i="38"/>
  <c r="J33" i="43" s="1"/>
  <c r="AJ33" i="43" s="1"/>
  <c r="H33" i="38"/>
  <c r="H33" i="43" s="1"/>
  <c r="AH33" i="43" s="1"/>
  <c r="G33" i="38"/>
  <c r="F33" i="38"/>
  <c r="D33" i="38"/>
  <c r="D33" i="43" s="1"/>
  <c r="AD33" i="43" s="1"/>
  <c r="K32" i="38"/>
  <c r="K32" i="43" s="1"/>
  <c r="J32" i="38"/>
  <c r="J32" i="43" s="1"/>
  <c r="G32" i="38"/>
  <c r="G32" i="43" s="1"/>
  <c r="F32" i="38"/>
  <c r="F32" i="43" s="1"/>
  <c r="D32" i="38"/>
  <c r="D32" i="43" s="1"/>
  <c r="K31" i="38"/>
  <c r="K31" i="43" s="1"/>
  <c r="AK31" i="43" s="1"/>
  <c r="J31" i="38"/>
  <c r="J31" i="43" s="1"/>
  <c r="AJ31" i="43" s="1"/>
  <c r="I31" i="38"/>
  <c r="H31" i="38"/>
  <c r="H31" i="43" s="1"/>
  <c r="AH31" i="43" s="1"/>
  <c r="G31" i="38"/>
  <c r="G31" i="43" s="1"/>
  <c r="AG31" i="43" s="1"/>
  <c r="F31" i="38"/>
  <c r="F31" i="43" s="1"/>
  <c r="AF31" i="43" s="1"/>
  <c r="E31" i="38"/>
  <c r="E31" i="43" s="1"/>
  <c r="AE31" i="43" s="1"/>
  <c r="D31" i="38"/>
  <c r="D31" i="43" s="1"/>
  <c r="AD31" i="43" s="1"/>
  <c r="AD29" i="38"/>
  <c r="AI29" i="38"/>
  <c r="K27" i="38"/>
  <c r="H27" i="38"/>
  <c r="H27" i="43" s="1"/>
  <c r="AH27" i="43" s="1"/>
  <c r="G27" i="38"/>
  <c r="G27" i="43" s="1"/>
  <c r="AG27" i="43" s="1"/>
  <c r="E27" i="38"/>
  <c r="E27" i="43" s="1"/>
  <c r="AE27" i="43" s="1"/>
  <c r="D27" i="38"/>
  <c r="D27" i="43" s="1"/>
  <c r="AD27" i="43" s="1"/>
  <c r="AL26" i="38"/>
  <c r="AK26" i="38"/>
  <c r="AJ26" i="38"/>
  <c r="AI26" i="38"/>
  <c r="AH26" i="38"/>
  <c r="AG26" i="38"/>
  <c r="AF26" i="38"/>
  <c r="AE26" i="38"/>
  <c r="AD26" i="38"/>
  <c r="K2" i="38"/>
  <c r="AC48" i="37"/>
  <c r="I36" i="38" l="1"/>
  <c r="I36" i="43" s="1"/>
  <c r="AD33" i="38"/>
  <c r="K72" i="38"/>
  <c r="K72" i="43" s="1"/>
  <c r="K35" i="38"/>
  <c r="K35" i="43" s="1"/>
  <c r="AK35" i="43" s="1"/>
  <c r="E133" i="38"/>
  <c r="E131" i="43" s="1"/>
  <c r="AE40" i="38"/>
  <c r="AD27" i="38"/>
  <c r="D36" i="38"/>
  <c r="D36" i="43" s="1"/>
  <c r="J46" i="38"/>
  <c r="J46" i="43" s="1"/>
  <c r="AH31" i="38"/>
  <c r="K48" i="38"/>
  <c r="K48" i="43" s="1"/>
  <c r="AK48" i="43" s="1"/>
  <c r="I136" i="43"/>
  <c r="I140" i="38"/>
  <c r="I138" i="43" s="1"/>
  <c r="AD40" i="38"/>
  <c r="D40" i="43"/>
  <c r="AD40" i="43" s="1"/>
  <c r="AH40" i="38"/>
  <c r="H40" i="43"/>
  <c r="AH40" i="43" s="1"/>
  <c r="D42" i="38"/>
  <c r="D42" i="43" s="1"/>
  <c r="AD42" i="43" s="1"/>
  <c r="D41" i="43"/>
  <c r="AD41" i="43" s="1"/>
  <c r="E48" i="38"/>
  <c r="E48" i="43" s="1"/>
  <c r="AE48" i="43" s="1"/>
  <c r="E45" i="43"/>
  <c r="AH27" i="38"/>
  <c r="AD31" i="38"/>
  <c r="AH33" i="38"/>
  <c r="AI40" i="38"/>
  <c r="E42" i="38"/>
  <c r="E41" i="43"/>
  <c r="AE41" i="43" s="1"/>
  <c r="I42" i="38"/>
  <c r="I41" i="43"/>
  <c r="AI41" i="43" s="1"/>
  <c r="AG41" i="38"/>
  <c r="K46" i="38"/>
  <c r="K46" i="43" s="1"/>
  <c r="D65" i="38"/>
  <c r="D65" i="43" s="1"/>
  <c r="D61" i="43"/>
  <c r="H65" i="38"/>
  <c r="H65" i="43" s="1"/>
  <c r="H61" i="43"/>
  <c r="G130" i="38"/>
  <c r="G128" i="43" s="1"/>
  <c r="I135" i="38"/>
  <c r="I133" i="43" s="1"/>
  <c r="K151" i="38"/>
  <c r="K149" i="43" s="1"/>
  <c r="K142" i="43"/>
  <c r="G66" i="43"/>
  <c r="G64" i="27"/>
  <c r="G65" i="27" s="1"/>
  <c r="AG33" i="38"/>
  <c r="G33" i="43"/>
  <c r="AG33" i="43" s="1"/>
  <c r="H42" i="38"/>
  <c r="H42" i="43" s="1"/>
  <c r="AH42" i="43" s="1"/>
  <c r="G65" i="38"/>
  <c r="G65" i="43" s="1"/>
  <c r="G61" i="43"/>
  <c r="F133" i="38"/>
  <c r="F131" i="43" s="1"/>
  <c r="F129" i="43"/>
  <c r="E36" i="38"/>
  <c r="E36" i="43" s="1"/>
  <c r="AI31" i="38"/>
  <c r="I31" i="43"/>
  <c r="AI31" i="43" s="1"/>
  <c r="AG31" i="38"/>
  <c r="AJ33" i="38"/>
  <c r="AF40" i="38"/>
  <c r="F40" i="43"/>
  <c r="AF40" i="43" s="1"/>
  <c r="AJ40" i="38"/>
  <c r="AK41" i="38"/>
  <c r="G46" i="38"/>
  <c r="G46" i="43" s="1"/>
  <c r="G45" i="43"/>
  <c r="G48" i="38"/>
  <c r="G78" i="38"/>
  <c r="G70" i="43"/>
  <c r="K78" i="38"/>
  <c r="K70" i="43"/>
  <c r="F135" i="38"/>
  <c r="F133" i="43" s="1"/>
  <c r="F127" i="43"/>
  <c r="L131" i="38"/>
  <c r="L129" i="43" s="1"/>
  <c r="D129" i="43"/>
  <c r="J135" i="38"/>
  <c r="J133" i="43" s="1"/>
  <c r="F140" i="38"/>
  <c r="F138" i="43" s="1"/>
  <c r="F136" i="43"/>
  <c r="AK31" i="38"/>
  <c r="E35" i="38"/>
  <c r="K65" i="38"/>
  <c r="K65" i="43" s="1"/>
  <c r="K61" i="43"/>
  <c r="M92" i="38"/>
  <c r="M91" i="43" s="1"/>
  <c r="E9" i="43"/>
  <c r="AK27" i="38"/>
  <c r="K27" i="43"/>
  <c r="AK27" i="43" s="1"/>
  <c r="AF33" i="38"/>
  <c r="F33" i="43"/>
  <c r="AF33" i="43" s="1"/>
  <c r="AK33" i="38"/>
  <c r="K33" i="43"/>
  <c r="AK33" i="43" s="1"/>
  <c r="G34" i="38"/>
  <c r="AG40" i="38"/>
  <c r="G40" i="43"/>
  <c r="AG40" i="43" s="1"/>
  <c r="K42" i="38"/>
  <c r="K40" i="43"/>
  <c r="AK40" i="43" s="1"/>
  <c r="AK40" i="38"/>
  <c r="G42" i="38"/>
  <c r="D46" i="38"/>
  <c r="D46" i="43" s="1"/>
  <c r="J48" i="38"/>
  <c r="AK48" i="38"/>
  <c r="F65" i="38"/>
  <c r="F65" i="43" s="1"/>
  <c r="H134" i="38"/>
  <c r="H132" i="43" s="1"/>
  <c r="H126" i="43"/>
  <c r="AI33" i="38"/>
  <c r="I33" i="43"/>
  <c r="AI33" i="43" s="1"/>
  <c r="N87" i="41"/>
  <c r="M87" i="41"/>
  <c r="F47" i="41"/>
  <c r="G42" i="41"/>
  <c r="E15" i="41"/>
  <c r="AE48" i="38"/>
  <c r="I72" i="38"/>
  <c r="I72" i="43" s="1"/>
  <c r="I150" i="39"/>
  <c r="J89" i="38"/>
  <c r="J89" i="43" s="1"/>
  <c r="D151" i="38"/>
  <c r="D149" i="43" s="1"/>
  <c r="AE27" i="38"/>
  <c r="L28" i="38"/>
  <c r="L28" i="43" s="1"/>
  <c r="AK35" i="38"/>
  <c r="L87" i="38"/>
  <c r="L87" i="43" s="1"/>
  <c r="M94" i="38"/>
  <c r="M93" i="43" s="1"/>
  <c r="J23" i="39"/>
  <c r="J85" i="38"/>
  <c r="J85" i="43" s="1"/>
  <c r="J27" i="38"/>
  <c r="J27" i="43" s="1"/>
  <c r="AJ27" i="43" s="1"/>
  <c r="G86" i="38"/>
  <c r="G86" i="43" s="1"/>
  <c r="K23" i="39"/>
  <c r="K86" i="38"/>
  <c r="K86" i="43" s="1"/>
  <c r="D66" i="38"/>
  <c r="D66" i="43" s="1"/>
  <c r="G35" i="38"/>
  <c r="G35" i="43" s="1"/>
  <c r="AG35" i="43" s="1"/>
  <c r="AG27" i="38"/>
  <c r="K34" i="38"/>
  <c r="K34" i="43" s="1"/>
  <c r="AK34" i="43" s="1"/>
  <c r="L44" i="38"/>
  <c r="L44" i="43" s="1"/>
  <c r="H46" i="38"/>
  <c r="H46" i="43" s="1"/>
  <c r="L45" i="38"/>
  <c r="L45" i="43" s="1"/>
  <c r="E65" i="38"/>
  <c r="E65" i="43" s="1"/>
  <c r="J65" i="38"/>
  <c r="J65" i="43" s="1"/>
  <c r="K134" i="38"/>
  <c r="K132" i="43" s="1"/>
  <c r="H133" i="38"/>
  <c r="H131" i="43" s="1"/>
  <c r="K140" i="38"/>
  <c r="K138" i="43" s="1"/>
  <c r="I151" i="38"/>
  <c r="I149" i="43" s="1"/>
  <c r="H32" i="38"/>
  <c r="H32" i="43" s="1"/>
  <c r="L39" i="39"/>
  <c r="E33" i="38"/>
  <c r="E33" i="43" s="1"/>
  <c r="AE33" i="43" s="1"/>
  <c r="H150" i="39"/>
  <c r="H72" i="38"/>
  <c r="H72" i="43" s="1"/>
  <c r="G36" i="38"/>
  <c r="G36" i="43" s="1"/>
  <c r="K36" i="38"/>
  <c r="K36" i="43" s="1"/>
  <c r="D78" i="38"/>
  <c r="D78" i="43" s="1"/>
  <c r="F130" i="38"/>
  <c r="F128" i="43" s="1"/>
  <c r="F134" i="38"/>
  <c r="F132" i="43" s="1"/>
  <c r="F89" i="38"/>
  <c r="F89" i="43" s="1"/>
  <c r="L29" i="38"/>
  <c r="L29" i="43" s="1"/>
  <c r="AL29" i="43" s="1"/>
  <c r="G107" i="38"/>
  <c r="G105" i="43" s="1"/>
  <c r="G53" i="38"/>
  <c r="G53" i="43" s="1"/>
  <c r="L139" i="38"/>
  <c r="L137" i="43" s="1"/>
  <c r="J140" i="38"/>
  <c r="J138" i="43" s="1"/>
  <c r="H151" i="38"/>
  <c r="H149" i="43" s="1"/>
  <c r="D37" i="38"/>
  <c r="D37" i="43" s="1"/>
  <c r="AD37" i="43" s="1"/>
  <c r="F151" i="38"/>
  <c r="F149" i="43" s="1"/>
  <c r="F23" i="39"/>
  <c r="F85" i="38"/>
  <c r="F85" i="43" s="1"/>
  <c r="F27" i="38"/>
  <c r="AF41" i="38"/>
  <c r="F42" i="38"/>
  <c r="F42" i="43" s="1"/>
  <c r="AF42" i="43" s="1"/>
  <c r="F48" i="38"/>
  <c r="F48" i="43" s="1"/>
  <c r="AF48" i="43" s="1"/>
  <c r="AJ41" i="38"/>
  <c r="J42" i="38"/>
  <c r="J42" i="43" s="1"/>
  <c r="AJ42" i="43" s="1"/>
  <c r="E46" i="38"/>
  <c r="E46" i="43" s="1"/>
  <c r="I46" i="38"/>
  <c r="I46" i="43" s="1"/>
  <c r="D133" i="38"/>
  <c r="D131" i="43" s="1"/>
  <c r="D23" i="39"/>
  <c r="L20" i="39"/>
  <c r="E5" i="38" s="1"/>
  <c r="E5" i="43" s="1"/>
  <c r="G88" i="38"/>
  <c r="G88" i="43" s="1"/>
  <c r="K88" i="38"/>
  <c r="K88" i="43" s="1"/>
  <c r="E72" i="38"/>
  <c r="E72" i="43" s="1"/>
  <c r="E150" i="39"/>
  <c r="H37" i="38"/>
  <c r="H37" i="43" s="1"/>
  <c r="AH37" i="43" s="1"/>
  <c r="AH29" i="38"/>
  <c r="D34" i="38"/>
  <c r="D34" i="43" s="1"/>
  <c r="AD34" i="43" s="1"/>
  <c r="L31" i="38"/>
  <c r="L31" i="43" s="1"/>
  <c r="AL31" i="43" s="1"/>
  <c r="F46" i="38"/>
  <c r="F46" i="43" s="1"/>
  <c r="I65" i="38"/>
  <c r="I65" i="43" s="1"/>
  <c r="J88" i="38"/>
  <c r="J88" i="43" s="1"/>
  <c r="E95" i="38"/>
  <c r="E94" i="43" s="1"/>
  <c r="G134" i="38"/>
  <c r="G132" i="43" s="1"/>
  <c r="D135" i="38"/>
  <c r="D133" i="43" s="1"/>
  <c r="D130" i="38"/>
  <c r="D128" i="43" s="1"/>
  <c r="I133" i="38"/>
  <c r="I131" i="43" s="1"/>
  <c r="L138" i="38"/>
  <c r="L136" i="43" s="1"/>
  <c r="E140" i="38"/>
  <c r="E138" i="43" s="1"/>
  <c r="E151" i="38"/>
  <c r="E149" i="43" s="1"/>
  <c r="J151" i="38"/>
  <c r="J149" i="43" s="1"/>
  <c r="E128" i="38"/>
  <c r="E126" i="43" s="1"/>
  <c r="E9" i="39"/>
  <c r="E94" i="38"/>
  <c r="E93" i="43" s="1"/>
  <c r="I128" i="38"/>
  <c r="I126" i="43" s="1"/>
  <c r="L12" i="39"/>
  <c r="E12" i="38" s="1"/>
  <c r="E12" i="43" s="1"/>
  <c r="D96" i="38"/>
  <c r="D95" i="43" s="1"/>
  <c r="L13" i="39"/>
  <c r="E13" i="38" s="1"/>
  <c r="E13" i="43" s="1"/>
  <c r="L16" i="39"/>
  <c r="E4" i="38" s="1"/>
  <c r="E4" i="43" s="1"/>
  <c r="F47" i="39"/>
  <c r="F150" i="39"/>
  <c r="F72" i="38"/>
  <c r="F72" i="43" s="1"/>
  <c r="J150" i="39"/>
  <c r="J72" i="38"/>
  <c r="J72" i="43" s="1"/>
  <c r="I37" i="38"/>
  <c r="I37" i="43" s="1"/>
  <c r="AI37" i="43" s="1"/>
  <c r="E34" i="38"/>
  <c r="E34" i="43" s="1"/>
  <c r="AE34" i="43" s="1"/>
  <c r="AE31" i="38"/>
  <c r="I34" i="38"/>
  <c r="I34" i="43" s="1"/>
  <c r="AI34" i="43" s="1"/>
  <c r="AH42" i="38"/>
  <c r="I27" i="38"/>
  <c r="I27" i="43" s="1"/>
  <c r="AI27" i="43" s="1"/>
  <c r="I23" i="39"/>
  <c r="H35" i="38"/>
  <c r="H35" i="43" s="1"/>
  <c r="AH35" i="43" s="1"/>
  <c r="F34" i="38"/>
  <c r="F34" i="43" s="1"/>
  <c r="AF34" i="43" s="1"/>
  <c r="AF31" i="38"/>
  <c r="H48" i="38"/>
  <c r="H48" i="43" s="1"/>
  <c r="AH48" i="43" s="1"/>
  <c r="G140" i="38"/>
  <c r="G138" i="43" s="1"/>
  <c r="J94" i="38"/>
  <c r="J93" i="43" s="1"/>
  <c r="J128" i="38"/>
  <c r="J126" i="43" s="1"/>
  <c r="E47" i="39"/>
  <c r="D161" i="39"/>
  <c r="D106" i="38"/>
  <c r="D104" i="43" s="1"/>
  <c r="D52" i="38"/>
  <c r="D52" i="43" s="1"/>
  <c r="I108" i="38"/>
  <c r="I106" i="43" s="1"/>
  <c r="H30" i="38"/>
  <c r="H30" i="43" s="1"/>
  <c r="J34" i="38"/>
  <c r="J34" i="43" s="1"/>
  <c r="AJ34" i="43" s="1"/>
  <c r="AJ31" i="38"/>
  <c r="D48" i="38"/>
  <c r="D48" i="43" s="1"/>
  <c r="AD48" i="43" s="1"/>
  <c r="L41" i="38"/>
  <c r="L41" i="43" s="1"/>
  <c r="AL41" i="43" s="1"/>
  <c r="AH41" i="38"/>
  <c r="D97" i="38"/>
  <c r="D96" i="43" s="1"/>
  <c r="D9" i="39"/>
  <c r="L7" i="39"/>
  <c r="G30" i="38"/>
  <c r="G30" i="43" s="1"/>
  <c r="L21" i="39"/>
  <c r="E6" i="38" s="1"/>
  <c r="E6" i="43" s="1"/>
  <c r="D35" i="38"/>
  <c r="D35" i="43" s="1"/>
  <c r="AD35" i="43" s="1"/>
  <c r="F36" i="38"/>
  <c r="F36" i="43" s="1"/>
  <c r="J36" i="38"/>
  <c r="J36" i="43" s="1"/>
  <c r="D30" i="38"/>
  <c r="D30" i="43" s="1"/>
  <c r="L33" i="38"/>
  <c r="L33" i="43" s="1"/>
  <c r="AL33" i="43" s="1"/>
  <c r="L40" i="38"/>
  <c r="L40" i="43" s="1"/>
  <c r="AL40" i="43" s="1"/>
  <c r="AD41" i="38"/>
  <c r="AI41" i="38"/>
  <c r="I48" i="38"/>
  <c r="I48" i="43" s="1"/>
  <c r="AI48" i="43" s="1"/>
  <c r="L92" i="38"/>
  <c r="L91" i="43" s="1"/>
  <c r="D134" i="38"/>
  <c r="D132" i="43" s="1"/>
  <c r="K130" i="38"/>
  <c r="K128" i="43" s="1"/>
  <c r="H129" i="38"/>
  <c r="H127" i="43" s="1"/>
  <c r="H140" i="38"/>
  <c r="H138" i="43" s="1"/>
  <c r="G151" i="38"/>
  <c r="G149" i="43" s="1"/>
  <c r="E129" i="38"/>
  <c r="E127" i="43" s="1"/>
  <c r="E97" i="38"/>
  <c r="E96" i="43" s="1"/>
  <c r="I9" i="39"/>
  <c r="G95" i="38"/>
  <c r="G94" i="43" s="1"/>
  <c r="K95" i="38"/>
  <c r="K94" i="43" s="1"/>
  <c r="L15" i="39"/>
  <c r="G132" i="38"/>
  <c r="G130" i="43" s="1"/>
  <c r="K132" i="38"/>
  <c r="K32" i="39"/>
  <c r="E107" i="38"/>
  <c r="E105" i="43" s="1"/>
  <c r="I107" i="38"/>
  <c r="I105" i="43" s="1"/>
  <c r="D137" i="39"/>
  <c r="D108" i="38" s="1"/>
  <c r="D106" i="43" s="1"/>
  <c r="D167" i="39"/>
  <c r="D54" i="38" s="1"/>
  <c r="D54" i="43" s="1"/>
  <c r="H137" i="39"/>
  <c r="H108" i="38" s="1"/>
  <c r="H106" i="43" s="1"/>
  <c r="H167" i="39"/>
  <c r="H54" i="38" s="1"/>
  <c r="H54" i="43" s="1"/>
  <c r="H128" i="39"/>
  <c r="J133" i="38"/>
  <c r="J131" i="43" s="1"/>
  <c r="D140" i="38"/>
  <c r="D138" i="43" s="1"/>
  <c r="L17" i="39"/>
  <c r="E7" i="38" s="1"/>
  <c r="E7" i="43" s="1"/>
  <c r="G23" i="39"/>
  <c r="L43" i="39"/>
  <c r="L44" i="39"/>
  <c r="L45" i="39"/>
  <c r="F128" i="39"/>
  <c r="J128" i="39"/>
  <c r="L30" i="39"/>
  <c r="L32" i="39" s="1"/>
  <c r="H32" i="39"/>
  <c r="L40" i="39"/>
  <c r="D136" i="39"/>
  <c r="H136" i="39"/>
  <c r="K128" i="39"/>
  <c r="E32" i="39"/>
  <c r="I32" i="39"/>
  <c r="G47" i="39"/>
  <c r="K47" i="39"/>
  <c r="E128" i="39"/>
  <c r="I128" i="39"/>
  <c r="L38" i="39"/>
  <c r="K155" i="38" l="1"/>
  <c r="L88" i="38"/>
  <c r="L88" i="43" s="1"/>
  <c r="K153" i="38"/>
  <c r="K151" i="43" s="1"/>
  <c r="AD42" i="38"/>
  <c r="D155" i="38"/>
  <c r="L32" i="38"/>
  <c r="L32" i="43" s="1"/>
  <c r="K80" i="38"/>
  <c r="K78" i="43"/>
  <c r="L94" i="38"/>
  <c r="L93" i="43" s="1"/>
  <c r="AG42" i="38"/>
  <c r="G42" i="43"/>
  <c r="AG42" i="43" s="1"/>
  <c r="E42" i="43"/>
  <c r="AE42" i="43" s="1"/>
  <c r="AE42" i="38"/>
  <c r="AK42" i="38"/>
  <c r="K42" i="43"/>
  <c r="AK42" i="43" s="1"/>
  <c r="H130" i="38"/>
  <c r="H128" i="43" s="1"/>
  <c r="I155" i="38"/>
  <c r="L86" i="38"/>
  <c r="L86" i="43" s="1"/>
  <c r="L27" i="38"/>
  <c r="L27" i="43" s="1"/>
  <c r="AL27" i="43" s="1"/>
  <c r="F27" i="43"/>
  <c r="AF27" i="43" s="1"/>
  <c r="H155" i="38"/>
  <c r="AE35" i="38"/>
  <c r="E35" i="43"/>
  <c r="AE35" i="43" s="1"/>
  <c r="G80" i="38"/>
  <c r="G78" i="43"/>
  <c r="AG30" i="43"/>
  <c r="AH30" i="43"/>
  <c r="L47" i="39"/>
  <c r="K133" i="38"/>
  <c r="K131" i="43" s="1"/>
  <c r="K130" i="43"/>
  <c r="AD30" i="43"/>
  <c r="AJ48" i="38"/>
  <c r="J48" i="43"/>
  <c r="AJ48" i="43" s="1"/>
  <c r="AG34" i="38"/>
  <c r="G34" i="43"/>
  <c r="AG34" i="43" s="1"/>
  <c r="G48" i="43"/>
  <c r="AG48" i="43" s="1"/>
  <c r="AG48" i="38"/>
  <c r="I42" i="43"/>
  <c r="AI42" i="43" s="1"/>
  <c r="AI42" i="38"/>
  <c r="E17" i="41"/>
  <c r="G46" i="41"/>
  <c r="M93" i="41"/>
  <c r="N93" i="41"/>
  <c r="AL29" i="38"/>
  <c r="G38" i="38"/>
  <c r="G38" i="43" s="1"/>
  <c r="AG38" i="43" s="1"/>
  <c r="AG30" i="38"/>
  <c r="G135" i="38"/>
  <c r="G133" i="43" s="1"/>
  <c r="AH30" i="38"/>
  <c r="J134" i="38"/>
  <c r="J132" i="43" s="1"/>
  <c r="J130" i="38"/>
  <c r="J128" i="43" s="1"/>
  <c r="AE34" i="38"/>
  <c r="M86" i="38"/>
  <c r="M86" i="43" s="1"/>
  <c r="F78" i="38"/>
  <c r="F78" i="43" s="1"/>
  <c r="AI48" i="38"/>
  <c r="AD35" i="38"/>
  <c r="L85" i="38"/>
  <c r="L85" i="43" s="1"/>
  <c r="M96" i="38"/>
  <c r="M95" i="43" s="1"/>
  <c r="I134" i="38"/>
  <c r="I132" i="43" s="1"/>
  <c r="I130" i="38"/>
  <c r="I128" i="43" s="1"/>
  <c r="J153" i="38"/>
  <c r="J151" i="43" s="1"/>
  <c r="J155" i="38"/>
  <c r="AJ42" i="38"/>
  <c r="H53" i="38"/>
  <c r="H53" i="43" s="1"/>
  <c r="H107" i="38"/>
  <c r="H105" i="43" s="1"/>
  <c r="M89" i="38"/>
  <c r="M89" i="43" s="1"/>
  <c r="E135" i="38"/>
  <c r="E133" i="43" s="1"/>
  <c r="H135" i="38"/>
  <c r="H133" i="43" s="1"/>
  <c r="AD30" i="38"/>
  <c r="D38" i="38"/>
  <c r="D38" i="43" s="1"/>
  <c r="AD38" i="43" s="1"/>
  <c r="E14" i="38"/>
  <c r="E14" i="43" s="1"/>
  <c r="L9" i="39"/>
  <c r="AH35" i="38"/>
  <c r="E78" i="38"/>
  <c r="E78" i="43" s="1"/>
  <c r="AI34" i="38"/>
  <c r="M95" i="38"/>
  <c r="M94" i="43" s="1"/>
  <c r="L129" i="38"/>
  <c r="L127" i="43" s="1"/>
  <c r="AL31" i="38"/>
  <c r="AH37" i="38"/>
  <c r="M87" i="38"/>
  <c r="M87" i="43" s="1"/>
  <c r="L132" i="38"/>
  <c r="L130" i="43" s="1"/>
  <c r="AF42" i="38"/>
  <c r="D80" i="38"/>
  <c r="D80" i="43" s="1"/>
  <c r="H34" i="38"/>
  <c r="H34" i="43" s="1"/>
  <c r="AH34" i="43" s="1"/>
  <c r="H36" i="38"/>
  <c r="H36" i="43" s="1"/>
  <c r="AK34" i="38"/>
  <c r="D153" i="38"/>
  <c r="D151" i="43" s="1"/>
  <c r="J78" i="38"/>
  <c r="J78" i="43" s="1"/>
  <c r="I78" i="38"/>
  <c r="I78" i="43" s="1"/>
  <c r="L140" i="38"/>
  <c r="L138" i="43" s="1"/>
  <c r="L23" i="39"/>
  <c r="E3" i="38"/>
  <c r="E3" i="43" s="1"/>
  <c r="AL40" i="38"/>
  <c r="M88" i="38"/>
  <c r="M88" i="43" s="1"/>
  <c r="L97" i="38"/>
  <c r="L96" i="43" s="1"/>
  <c r="L48" i="38"/>
  <c r="L48" i="43" s="1"/>
  <c r="AL48" i="43" s="1"/>
  <c r="L42" i="38"/>
  <c r="L42" i="43" s="1"/>
  <c r="AL42" i="43" s="1"/>
  <c r="AM48" i="43" s="1"/>
  <c r="AL41" i="38"/>
  <c r="D138" i="39"/>
  <c r="AK29" i="38"/>
  <c r="K37" i="38"/>
  <c r="K37" i="43" s="1"/>
  <c r="AK37" i="43" s="1"/>
  <c r="L96" i="38"/>
  <c r="L95" i="43" s="1"/>
  <c r="E134" i="38"/>
  <c r="E132" i="43" s="1"/>
  <c r="E130" i="38"/>
  <c r="E128" i="43" s="1"/>
  <c r="L128" i="38"/>
  <c r="L126" i="43" s="1"/>
  <c r="K30" i="38"/>
  <c r="K30" i="43" s="1"/>
  <c r="AF48" i="38"/>
  <c r="AD37" i="38"/>
  <c r="AF29" i="38"/>
  <c r="F37" i="38"/>
  <c r="F37" i="43" s="1"/>
  <c r="AF37" i="43" s="1"/>
  <c r="H78" i="38"/>
  <c r="H78" i="43" s="1"/>
  <c r="L95" i="38"/>
  <c r="L94" i="43" s="1"/>
  <c r="J30" i="38"/>
  <c r="J30" i="43" s="1"/>
  <c r="AJ27" i="38"/>
  <c r="J35" i="38"/>
  <c r="J35" i="43" s="1"/>
  <c r="AJ35" i="43" s="1"/>
  <c r="K135" i="38"/>
  <c r="K133" i="43" s="1"/>
  <c r="D136" i="38"/>
  <c r="D134" i="43" s="1"/>
  <c r="AL33" i="38"/>
  <c r="AG29" i="38"/>
  <c r="G37" i="38"/>
  <c r="G37" i="43" s="1"/>
  <c r="AG37" i="43" s="1"/>
  <c r="AD48" i="38"/>
  <c r="E19" i="38"/>
  <c r="E19" i="43" s="1"/>
  <c r="AF34" i="38"/>
  <c r="AI37" i="38"/>
  <c r="G133" i="38"/>
  <c r="G131" i="43" s="1"/>
  <c r="L46" i="38"/>
  <c r="L46" i="43" s="1"/>
  <c r="AJ29" i="38"/>
  <c r="J37" i="38"/>
  <c r="J37" i="43" s="1"/>
  <c r="AJ37" i="43" s="1"/>
  <c r="D53" i="38"/>
  <c r="D53" i="43" s="1"/>
  <c r="D107" i="38"/>
  <c r="D105" i="43" s="1"/>
  <c r="G155" i="38"/>
  <c r="G153" i="38"/>
  <c r="G151" i="43" s="1"/>
  <c r="AJ34" i="38"/>
  <c r="AH48" i="38"/>
  <c r="E37" i="38"/>
  <c r="E37" i="43" s="1"/>
  <c r="AE37" i="43" s="1"/>
  <c r="AE29" i="38"/>
  <c r="I30" i="38"/>
  <c r="I30" i="43" s="1"/>
  <c r="AI27" i="38"/>
  <c r="I35" i="38"/>
  <c r="I35" i="43" s="1"/>
  <c r="AI35" i="43" s="1"/>
  <c r="L89" i="38"/>
  <c r="L89" i="43" s="1"/>
  <c r="E153" i="38"/>
  <c r="E151" i="43" s="1"/>
  <c r="E155" i="38"/>
  <c r="AD34" i="38"/>
  <c r="L34" i="38"/>
  <c r="L34" i="43" s="1"/>
  <c r="AL34" i="43" s="1"/>
  <c r="AF27" i="38"/>
  <c r="F35" i="38"/>
  <c r="F30" i="38"/>
  <c r="F30" i="43" s="1"/>
  <c r="F155" i="38"/>
  <c r="F153" i="38"/>
  <c r="F151" i="43" s="1"/>
  <c r="H153" i="38"/>
  <c r="H151" i="43" s="1"/>
  <c r="F136" i="38"/>
  <c r="F134" i="43" s="1"/>
  <c r="AE33" i="38"/>
  <c r="I153" i="38"/>
  <c r="I151" i="43" s="1"/>
  <c r="AG35" i="38"/>
  <c r="E30" i="38"/>
  <c r="L134" i="38" l="1"/>
  <c r="L132" i="43" s="1"/>
  <c r="E15" i="38"/>
  <c r="E15" i="43" s="1"/>
  <c r="AL27" i="38"/>
  <c r="G80" i="43"/>
  <c r="G82" i="38"/>
  <c r="L35" i="38"/>
  <c r="L35" i="43" s="1"/>
  <c r="AL35" i="43" s="1"/>
  <c r="F35" i="43"/>
  <c r="AF35" i="43" s="1"/>
  <c r="K136" i="38"/>
  <c r="K134" i="43" s="1"/>
  <c r="AI30" i="43"/>
  <c r="F153" i="43"/>
  <c r="H38" i="38"/>
  <c r="H38" i="43" s="1"/>
  <c r="AH38" i="43" s="1"/>
  <c r="AF30" i="43"/>
  <c r="AJ30" i="43"/>
  <c r="L30" i="38"/>
  <c r="L30" i="43" s="1"/>
  <c r="AL30" i="43" s="1"/>
  <c r="E30" i="43"/>
  <c r="L133" i="38"/>
  <c r="L131" i="43" s="1"/>
  <c r="AK30" i="43"/>
  <c r="N128" i="38"/>
  <c r="N126" i="43" s="1"/>
  <c r="K82" i="38"/>
  <c r="K80" i="43"/>
  <c r="G47" i="41"/>
  <c r="H42" i="41"/>
  <c r="L37" i="38"/>
  <c r="L37" i="43" s="1"/>
  <c r="AL37" i="43" s="1"/>
  <c r="F38" i="38"/>
  <c r="F38" i="43" s="1"/>
  <c r="AF38" i="43" s="1"/>
  <c r="AF30" i="38"/>
  <c r="D82" i="38"/>
  <c r="N80" i="38"/>
  <c r="H90" i="38"/>
  <c r="AG37" i="38"/>
  <c r="H80" i="38"/>
  <c r="H80" i="43" s="1"/>
  <c r="E136" i="38"/>
  <c r="E134" i="43" s="1"/>
  <c r="J80" i="38"/>
  <c r="J80" i="43" s="1"/>
  <c r="AI35" i="38"/>
  <c r="AK37" i="38"/>
  <c r="AL42" i="38"/>
  <c r="AM48" i="38" s="1"/>
  <c r="AH34" i="38"/>
  <c r="M97" i="38"/>
  <c r="M96" i="43" s="1"/>
  <c r="H136" i="38"/>
  <c r="H134" i="43" s="1"/>
  <c r="N129" i="38"/>
  <c r="N127" i="43" s="1"/>
  <c r="M99" i="38"/>
  <c r="M97" i="43" s="1"/>
  <c r="F98" i="38"/>
  <c r="F99" i="38" s="1"/>
  <c r="F97" i="43" s="1"/>
  <c r="AI30" i="38"/>
  <c r="I38" i="38"/>
  <c r="I38" i="43" s="1"/>
  <c r="AI38" i="43" s="1"/>
  <c r="AJ37" i="38"/>
  <c r="E135" i="39"/>
  <c r="D109" i="38"/>
  <c r="D107" i="43" s="1"/>
  <c r="D162" i="39"/>
  <c r="D139" i="39"/>
  <c r="AL48" i="38"/>
  <c r="I80" i="38"/>
  <c r="I80" i="43" s="1"/>
  <c r="D90" i="38"/>
  <c r="AD38" i="38"/>
  <c r="L130" i="38"/>
  <c r="L128" i="43" s="1"/>
  <c r="K98" i="38"/>
  <c r="K99" i="38" s="1"/>
  <c r="K97" i="43" s="1"/>
  <c r="AF35" i="38"/>
  <c r="AJ35" i="38"/>
  <c r="G136" i="38"/>
  <c r="G134" i="43" s="1"/>
  <c r="AE30" i="38"/>
  <c r="E38" i="38"/>
  <c r="E38" i="43" s="1"/>
  <c r="AE38" i="43" s="1"/>
  <c r="AL34" i="38"/>
  <c r="L135" i="38"/>
  <c r="L133" i="43" s="1"/>
  <c r="AE37" i="38"/>
  <c r="D98" i="38"/>
  <c r="D99" i="38" s="1"/>
  <c r="D97" i="43" s="1"/>
  <c r="J38" i="38"/>
  <c r="J38" i="43" s="1"/>
  <c r="AJ38" i="43" s="1"/>
  <c r="AJ30" i="38"/>
  <c r="AF37" i="38"/>
  <c r="K38" i="38"/>
  <c r="K38" i="43" s="1"/>
  <c r="AK38" i="43" s="1"/>
  <c r="AK30" i="38"/>
  <c r="M85" i="38"/>
  <c r="M85" i="43" s="1"/>
  <c r="E8" i="38"/>
  <c r="E8" i="43" s="1"/>
  <c r="E80" i="38"/>
  <c r="E80" i="43" s="1"/>
  <c r="D56" i="38"/>
  <c r="D56" i="43" s="1"/>
  <c r="I136" i="38"/>
  <c r="I134" i="43" s="1"/>
  <c r="F80" i="38"/>
  <c r="F80" i="43" s="1"/>
  <c r="L36" i="38"/>
  <c r="L36" i="43" s="1"/>
  <c r="J136" i="38"/>
  <c r="J134" i="43" s="1"/>
  <c r="AG38" i="38"/>
  <c r="G90" i="38"/>
  <c r="AL35" i="38" l="1"/>
  <c r="AL37" i="38"/>
  <c r="F82" i="43"/>
  <c r="AH38" i="38"/>
  <c r="AE30" i="43"/>
  <c r="E17" i="38"/>
  <c r="E17" i="43" s="1"/>
  <c r="AL30" i="38"/>
  <c r="H46" i="41"/>
  <c r="H91" i="38"/>
  <c r="H90" i="43" s="1"/>
  <c r="G91" i="38"/>
  <c r="G90" i="43" s="1"/>
  <c r="I82" i="38"/>
  <c r="E98" i="38"/>
  <c r="E99" i="38" s="1"/>
  <c r="E97" i="43" s="1"/>
  <c r="F82" i="38"/>
  <c r="E82" i="38"/>
  <c r="M90" i="38"/>
  <c r="M91" i="38"/>
  <c r="M90" i="43" s="1"/>
  <c r="K90" i="38"/>
  <c r="AK38" i="38"/>
  <c r="E90" i="38"/>
  <c r="AE38" i="38"/>
  <c r="L38" i="38"/>
  <c r="L38" i="43" s="1"/>
  <c r="AL38" i="43" s="1"/>
  <c r="J82" i="38"/>
  <c r="H82" i="38"/>
  <c r="AF38" i="38"/>
  <c r="F90" i="38"/>
  <c r="J98" i="38"/>
  <c r="J99" i="38" s="1"/>
  <c r="J97" i="43" s="1"/>
  <c r="I98" i="38"/>
  <c r="I99" i="38" s="1"/>
  <c r="I97" i="43" s="1"/>
  <c r="G98" i="38"/>
  <c r="G99" i="38" s="1"/>
  <c r="G97" i="43" s="1"/>
  <c r="E106" i="38"/>
  <c r="E104" i="43" s="1"/>
  <c r="E138" i="39"/>
  <c r="E161" i="39"/>
  <c r="I90" i="38"/>
  <c r="AI38" i="38"/>
  <c r="D58" i="38"/>
  <c r="E52" i="38"/>
  <c r="E52" i="43" s="1"/>
  <c r="J90" i="38"/>
  <c r="AJ38" i="38"/>
  <c r="L136" i="38"/>
  <c r="L134" i="43" s="1"/>
  <c r="D91" i="38"/>
  <c r="D90" i="43" s="1"/>
  <c r="H98" i="38"/>
  <c r="H99" i="38" s="1"/>
  <c r="H97" i="43" s="1"/>
  <c r="M101" i="38" l="1"/>
  <c r="M99" i="43" s="1"/>
  <c r="H47" i="41"/>
  <c r="I42" i="41"/>
  <c r="E91" i="38"/>
  <c r="E90" i="43" s="1"/>
  <c r="J91" i="38"/>
  <c r="J90" i="43" s="1"/>
  <c r="F91" i="38"/>
  <c r="F90" i="43" s="1"/>
  <c r="L90" i="38"/>
  <c r="I91" i="38"/>
  <c r="I90" i="43" s="1"/>
  <c r="K91" i="38"/>
  <c r="K90" i="43" s="1"/>
  <c r="D101" i="38"/>
  <c r="D99" i="43" s="1"/>
  <c r="L98" i="38"/>
  <c r="L99" i="38" s="1"/>
  <c r="L97" i="43" s="1"/>
  <c r="E56" i="38"/>
  <c r="E56" i="43" s="1"/>
  <c r="AL38" i="38"/>
  <c r="H101" i="38"/>
  <c r="H99" i="43" s="1"/>
  <c r="F135" i="39"/>
  <c r="E162" i="39"/>
  <c r="E109" i="38"/>
  <c r="E107" i="43" s="1"/>
  <c r="E139" i="39"/>
  <c r="G101" i="38"/>
  <c r="G99" i="43" s="1"/>
  <c r="J101" i="38"/>
  <c r="J99" i="43" s="1"/>
  <c r="I46" i="41" l="1"/>
  <c r="E101" i="38"/>
  <c r="E99" i="43" s="1"/>
  <c r="I101" i="38"/>
  <c r="I99" i="43" s="1"/>
  <c r="K101" i="38"/>
  <c r="K99" i="43" s="1"/>
  <c r="L91" i="38"/>
  <c r="L90" i="43" s="1"/>
  <c r="F101" i="38"/>
  <c r="F99" i="43" s="1"/>
  <c r="F161" i="39"/>
  <c r="F138" i="39"/>
  <c r="F106" i="38"/>
  <c r="F104" i="43" s="1"/>
  <c r="F52" i="38"/>
  <c r="F52" i="43" s="1"/>
  <c r="E58" i="38"/>
  <c r="N99" i="38"/>
  <c r="N97" i="43" s="1"/>
  <c r="J42" i="41" l="1"/>
  <c r="I47" i="41"/>
  <c r="L101" i="38"/>
  <c r="L99" i="43" s="1"/>
  <c r="F162" i="39"/>
  <c r="G135" i="39"/>
  <c r="F109" i="38"/>
  <c r="F107" i="43" s="1"/>
  <c r="F139" i="39"/>
  <c r="F56" i="38"/>
  <c r="F56" i="43" s="1"/>
  <c r="N101" i="38" l="1"/>
  <c r="N99" i="43" s="1"/>
  <c r="J46" i="41"/>
  <c r="F58" i="38"/>
  <c r="G52" i="38"/>
  <c r="G52" i="43" s="1"/>
  <c r="G161" i="39"/>
  <c r="G138" i="39"/>
  <c r="G106" i="38"/>
  <c r="G104" i="43" s="1"/>
  <c r="J47" i="41" l="1"/>
  <c r="K42" i="41"/>
  <c r="G56" i="38"/>
  <c r="G56" i="43" s="1"/>
  <c r="G162" i="39"/>
  <c r="G109" i="38"/>
  <c r="G107" i="43" s="1"/>
  <c r="H135" i="39"/>
  <c r="G139" i="39"/>
  <c r="K46" i="41" l="1"/>
  <c r="H161" i="39"/>
  <c r="H106" i="38"/>
  <c r="H104" i="43" s="1"/>
  <c r="H138" i="39"/>
  <c r="G58" i="38"/>
  <c r="H52" i="38"/>
  <c r="H52" i="43" s="1"/>
  <c r="K47" i="41" l="1"/>
  <c r="N46" i="41"/>
  <c r="I135" i="39"/>
  <c r="H162" i="39"/>
  <c r="H109" i="38"/>
  <c r="H107" i="43" s="1"/>
  <c r="H139" i="39"/>
  <c r="H56" i="38"/>
  <c r="H56" i="43" s="1"/>
  <c r="H58" i="38" l="1"/>
  <c r="I52" i="38"/>
  <c r="I52" i="43" s="1"/>
  <c r="I106" i="38"/>
  <c r="I104" i="43" s="1"/>
  <c r="I161" i="39"/>
  <c r="I138" i="39"/>
  <c r="I56" i="38" l="1"/>
  <c r="I56" i="43" s="1"/>
  <c r="J135" i="39"/>
  <c r="I162" i="39"/>
  <c r="I109" i="38"/>
  <c r="I107" i="43" s="1"/>
  <c r="I139" i="39"/>
  <c r="J161" i="39" l="1"/>
  <c r="J138" i="39"/>
  <c r="J106" i="38"/>
  <c r="J104" i="43" s="1"/>
  <c r="I58" i="38"/>
  <c r="J52" i="38"/>
  <c r="J52" i="43" s="1"/>
  <c r="J162" i="39" l="1"/>
  <c r="K135" i="39"/>
  <c r="J109" i="38"/>
  <c r="J107" i="43" s="1"/>
  <c r="J139" i="39"/>
  <c r="J56" i="38"/>
  <c r="J56" i="43" s="1"/>
  <c r="J58" i="38" l="1"/>
  <c r="K52" i="38"/>
  <c r="K52" i="43" s="1"/>
  <c r="K161" i="39"/>
  <c r="K138" i="39"/>
  <c r="K106" i="38"/>
  <c r="K104" i="43" s="1"/>
  <c r="L161" i="39" l="1"/>
  <c r="K56" i="38"/>
  <c r="K56" i="43" s="1"/>
  <c r="K162" i="39"/>
  <c r="K109" i="38"/>
  <c r="K107" i="43" s="1"/>
  <c r="K139" i="39"/>
  <c r="K58" i="38" l="1"/>
  <c r="N56" i="38"/>
  <c r="E20" i="38"/>
  <c r="E20" i="43" s="1"/>
  <c r="L162" i="39"/>
  <c r="G101" i="26" l="1"/>
  <c r="K103" i="34"/>
  <c r="J103" i="34"/>
  <c r="I103" i="34"/>
  <c r="H103" i="34"/>
  <c r="G103" i="34"/>
  <c r="F103" i="34"/>
  <c r="E103" i="34"/>
  <c r="D103" i="34"/>
  <c r="H2" i="35"/>
  <c r="H2" i="34"/>
  <c r="J145" i="35"/>
  <c r="J143" i="40" s="1"/>
  <c r="H145" i="35"/>
  <c r="H143" i="40" s="1"/>
  <c r="F145" i="35"/>
  <c r="F143" i="40" s="1"/>
  <c r="E145" i="35"/>
  <c r="E143" i="40" s="1"/>
  <c r="D145" i="35"/>
  <c r="D143" i="40" s="1"/>
  <c r="K251" i="36"/>
  <c r="J251" i="36"/>
  <c r="J140" i="35" s="1"/>
  <c r="J138" i="40" s="1"/>
  <c r="I251" i="36"/>
  <c r="I140" i="35" s="1"/>
  <c r="I138" i="40" s="1"/>
  <c r="H251" i="36"/>
  <c r="H140" i="35" s="1"/>
  <c r="H138" i="40" s="1"/>
  <c r="G251" i="36"/>
  <c r="F251" i="36"/>
  <c r="F140" i="35" s="1"/>
  <c r="F138" i="40" s="1"/>
  <c r="E251" i="36"/>
  <c r="D251" i="36"/>
  <c r="D140" i="35" s="1"/>
  <c r="D138" i="40" s="1"/>
  <c r="A220" i="36"/>
  <c r="A221" i="36" s="1"/>
  <c r="A223" i="36" s="1"/>
  <c r="A224" i="36" s="1"/>
  <c r="A225" i="36" s="1"/>
  <c r="A226" i="36" s="1"/>
  <c r="A227" i="36" s="1"/>
  <c r="A228" i="36" s="1"/>
  <c r="A229" i="36" s="1"/>
  <c r="A230" i="36" s="1"/>
  <c r="A232" i="36" s="1"/>
  <c r="A233" i="36" s="1"/>
  <c r="A234" i="36" s="1"/>
  <c r="A235" i="36" s="1"/>
  <c r="A236" i="36" s="1"/>
  <c r="A237" i="36" s="1"/>
  <c r="A238" i="36" s="1"/>
  <c r="A239" i="36" s="1"/>
  <c r="A241" i="36" s="1"/>
  <c r="A242" i="36" s="1"/>
  <c r="A243" i="36" s="1"/>
  <c r="A244" i="36" s="1"/>
  <c r="A245" i="36" s="1"/>
  <c r="K143" i="35"/>
  <c r="K141" i="40" s="1"/>
  <c r="J143" i="35"/>
  <c r="J141" i="40" s="1"/>
  <c r="G143" i="35"/>
  <c r="G141" i="40" s="1"/>
  <c r="K142" i="35"/>
  <c r="K140" i="40" s="1"/>
  <c r="J142" i="35"/>
  <c r="J140" i="40" s="1"/>
  <c r="G142" i="35"/>
  <c r="G140" i="40" s="1"/>
  <c r="F142" i="35"/>
  <c r="F140" i="40" s="1"/>
  <c r="I141" i="35"/>
  <c r="I139" i="40" s="1"/>
  <c r="E141" i="35"/>
  <c r="E139" i="40" s="1"/>
  <c r="K144" i="35"/>
  <c r="K142" i="40" s="1"/>
  <c r="G144" i="35"/>
  <c r="G142" i="40" s="1"/>
  <c r="I144" i="35"/>
  <c r="I142" i="40" s="1"/>
  <c r="K139" i="35"/>
  <c r="K137" i="40" s="1"/>
  <c r="J139" i="35"/>
  <c r="J137" i="40" s="1"/>
  <c r="G139" i="35"/>
  <c r="G137" i="40" s="1"/>
  <c r="I138" i="35"/>
  <c r="I136" i="40" s="1"/>
  <c r="H138" i="35"/>
  <c r="H136" i="40" s="1"/>
  <c r="D138" i="35"/>
  <c r="D136" i="40" s="1"/>
  <c r="K155" i="36"/>
  <c r="K117" i="35" s="1"/>
  <c r="K115" i="40" s="1"/>
  <c r="G155" i="36"/>
  <c r="G117" i="35" s="1"/>
  <c r="G115" i="40" s="1"/>
  <c r="F155" i="36"/>
  <c r="F117" i="35" s="1"/>
  <c r="F115" i="40" s="1"/>
  <c r="I154" i="36"/>
  <c r="E154" i="36"/>
  <c r="D154" i="36"/>
  <c r="D116" i="35" s="1"/>
  <c r="D114" i="40" s="1"/>
  <c r="K153" i="36"/>
  <c r="K115" i="35" s="1"/>
  <c r="G153" i="36"/>
  <c r="G115" i="35" s="1"/>
  <c r="F153" i="36"/>
  <c r="I152" i="36"/>
  <c r="I114" i="35" s="1"/>
  <c r="I112" i="40" s="1"/>
  <c r="H152" i="36"/>
  <c r="H114" i="35" s="1"/>
  <c r="H112" i="40" s="1"/>
  <c r="E152" i="36"/>
  <c r="D152" i="36"/>
  <c r="D114" i="35" s="1"/>
  <c r="D112" i="40" s="1"/>
  <c r="K176" i="36"/>
  <c r="J176" i="36"/>
  <c r="K175" i="36"/>
  <c r="K132" i="35" s="1"/>
  <c r="K130" i="40" s="1"/>
  <c r="J175" i="36"/>
  <c r="F175" i="36"/>
  <c r="F132" i="35" s="1"/>
  <c r="E175" i="36"/>
  <c r="E132" i="35" s="1"/>
  <c r="E130" i="40" s="1"/>
  <c r="D175" i="36"/>
  <c r="I174" i="36"/>
  <c r="I133" i="35" s="1"/>
  <c r="I131" i="40" s="1"/>
  <c r="H174" i="36"/>
  <c r="H133" i="35" s="1"/>
  <c r="H131" i="40" s="1"/>
  <c r="G174" i="36"/>
  <c r="G133" i="35" s="1"/>
  <c r="G131" i="40" s="1"/>
  <c r="E174" i="36"/>
  <c r="E133" i="35" s="1"/>
  <c r="E131" i="40" s="1"/>
  <c r="D174" i="36"/>
  <c r="D133" i="35" s="1"/>
  <c r="D131" i="40" s="1"/>
  <c r="I176" i="36"/>
  <c r="H176" i="36"/>
  <c r="G176" i="36"/>
  <c r="F176" i="36"/>
  <c r="E176" i="36"/>
  <c r="D176" i="36"/>
  <c r="I175" i="36"/>
  <c r="I132" i="35" s="1"/>
  <c r="I130" i="40" s="1"/>
  <c r="H175" i="36"/>
  <c r="G175" i="36"/>
  <c r="G132" i="35" s="1"/>
  <c r="G130" i="40" s="1"/>
  <c r="K174" i="36"/>
  <c r="J174" i="36"/>
  <c r="J133" i="35" s="1"/>
  <c r="J131" i="40" s="1"/>
  <c r="F174" i="36"/>
  <c r="J45" i="35"/>
  <c r="J45" i="40" s="1"/>
  <c r="I45" i="35"/>
  <c r="I45" i="40" s="1"/>
  <c r="H45" i="35"/>
  <c r="H45" i="40" s="1"/>
  <c r="F45" i="35"/>
  <c r="E45" i="35"/>
  <c r="E45" i="40" s="1"/>
  <c r="D45" i="35"/>
  <c r="D45" i="40" s="1"/>
  <c r="J155" i="36"/>
  <c r="J117" i="35" s="1"/>
  <c r="J115" i="40" s="1"/>
  <c r="I155" i="36"/>
  <c r="H155" i="36"/>
  <c r="E155" i="36"/>
  <c r="E117" i="35" s="1"/>
  <c r="E115" i="40" s="1"/>
  <c r="D155" i="36"/>
  <c r="K154" i="36"/>
  <c r="J154" i="36"/>
  <c r="J116" i="35" s="1"/>
  <c r="J114" i="40" s="1"/>
  <c r="H154" i="36"/>
  <c r="G154" i="36"/>
  <c r="F154" i="36"/>
  <c r="J153" i="36"/>
  <c r="I153" i="36"/>
  <c r="H153" i="36"/>
  <c r="E153" i="36"/>
  <c r="E115" i="35" s="1"/>
  <c r="D153" i="36"/>
  <c r="D115" i="35" s="1"/>
  <c r="K152" i="36"/>
  <c r="J152" i="36"/>
  <c r="G152" i="36"/>
  <c r="F152" i="36"/>
  <c r="F114" i="35" s="1"/>
  <c r="F112" i="40" s="1"/>
  <c r="K140" i="36"/>
  <c r="K62" i="35" s="1"/>
  <c r="K62" i="40" s="1"/>
  <c r="AJ62" i="40" s="1"/>
  <c r="J140" i="36"/>
  <c r="I140" i="36"/>
  <c r="H140" i="36"/>
  <c r="G140" i="36"/>
  <c r="F140" i="36"/>
  <c r="E140" i="36"/>
  <c r="D140" i="36"/>
  <c r="D62" i="35" s="1"/>
  <c r="D62" i="40" s="1"/>
  <c r="AC62" i="40" s="1"/>
  <c r="B133" i="36"/>
  <c r="B132" i="36"/>
  <c r="B131" i="36"/>
  <c r="K144" i="36"/>
  <c r="I144" i="36"/>
  <c r="G144" i="36"/>
  <c r="E73" i="35"/>
  <c r="E73" i="40" s="1"/>
  <c r="AD73" i="40" s="1"/>
  <c r="G104" i="35"/>
  <c r="G102" i="40" s="1"/>
  <c r="F67" i="35"/>
  <c r="F67" i="40" s="1"/>
  <c r="K65" i="35"/>
  <c r="K65" i="40" s="1"/>
  <c r="AJ65" i="40" s="1"/>
  <c r="H65" i="35"/>
  <c r="H65" i="40" s="1"/>
  <c r="AG65" i="40" s="1"/>
  <c r="G65" i="35"/>
  <c r="G65" i="40" s="1"/>
  <c r="AF65" i="40" s="1"/>
  <c r="D65" i="35"/>
  <c r="D65" i="40" s="1"/>
  <c r="AC65" i="40" s="1"/>
  <c r="K64" i="35"/>
  <c r="K64" i="40" s="1"/>
  <c r="AJ64" i="40" s="1"/>
  <c r="J64" i="35"/>
  <c r="J64" i="40" s="1"/>
  <c r="AI64" i="40" s="1"/>
  <c r="I64" i="35"/>
  <c r="I64" i="40" s="1"/>
  <c r="AH64" i="40" s="1"/>
  <c r="G64" i="35"/>
  <c r="G64" i="40" s="1"/>
  <c r="AF64" i="40" s="1"/>
  <c r="F64" i="35"/>
  <c r="F64" i="40" s="1"/>
  <c r="AE64" i="40" s="1"/>
  <c r="E64" i="35"/>
  <c r="E64" i="40" s="1"/>
  <c r="AD64" i="40" s="1"/>
  <c r="K63" i="35"/>
  <c r="K63" i="40" s="1"/>
  <c r="AJ63" i="40" s="1"/>
  <c r="J63" i="35"/>
  <c r="J63" i="40" s="1"/>
  <c r="AI63" i="40" s="1"/>
  <c r="H63" i="35"/>
  <c r="H63" i="40" s="1"/>
  <c r="AG63" i="40" s="1"/>
  <c r="G63" i="35"/>
  <c r="G63" i="40" s="1"/>
  <c r="AF63" i="40" s="1"/>
  <c r="F63" i="35"/>
  <c r="F63" i="40" s="1"/>
  <c r="AE63" i="40" s="1"/>
  <c r="D63" i="35"/>
  <c r="D63" i="40" s="1"/>
  <c r="AC63" i="40" s="1"/>
  <c r="J61" i="35"/>
  <c r="J61" i="40" s="1"/>
  <c r="AI61" i="40" s="1"/>
  <c r="I61" i="35"/>
  <c r="I61" i="40" s="1"/>
  <c r="AH61" i="40" s="1"/>
  <c r="F61" i="35"/>
  <c r="F61" i="40" s="1"/>
  <c r="AE61" i="40" s="1"/>
  <c r="E61" i="35"/>
  <c r="E61" i="40" s="1"/>
  <c r="AD61" i="40" s="1"/>
  <c r="K55" i="35"/>
  <c r="K55" i="40" s="1"/>
  <c r="I55" i="35"/>
  <c r="I55" i="40" s="1"/>
  <c r="G55" i="35"/>
  <c r="G55" i="40" s="1"/>
  <c r="F55" i="35"/>
  <c r="F55" i="40" s="1"/>
  <c r="E55" i="35"/>
  <c r="E55" i="40" s="1"/>
  <c r="K54" i="35"/>
  <c r="K54" i="40" s="1"/>
  <c r="J54" i="35"/>
  <c r="J54" i="40" s="1"/>
  <c r="I132" i="36"/>
  <c r="G132" i="36"/>
  <c r="F54" i="35"/>
  <c r="F54" i="40" s="1"/>
  <c r="E132" i="36"/>
  <c r="D132" i="36"/>
  <c r="K53" i="35"/>
  <c r="J131" i="36"/>
  <c r="H131" i="36"/>
  <c r="H43" i="35" s="1"/>
  <c r="F131" i="36"/>
  <c r="K52" i="35"/>
  <c r="K52" i="40" s="1"/>
  <c r="I52" i="35"/>
  <c r="I52" i="40" s="1"/>
  <c r="G52" i="35"/>
  <c r="G52" i="40" s="1"/>
  <c r="F52" i="35"/>
  <c r="F52" i="40" s="1"/>
  <c r="E52" i="35"/>
  <c r="E52" i="40" s="1"/>
  <c r="K37" i="35"/>
  <c r="K37" i="40" s="1"/>
  <c r="J37" i="35"/>
  <c r="J37" i="40" s="1"/>
  <c r="F37" i="35"/>
  <c r="F37" i="40" s="1"/>
  <c r="L44" i="36"/>
  <c r="L43" i="36"/>
  <c r="I30" i="35"/>
  <c r="I30" i="40" s="1"/>
  <c r="K46" i="36"/>
  <c r="I29" i="35"/>
  <c r="I29" i="40" s="1"/>
  <c r="G46" i="36"/>
  <c r="L36" i="36"/>
  <c r="L35" i="36"/>
  <c r="K125" i="35"/>
  <c r="K123" i="40" s="1"/>
  <c r="J125" i="35"/>
  <c r="J123" i="40" s="1"/>
  <c r="F125" i="35"/>
  <c r="F123" i="40" s="1"/>
  <c r="D125" i="35"/>
  <c r="D123" i="40" s="1"/>
  <c r="K126" i="35"/>
  <c r="K124" i="40" s="1"/>
  <c r="J126" i="35"/>
  <c r="J124" i="40" s="1"/>
  <c r="I32" i="36"/>
  <c r="G126" i="35"/>
  <c r="G124" i="40" s="1"/>
  <c r="F32" i="36"/>
  <c r="E32" i="36"/>
  <c r="D126" i="35"/>
  <c r="D124" i="40" s="1"/>
  <c r="K88" i="35"/>
  <c r="K87" i="40" s="1"/>
  <c r="I88" i="35"/>
  <c r="I87" i="40" s="1"/>
  <c r="G88" i="35"/>
  <c r="G87" i="40" s="1"/>
  <c r="K84" i="35"/>
  <c r="K84" i="40" s="1"/>
  <c r="J84" i="35"/>
  <c r="J84" i="40" s="1"/>
  <c r="F84" i="35"/>
  <c r="F84" i="40" s="1"/>
  <c r="K83" i="35"/>
  <c r="K83" i="40" s="1"/>
  <c r="J83" i="35"/>
  <c r="J83" i="40" s="1"/>
  <c r="G83" i="35"/>
  <c r="G83" i="40" s="1"/>
  <c r="F83" i="35"/>
  <c r="F83" i="40" s="1"/>
  <c r="K85" i="35"/>
  <c r="K85" i="40" s="1"/>
  <c r="F85" i="35"/>
  <c r="F85" i="40" s="1"/>
  <c r="K82" i="35"/>
  <c r="K82" i="40" s="1"/>
  <c r="J82" i="35"/>
  <c r="J82" i="40" s="1"/>
  <c r="G82" i="35"/>
  <c r="G82" i="40" s="1"/>
  <c r="K26" i="35"/>
  <c r="J81" i="35"/>
  <c r="J81" i="40" s="1"/>
  <c r="I81" i="35"/>
  <c r="I81" i="40" s="1"/>
  <c r="H81" i="35"/>
  <c r="H81" i="40" s="1"/>
  <c r="G26" i="35"/>
  <c r="D26" i="35"/>
  <c r="K90" i="35"/>
  <c r="K89" i="40" s="1"/>
  <c r="G122" i="35"/>
  <c r="G120" i="40" s="1"/>
  <c r="K9" i="36"/>
  <c r="I9" i="36"/>
  <c r="E9" i="36"/>
  <c r="K145" i="35"/>
  <c r="K143" i="40" s="1"/>
  <c r="I145" i="35"/>
  <c r="I143" i="40" s="1"/>
  <c r="G145" i="35"/>
  <c r="G143" i="40" s="1"/>
  <c r="E144" i="35"/>
  <c r="E142" i="40" s="1"/>
  <c r="D144" i="35"/>
  <c r="D142" i="40" s="1"/>
  <c r="I143" i="35"/>
  <c r="I141" i="40" s="1"/>
  <c r="H143" i="35"/>
  <c r="H141" i="40" s="1"/>
  <c r="F143" i="35"/>
  <c r="F141" i="40" s="1"/>
  <c r="E143" i="35"/>
  <c r="E141" i="40" s="1"/>
  <c r="D143" i="35"/>
  <c r="D141" i="40" s="1"/>
  <c r="I142" i="35"/>
  <c r="I140" i="40" s="1"/>
  <c r="H142" i="35"/>
  <c r="H140" i="40" s="1"/>
  <c r="E142" i="35"/>
  <c r="E140" i="40" s="1"/>
  <c r="D142" i="35"/>
  <c r="D140" i="40" s="1"/>
  <c r="K141" i="35"/>
  <c r="K139" i="40" s="1"/>
  <c r="J141" i="35"/>
  <c r="J139" i="40" s="1"/>
  <c r="H141" i="35"/>
  <c r="H139" i="40" s="1"/>
  <c r="G141" i="35"/>
  <c r="G139" i="40" s="1"/>
  <c r="F141" i="35"/>
  <c r="F139" i="40" s="1"/>
  <c r="D141" i="35"/>
  <c r="D139" i="40" s="1"/>
  <c r="K140" i="35"/>
  <c r="K138" i="40" s="1"/>
  <c r="G140" i="35"/>
  <c r="G138" i="40" s="1"/>
  <c r="E140" i="35"/>
  <c r="E138" i="40" s="1"/>
  <c r="I139" i="35"/>
  <c r="I137" i="40" s="1"/>
  <c r="H139" i="35"/>
  <c r="H137" i="40" s="1"/>
  <c r="F139" i="35"/>
  <c r="F137" i="40" s="1"/>
  <c r="E139" i="35"/>
  <c r="E137" i="40" s="1"/>
  <c r="D139" i="35"/>
  <c r="D137" i="40" s="1"/>
  <c r="K138" i="35"/>
  <c r="K136" i="40" s="1"/>
  <c r="J138" i="35"/>
  <c r="J136" i="40" s="1"/>
  <c r="G138" i="35"/>
  <c r="G136" i="40" s="1"/>
  <c r="F138" i="35"/>
  <c r="F136" i="40" s="1"/>
  <c r="E138" i="35"/>
  <c r="E136" i="40" s="1"/>
  <c r="K133" i="35"/>
  <c r="K131" i="40" s="1"/>
  <c r="F133" i="35"/>
  <c r="F131" i="40" s="1"/>
  <c r="J132" i="35"/>
  <c r="J130" i="40" s="1"/>
  <c r="H132" i="35"/>
  <c r="H130" i="40" s="1"/>
  <c r="D132" i="35"/>
  <c r="D130" i="40" s="1"/>
  <c r="I126" i="35"/>
  <c r="I124" i="40" s="1"/>
  <c r="H126" i="35"/>
  <c r="H124" i="40" s="1"/>
  <c r="F126" i="35"/>
  <c r="F124" i="40" s="1"/>
  <c r="E126" i="35"/>
  <c r="E124" i="40" s="1"/>
  <c r="I125" i="35"/>
  <c r="I123" i="40" s="1"/>
  <c r="H125" i="35"/>
  <c r="H123" i="40" s="1"/>
  <c r="E125" i="35"/>
  <c r="E123" i="40" s="1"/>
  <c r="I123" i="35"/>
  <c r="I121" i="40" s="1"/>
  <c r="H123" i="35"/>
  <c r="H121" i="40" s="1"/>
  <c r="I122" i="35"/>
  <c r="I120" i="40" s="1"/>
  <c r="E122" i="35"/>
  <c r="I117" i="35"/>
  <c r="I115" i="40" s="1"/>
  <c r="H117" i="35"/>
  <c r="H115" i="40" s="1"/>
  <c r="D117" i="35"/>
  <c r="D115" i="40" s="1"/>
  <c r="K116" i="35"/>
  <c r="K114" i="40" s="1"/>
  <c r="I116" i="35"/>
  <c r="I114" i="40" s="1"/>
  <c r="H116" i="35"/>
  <c r="H114" i="40" s="1"/>
  <c r="G116" i="35"/>
  <c r="G114" i="40" s="1"/>
  <c r="F116" i="35"/>
  <c r="F114" i="40" s="1"/>
  <c r="E116" i="35"/>
  <c r="E114" i="40" s="1"/>
  <c r="I115" i="35"/>
  <c r="H115" i="35"/>
  <c r="K114" i="35"/>
  <c r="K112" i="40" s="1"/>
  <c r="J114" i="35"/>
  <c r="J112" i="40" s="1"/>
  <c r="G114" i="35"/>
  <c r="G112" i="40" s="1"/>
  <c r="K110" i="35"/>
  <c r="K108" i="40" s="1"/>
  <c r="J110" i="35"/>
  <c r="J108" i="40" s="1"/>
  <c r="I110" i="35"/>
  <c r="I108" i="40" s="1"/>
  <c r="H110" i="35"/>
  <c r="H108" i="40" s="1"/>
  <c r="G110" i="35"/>
  <c r="G108" i="40" s="1"/>
  <c r="F110" i="35"/>
  <c r="F108" i="40" s="1"/>
  <c r="E110" i="35"/>
  <c r="E108" i="40" s="1"/>
  <c r="D110" i="35"/>
  <c r="D108" i="40" s="1"/>
  <c r="K107" i="35"/>
  <c r="K105" i="40" s="1"/>
  <c r="I107" i="35"/>
  <c r="I105" i="40" s="1"/>
  <c r="G107" i="35"/>
  <c r="G105" i="40" s="1"/>
  <c r="F107" i="35"/>
  <c r="F105" i="40" s="1"/>
  <c r="K104" i="35"/>
  <c r="K102" i="40" s="1"/>
  <c r="I104" i="35"/>
  <c r="I102" i="40" s="1"/>
  <c r="F104" i="35"/>
  <c r="F102" i="40" s="1"/>
  <c r="E104" i="35"/>
  <c r="E102" i="40" s="1"/>
  <c r="C93" i="35"/>
  <c r="I91" i="35"/>
  <c r="I90" i="40" s="1"/>
  <c r="E91" i="35"/>
  <c r="E90" i="40" s="1"/>
  <c r="C91" i="35"/>
  <c r="I90" i="35"/>
  <c r="I89" i="40" s="1"/>
  <c r="E90" i="35"/>
  <c r="E89" i="40" s="1"/>
  <c r="C90" i="35"/>
  <c r="E88" i="35"/>
  <c r="E87" i="40" s="1"/>
  <c r="C88" i="35"/>
  <c r="C87" i="35"/>
  <c r="J85" i="35"/>
  <c r="J85" i="40" s="1"/>
  <c r="I85" i="35"/>
  <c r="I85" i="40" s="1"/>
  <c r="G85" i="35"/>
  <c r="G85" i="40" s="1"/>
  <c r="E85" i="35"/>
  <c r="E85" i="40" s="1"/>
  <c r="C85" i="35"/>
  <c r="I84" i="35"/>
  <c r="I84" i="40" s="1"/>
  <c r="H84" i="35"/>
  <c r="H84" i="40" s="1"/>
  <c r="E84" i="35"/>
  <c r="E84" i="40" s="1"/>
  <c r="D84" i="35"/>
  <c r="D84" i="40" s="1"/>
  <c r="C84" i="35"/>
  <c r="I83" i="35"/>
  <c r="I83" i="40" s="1"/>
  <c r="H83" i="35"/>
  <c r="H83" i="40" s="1"/>
  <c r="E83" i="35"/>
  <c r="E83" i="40" s="1"/>
  <c r="D83" i="35"/>
  <c r="D83" i="40" s="1"/>
  <c r="C83" i="35"/>
  <c r="I82" i="35"/>
  <c r="I82" i="40" s="1"/>
  <c r="H82" i="35"/>
  <c r="H82" i="40" s="1"/>
  <c r="F82" i="35"/>
  <c r="F82" i="40" s="1"/>
  <c r="E82" i="35"/>
  <c r="E82" i="40" s="1"/>
  <c r="D82" i="35"/>
  <c r="D82" i="40" s="1"/>
  <c r="C82" i="35"/>
  <c r="F81" i="35"/>
  <c r="F81" i="40" s="1"/>
  <c r="E81" i="35"/>
  <c r="E81" i="40" s="1"/>
  <c r="D81" i="35"/>
  <c r="D81" i="40" s="1"/>
  <c r="C81" i="35"/>
  <c r="K73" i="35"/>
  <c r="K73" i="40" s="1"/>
  <c r="AJ73" i="40" s="1"/>
  <c r="I73" i="35"/>
  <c r="I73" i="40" s="1"/>
  <c r="AH73" i="40" s="1"/>
  <c r="G73" i="35"/>
  <c r="G73" i="40" s="1"/>
  <c r="AF73" i="40" s="1"/>
  <c r="H72" i="35"/>
  <c r="D72" i="35"/>
  <c r="K67" i="35"/>
  <c r="K67" i="40" s="1"/>
  <c r="I67" i="35"/>
  <c r="I67" i="40" s="1"/>
  <c r="E67" i="35"/>
  <c r="E67" i="40" s="1"/>
  <c r="J66" i="35"/>
  <c r="J66" i="40" s="1"/>
  <c r="AI66" i="40" s="1"/>
  <c r="F66" i="35"/>
  <c r="F66" i="40" s="1"/>
  <c r="AE66" i="40" s="1"/>
  <c r="J65" i="35"/>
  <c r="J65" i="40" s="1"/>
  <c r="AI65" i="40" s="1"/>
  <c r="I65" i="35"/>
  <c r="I65" i="40" s="1"/>
  <c r="AH65" i="40" s="1"/>
  <c r="F65" i="35"/>
  <c r="F65" i="40" s="1"/>
  <c r="AE65" i="40" s="1"/>
  <c r="E65" i="35"/>
  <c r="E65" i="40" s="1"/>
  <c r="AD65" i="40" s="1"/>
  <c r="H64" i="35"/>
  <c r="H64" i="40" s="1"/>
  <c r="AG64" i="40" s="1"/>
  <c r="D64" i="35"/>
  <c r="D64" i="40" s="1"/>
  <c r="AC64" i="40" s="1"/>
  <c r="I63" i="35"/>
  <c r="I63" i="40" s="1"/>
  <c r="AH63" i="40" s="1"/>
  <c r="E63" i="35"/>
  <c r="E63" i="40" s="1"/>
  <c r="AD63" i="40" s="1"/>
  <c r="J62" i="35"/>
  <c r="J62" i="40" s="1"/>
  <c r="AI62" i="40" s="1"/>
  <c r="H62" i="35"/>
  <c r="H62" i="40" s="1"/>
  <c r="AG62" i="40" s="1"/>
  <c r="F62" i="35"/>
  <c r="F62" i="40" s="1"/>
  <c r="AE62" i="40" s="1"/>
  <c r="K61" i="35"/>
  <c r="K61" i="40" s="1"/>
  <c r="AJ61" i="40" s="1"/>
  <c r="H61" i="35"/>
  <c r="H61" i="40" s="1"/>
  <c r="AG61" i="40" s="1"/>
  <c r="G61" i="35"/>
  <c r="G61" i="40" s="1"/>
  <c r="AF61" i="40" s="1"/>
  <c r="D61" i="35"/>
  <c r="D61" i="40" s="1"/>
  <c r="AC61" i="40" s="1"/>
  <c r="K60" i="35"/>
  <c r="K60" i="40" s="1"/>
  <c r="AJ60" i="40" s="1"/>
  <c r="J60" i="35"/>
  <c r="J60" i="40" s="1"/>
  <c r="AI60" i="40" s="1"/>
  <c r="I60" i="35"/>
  <c r="I60" i="40" s="1"/>
  <c r="AH60" i="40" s="1"/>
  <c r="H60" i="35"/>
  <c r="H60" i="40" s="1"/>
  <c r="AG60" i="40" s="1"/>
  <c r="G60" i="35"/>
  <c r="G60" i="40" s="1"/>
  <c r="AF60" i="40" s="1"/>
  <c r="F60" i="35"/>
  <c r="F60" i="40" s="1"/>
  <c r="AE60" i="40" s="1"/>
  <c r="E60" i="35"/>
  <c r="E60" i="40" s="1"/>
  <c r="AD60" i="40" s="1"/>
  <c r="D60" i="35"/>
  <c r="D60" i="40" s="1"/>
  <c r="AC60" i="40" s="1"/>
  <c r="K56" i="35"/>
  <c r="K56" i="40" s="1"/>
  <c r="I56" i="35"/>
  <c r="I56" i="40" s="1"/>
  <c r="E56" i="35"/>
  <c r="E56" i="40" s="1"/>
  <c r="J55" i="35"/>
  <c r="J55" i="40" s="1"/>
  <c r="H55" i="35"/>
  <c r="H55" i="40" s="1"/>
  <c r="D55" i="35"/>
  <c r="D55" i="40" s="1"/>
  <c r="I54" i="35"/>
  <c r="I54" i="40" s="1"/>
  <c r="H54" i="35"/>
  <c r="H54" i="40" s="1"/>
  <c r="E54" i="35"/>
  <c r="E54" i="40" s="1"/>
  <c r="D54" i="35"/>
  <c r="D54" i="40" s="1"/>
  <c r="J53" i="35"/>
  <c r="F53" i="35"/>
  <c r="F53" i="40" s="1"/>
  <c r="J52" i="35"/>
  <c r="J52" i="40" s="1"/>
  <c r="H52" i="35"/>
  <c r="H52" i="40" s="1"/>
  <c r="D52" i="35"/>
  <c r="D52" i="40" s="1"/>
  <c r="H51" i="35"/>
  <c r="H51" i="40" s="1"/>
  <c r="D51" i="35"/>
  <c r="D51" i="40" s="1"/>
  <c r="K45" i="35"/>
  <c r="K45" i="40" s="1"/>
  <c r="G45" i="35"/>
  <c r="G45" i="40" s="1"/>
  <c r="J43" i="35"/>
  <c r="F43" i="35"/>
  <c r="F43" i="40" s="1"/>
  <c r="I37" i="35"/>
  <c r="I37" i="40" s="1"/>
  <c r="H37" i="35"/>
  <c r="G37" i="35"/>
  <c r="G37" i="40" s="1"/>
  <c r="E37" i="35"/>
  <c r="E37" i="40" s="1"/>
  <c r="D37" i="35"/>
  <c r="D37" i="40" s="1"/>
  <c r="K36" i="35"/>
  <c r="K36" i="40" s="1"/>
  <c r="J36" i="35"/>
  <c r="J36" i="40" s="1"/>
  <c r="I36" i="35"/>
  <c r="I36" i="40" s="1"/>
  <c r="H36" i="35"/>
  <c r="H36" i="40" s="1"/>
  <c r="G36" i="35"/>
  <c r="G36" i="40" s="1"/>
  <c r="F36" i="35"/>
  <c r="F36" i="40" s="1"/>
  <c r="E36" i="35"/>
  <c r="E36" i="40" s="1"/>
  <c r="D36" i="35"/>
  <c r="K30" i="35"/>
  <c r="K30" i="40" s="1"/>
  <c r="J30" i="35"/>
  <c r="J30" i="40" s="1"/>
  <c r="G30" i="35"/>
  <c r="G30" i="40" s="1"/>
  <c r="F30" i="35"/>
  <c r="F30" i="40" s="1"/>
  <c r="E30" i="35"/>
  <c r="E30" i="40" s="1"/>
  <c r="K29" i="35"/>
  <c r="K29" i="40" s="1"/>
  <c r="G29" i="35"/>
  <c r="G29" i="40" s="1"/>
  <c r="K27" i="35"/>
  <c r="I27" i="35"/>
  <c r="F27" i="35"/>
  <c r="F27" i="40" s="1"/>
  <c r="E27" i="35"/>
  <c r="I26" i="35"/>
  <c r="E26" i="35"/>
  <c r="K2" i="35"/>
  <c r="C91" i="34"/>
  <c r="C90" i="34"/>
  <c r="C89" i="34"/>
  <c r="C87" i="34"/>
  <c r="C86" i="34"/>
  <c r="C85" i="34"/>
  <c r="C84" i="34"/>
  <c r="C83" i="34"/>
  <c r="C81" i="34"/>
  <c r="X18" i="34"/>
  <c r="W18" i="34"/>
  <c r="X16" i="34"/>
  <c r="W16" i="34"/>
  <c r="X11" i="34"/>
  <c r="W11" i="34"/>
  <c r="I99" i="35" l="1"/>
  <c r="H66" i="35"/>
  <c r="H66" i="40" s="1"/>
  <c r="AG66" i="40" s="1"/>
  <c r="G56" i="35"/>
  <c r="G56" i="40" s="1"/>
  <c r="E123" i="35"/>
  <c r="E121" i="40" s="1"/>
  <c r="G27" i="35"/>
  <c r="G27" i="40" s="1"/>
  <c r="H53" i="35"/>
  <c r="G54" i="35"/>
  <c r="G54" i="40" s="1"/>
  <c r="G67" i="35"/>
  <c r="G67" i="40" s="1"/>
  <c r="G84" i="35"/>
  <c r="G84" i="40" s="1"/>
  <c r="H98" i="35"/>
  <c r="G66" i="35"/>
  <c r="G66" i="40" s="1"/>
  <c r="AF66" i="40" s="1"/>
  <c r="K66" i="35"/>
  <c r="K66" i="40" s="1"/>
  <c r="AJ66" i="40" s="1"/>
  <c r="E72" i="35"/>
  <c r="I72" i="35"/>
  <c r="H144" i="35"/>
  <c r="H142" i="40" s="1"/>
  <c r="F144" i="35"/>
  <c r="F142" i="40" s="1"/>
  <c r="J144" i="35"/>
  <c r="J142" i="40" s="1"/>
  <c r="E107" i="35"/>
  <c r="E105" i="40" s="1"/>
  <c r="F122" i="35"/>
  <c r="F120" i="40" s="1"/>
  <c r="J72" i="35"/>
  <c r="J72" i="40" s="1"/>
  <c r="AI72" i="40" s="1"/>
  <c r="J98" i="35"/>
  <c r="J96" i="40" s="1"/>
  <c r="F130" i="40"/>
  <c r="F134" i="35"/>
  <c r="F115" i="35"/>
  <c r="F98" i="35"/>
  <c r="E113" i="40"/>
  <c r="F45" i="40"/>
  <c r="H96" i="40"/>
  <c r="I72" i="40"/>
  <c r="AH72" i="40" s="1"/>
  <c r="E26" i="40"/>
  <c r="E27" i="40"/>
  <c r="J27" i="35"/>
  <c r="D38" i="35"/>
  <c r="D36" i="40"/>
  <c r="H37" i="40"/>
  <c r="J51" i="35"/>
  <c r="J51" i="40" s="1"/>
  <c r="F72" i="35"/>
  <c r="J115" i="35"/>
  <c r="D113" i="40"/>
  <c r="G26" i="40"/>
  <c r="K27" i="40"/>
  <c r="H43" i="40"/>
  <c r="F26" i="35"/>
  <c r="F26" i="40" s="1"/>
  <c r="K53" i="40"/>
  <c r="E72" i="40"/>
  <c r="AD72" i="40" s="1"/>
  <c r="I26" i="40"/>
  <c r="J43" i="40"/>
  <c r="F51" i="35"/>
  <c r="F51" i="40" s="1"/>
  <c r="H53" i="40"/>
  <c r="AK64" i="40"/>
  <c r="H113" i="40"/>
  <c r="E29" i="35"/>
  <c r="E29" i="40" s="1"/>
  <c r="D66" i="35"/>
  <c r="AK65" i="40"/>
  <c r="G130" i="36"/>
  <c r="G97" i="35" s="1"/>
  <c r="G95" i="40" s="1"/>
  <c r="K130" i="36"/>
  <c r="G113" i="40"/>
  <c r="K113" i="40"/>
  <c r="E99" i="35"/>
  <c r="H72" i="40"/>
  <c r="AG72" i="40" s="1"/>
  <c r="K26" i="40"/>
  <c r="I27" i="40"/>
  <c r="E33" i="35"/>
  <c r="J53" i="40"/>
  <c r="AK60" i="40"/>
  <c r="AK61" i="40"/>
  <c r="D72" i="40"/>
  <c r="AC72" i="40" s="1"/>
  <c r="I97" i="40"/>
  <c r="I113" i="40"/>
  <c r="E120" i="40"/>
  <c r="D26" i="40"/>
  <c r="AK63" i="40"/>
  <c r="G51" i="35"/>
  <c r="G51" i="40" s="1"/>
  <c r="E32" i="35"/>
  <c r="E32" i="40" s="1"/>
  <c r="E35" i="26"/>
  <c r="E31" i="35"/>
  <c r="J38" i="35"/>
  <c r="G152" i="26"/>
  <c r="H134" i="35"/>
  <c r="J26" i="35"/>
  <c r="J26" i="40" s="1"/>
  <c r="G33" i="35"/>
  <c r="E28" i="35"/>
  <c r="I31" i="35"/>
  <c r="I35" i="26"/>
  <c r="K33" i="35"/>
  <c r="K38" i="35"/>
  <c r="K51" i="35"/>
  <c r="K51" i="40" s="1"/>
  <c r="L83" i="35"/>
  <c r="L83" i="40" s="1"/>
  <c r="K91" i="35"/>
  <c r="K90" i="40" s="1"/>
  <c r="F108" i="35"/>
  <c r="F106" i="40" s="1"/>
  <c r="E108" i="35"/>
  <c r="E106" i="40" s="1"/>
  <c r="H129" i="35"/>
  <c r="H153" i="26"/>
  <c r="J127" i="35"/>
  <c r="J125" i="40" s="1"/>
  <c r="I127" i="35"/>
  <c r="I125" i="40" s="1"/>
  <c r="D134" i="35"/>
  <c r="I146" i="35"/>
  <c r="I144" i="40" s="1"/>
  <c r="D91" i="35"/>
  <c r="D90" i="40" s="1"/>
  <c r="G125" i="35"/>
  <c r="G123" i="40" s="1"/>
  <c r="K127" i="35"/>
  <c r="K125" i="40" s="1"/>
  <c r="D131" i="36"/>
  <c r="D53" i="35"/>
  <c r="K132" i="36"/>
  <c r="K99" i="35" s="1"/>
  <c r="K165" i="36"/>
  <c r="K44" i="35" s="1"/>
  <c r="K44" i="40" s="1"/>
  <c r="L65" i="35"/>
  <c r="L65" i="40" s="1"/>
  <c r="E144" i="36"/>
  <c r="F38" i="35"/>
  <c r="I51" i="35"/>
  <c r="I51" i="40" s="1"/>
  <c r="E129" i="35"/>
  <c r="G9" i="36"/>
  <c r="G123" i="35"/>
  <c r="G121" i="40" s="1"/>
  <c r="G90" i="35"/>
  <c r="G89" i="40" s="1"/>
  <c r="K35" i="26"/>
  <c r="K122" i="35"/>
  <c r="K120" i="40" s="1"/>
  <c r="G134" i="35"/>
  <c r="F33" i="35"/>
  <c r="D127" i="35"/>
  <c r="D125" i="40" s="1"/>
  <c r="G35" i="26"/>
  <c r="H38" i="35"/>
  <c r="G91" i="35"/>
  <c r="G90" i="40" s="1"/>
  <c r="I153" i="26"/>
  <c r="E128" i="35"/>
  <c r="H26" i="35"/>
  <c r="D30" i="35"/>
  <c r="D30" i="40" s="1"/>
  <c r="H30" i="35"/>
  <c r="H91" i="35"/>
  <c r="H90" i="40" s="1"/>
  <c r="I108" i="35"/>
  <c r="I106" i="40" s="1"/>
  <c r="E114" i="35"/>
  <c r="E112" i="40" s="1"/>
  <c r="D123" i="35"/>
  <c r="D121" i="40" s="1"/>
  <c r="K123" i="35"/>
  <c r="K121" i="40" s="1"/>
  <c r="H127" i="35"/>
  <c r="H125" i="40" s="1"/>
  <c r="E127" i="35"/>
  <c r="E125" i="40" s="1"/>
  <c r="K134" i="35"/>
  <c r="F9" i="36"/>
  <c r="J9" i="36"/>
  <c r="D99" i="35"/>
  <c r="G57" i="35"/>
  <c r="K57" i="35"/>
  <c r="E66" i="35"/>
  <c r="E66" i="40" s="1"/>
  <c r="AD66" i="40" s="1"/>
  <c r="I66" i="35"/>
  <c r="I66" i="40" s="1"/>
  <c r="AH66" i="40" s="1"/>
  <c r="G72" i="35"/>
  <c r="K72" i="35"/>
  <c r="E165" i="36"/>
  <c r="E44" i="35" s="1"/>
  <c r="E44" i="40" s="1"/>
  <c r="G31" i="35"/>
  <c r="E38" i="35"/>
  <c r="I38" i="35"/>
  <c r="E51" i="35"/>
  <c r="E51" i="40" s="1"/>
  <c r="L61" i="35"/>
  <c r="L61" i="40" s="1"/>
  <c r="L64" i="35"/>
  <c r="L64" i="40" s="1"/>
  <c r="D85" i="35"/>
  <c r="D85" i="40" s="1"/>
  <c r="H85" i="35"/>
  <c r="H85" i="40" s="1"/>
  <c r="G108" i="35"/>
  <c r="G106" i="40" s="1"/>
  <c r="I128" i="35"/>
  <c r="I152" i="26"/>
  <c r="E134" i="35"/>
  <c r="K146" i="35"/>
  <c r="K144" i="40" s="1"/>
  <c r="E130" i="36"/>
  <c r="E97" i="35" s="1"/>
  <c r="E95" i="40" s="1"/>
  <c r="I130" i="36"/>
  <c r="I97" i="35" s="1"/>
  <c r="I95" i="40" s="1"/>
  <c r="I165" i="36"/>
  <c r="I44" i="35" s="1"/>
  <c r="I44" i="40" s="1"/>
  <c r="I134" i="35"/>
  <c r="G23" i="36"/>
  <c r="G81" i="35"/>
  <c r="G81" i="40" s="1"/>
  <c r="K23" i="36"/>
  <c r="K81" i="35"/>
  <c r="K81" i="40" s="1"/>
  <c r="E23" i="36"/>
  <c r="G32" i="36"/>
  <c r="K32" i="36"/>
  <c r="E46" i="36"/>
  <c r="I46" i="36"/>
  <c r="E57" i="35"/>
  <c r="I57" i="35"/>
  <c r="K149" i="36"/>
  <c r="K68" i="35" s="1"/>
  <c r="K68" i="40" s="1"/>
  <c r="AJ68" i="40" s="1"/>
  <c r="G158" i="36"/>
  <c r="G99" i="35"/>
  <c r="G165" i="36"/>
  <c r="G44" i="35" s="1"/>
  <c r="G44" i="40" s="1"/>
  <c r="G38" i="35"/>
  <c r="J57" i="35"/>
  <c r="L126" i="35"/>
  <c r="J134" i="35"/>
  <c r="G146" i="35"/>
  <c r="G144" i="40" s="1"/>
  <c r="D46" i="36"/>
  <c r="H46" i="36"/>
  <c r="H29" i="35"/>
  <c r="H29" i="40" s="1"/>
  <c r="L38" i="36"/>
  <c r="F130" i="36"/>
  <c r="F56" i="35"/>
  <c r="F56" i="40" s="1"/>
  <c r="J130" i="36"/>
  <c r="J124" i="36"/>
  <c r="J56" i="35"/>
  <c r="J56" i="40" s="1"/>
  <c r="E146" i="36"/>
  <c r="E62" i="35"/>
  <c r="E62" i="40" s="1"/>
  <c r="AD62" i="40" s="1"/>
  <c r="I146" i="36"/>
  <c r="I62" i="35"/>
  <c r="I62" i="40" s="1"/>
  <c r="AH62" i="40" s="1"/>
  <c r="I33" i="35"/>
  <c r="I28" i="35"/>
  <c r="K108" i="35"/>
  <c r="K106" i="40" s="1"/>
  <c r="L133" i="35"/>
  <c r="I32" i="35"/>
  <c r="L82" i="35"/>
  <c r="L82" i="40" s="1"/>
  <c r="L84" i="35"/>
  <c r="L84" i="40" s="1"/>
  <c r="F127" i="35"/>
  <c r="F125" i="40" s="1"/>
  <c r="E146" i="35"/>
  <c r="E144" i="40" s="1"/>
  <c r="F29" i="35"/>
  <c r="F46" i="36"/>
  <c r="J46" i="36"/>
  <c r="J29" i="35"/>
  <c r="J29" i="40" s="1"/>
  <c r="D124" i="36"/>
  <c r="D56" i="35"/>
  <c r="D56" i="40" s="1"/>
  <c r="H130" i="36"/>
  <c r="H124" i="36"/>
  <c r="H56" i="35"/>
  <c r="H56" i="40" s="1"/>
  <c r="D130" i="36"/>
  <c r="G146" i="36"/>
  <c r="G62" i="35"/>
  <c r="D29" i="35"/>
  <c r="D29" i="40" s="1"/>
  <c r="K31" i="35"/>
  <c r="L37" i="35"/>
  <c r="L37" i="40" s="1"/>
  <c r="F57" i="35"/>
  <c r="I129" i="35"/>
  <c r="I124" i="35"/>
  <c r="I122" i="40" s="1"/>
  <c r="K146" i="36"/>
  <c r="J33" i="35"/>
  <c r="L36" i="35"/>
  <c r="L36" i="40" s="1"/>
  <c r="D57" i="35"/>
  <c r="L60" i="35"/>
  <c r="L60" i="40" s="1"/>
  <c r="E124" i="35"/>
  <c r="D146" i="35"/>
  <c r="D144" i="40" s="1"/>
  <c r="D122" i="35"/>
  <c r="D9" i="36"/>
  <c r="D90" i="35"/>
  <c r="D89" i="40" s="1"/>
  <c r="H122" i="35"/>
  <c r="H120" i="40" s="1"/>
  <c r="H90" i="35"/>
  <c r="H89" i="40" s="1"/>
  <c r="L8" i="36"/>
  <c r="L12" i="36"/>
  <c r="J23" i="36"/>
  <c r="L17" i="36"/>
  <c r="D88" i="35"/>
  <c r="D87" i="40" s="1"/>
  <c r="H88" i="35"/>
  <c r="H87" i="40" s="1"/>
  <c r="L26" i="36"/>
  <c r="G131" i="36"/>
  <c r="G53" i="35"/>
  <c r="F165" i="36"/>
  <c r="F44" i="35" s="1"/>
  <c r="F44" i="40" s="1"/>
  <c r="F132" i="36"/>
  <c r="F99" i="35" s="1"/>
  <c r="J165" i="36"/>
  <c r="J44" i="35" s="1"/>
  <c r="J44" i="40" s="1"/>
  <c r="J132" i="36"/>
  <c r="J99" i="35" s="1"/>
  <c r="J104" i="35"/>
  <c r="J102" i="40" s="1"/>
  <c r="J67" i="35"/>
  <c r="J67" i="40" s="1"/>
  <c r="D144" i="36"/>
  <c r="D146" i="36" s="1"/>
  <c r="D107" i="35"/>
  <c r="D105" i="40" s="1"/>
  <c r="D73" i="35"/>
  <c r="D73" i="40" s="1"/>
  <c r="AC73" i="40" s="1"/>
  <c r="H144" i="36"/>
  <c r="H149" i="36" s="1"/>
  <c r="H68" i="35" s="1"/>
  <c r="H68" i="40" s="1"/>
  <c r="AG68" i="40" s="1"/>
  <c r="H107" i="35"/>
  <c r="H105" i="40" s="1"/>
  <c r="H73" i="35"/>
  <c r="H73" i="40" s="1"/>
  <c r="AG73" i="40" s="1"/>
  <c r="E74" i="35"/>
  <c r="E74" i="40" s="1"/>
  <c r="AD74" i="40" s="1"/>
  <c r="I74" i="35"/>
  <c r="I74" i="40" s="1"/>
  <c r="AH74" i="40" s="1"/>
  <c r="G149" i="36"/>
  <c r="G68" i="35" s="1"/>
  <c r="G68" i="40" s="1"/>
  <c r="AF68" i="40" s="1"/>
  <c r="G32" i="35"/>
  <c r="G28" i="35"/>
  <c r="K32" i="35"/>
  <c r="K28" i="35"/>
  <c r="H57" i="35"/>
  <c r="F146" i="35"/>
  <c r="F144" i="40" s="1"/>
  <c r="J146" i="35"/>
  <c r="J144" i="40" s="1"/>
  <c r="F90" i="35"/>
  <c r="F89" i="40" s="1"/>
  <c r="J122" i="35"/>
  <c r="J120" i="40" s="1"/>
  <c r="J90" i="35"/>
  <c r="J89" i="40" s="1"/>
  <c r="D23" i="36"/>
  <c r="H23" i="36"/>
  <c r="L15" i="36"/>
  <c r="D27" i="35"/>
  <c r="H27" i="35"/>
  <c r="L21" i="36"/>
  <c r="F23" i="36"/>
  <c r="F88" i="35"/>
  <c r="F87" i="40" s="1"/>
  <c r="J88" i="35"/>
  <c r="J87" i="40" s="1"/>
  <c r="E131" i="36"/>
  <c r="E53" i="35"/>
  <c r="I131" i="36"/>
  <c r="I53" i="35"/>
  <c r="D165" i="36"/>
  <c r="D44" i="35" s="1"/>
  <c r="D44" i="40" s="1"/>
  <c r="H165" i="36"/>
  <c r="H44" i="35" s="1"/>
  <c r="H44" i="40" s="1"/>
  <c r="H132" i="36"/>
  <c r="H99" i="35" s="1"/>
  <c r="L63" i="35"/>
  <c r="L63" i="40" s="1"/>
  <c r="D104" i="35"/>
  <c r="D102" i="40" s="1"/>
  <c r="D67" i="35"/>
  <c r="D67" i="40" s="1"/>
  <c r="H104" i="35"/>
  <c r="H102" i="40" s="1"/>
  <c r="H67" i="35"/>
  <c r="H67" i="40" s="1"/>
  <c r="F144" i="36"/>
  <c r="F146" i="36" s="1"/>
  <c r="F73" i="35"/>
  <c r="F73" i="40" s="1"/>
  <c r="AE73" i="40" s="1"/>
  <c r="J144" i="36"/>
  <c r="J146" i="36" s="1"/>
  <c r="J73" i="35"/>
  <c r="J73" i="40" s="1"/>
  <c r="AI73" i="40" s="1"/>
  <c r="J107" i="35"/>
  <c r="J105" i="40" s="1"/>
  <c r="G74" i="35"/>
  <c r="G74" i="40" s="1"/>
  <c r="AF74" i="40" s="1"/>
  <c r="K74" i="35"/>
  <c r="K131" i="36"/>
  <c r="E149" i="36"/>
  <c r="E68" i="35" s="1"/>
  <c r="E68" i="40" s="1"/>
  <c r="AD68" i="40" s="1"/>
  <c r="I149" i="36"/>
  <c r="I68" i="35" s="1"/>
  <c r="I68" i="40" s="1"/>
  <c r="AH68" i="40" s="1"/>
  <c r="F91" i="35"/>
  <c r="F90" i="40" s="1"/>
  <c r="J91" i="35"/>
  <c r="J90" i="40" s="1"/>
  <c r="F123" i="35"/>
  <c r="J123" i="35"/>
  <c r="J121" i="40" s="1"/>
  <c r="L132" i="35"/>
  <c r="L7" i="36"/>
  <c r="H9" i="36"/>
  <c r="L13" i="36"/>
  <c r="L20" i="36"/>
  <c r="D32" i="36"/>
  <c r="L31" i="36"/>
  <c r="J32" i="36"/>
  <c r="F124" i="36"/>
  <c r="L16" i="36"/>
  <c r="L40" i="36"/>
  <c r="I23" i="36"/>
  <c r="L30" i="36"/>
  <c r="H32" i="36"/>
  <c r="L39" i="36"/>
  <c r="H146" i="36"/>
  <c r="D149" i="36"/>
  <c r="D68" i="35" s="1"/>
  <c r="D68" i="40" s="1"/>
  <c r="AC68" i="40" s="1"/>
  <c r="L125" i="35" l="1"/>
  <c r="I158" i="36"/>
  <c r="H32" i="35"/>
  <c r="F28" i="35"/>
  <c r="F128" i="35"/>
  <c r="F152" i="26"/>
  <c r="H146" i="35"/>
  <c r="H144" i="40" s="1"/>
  <c r="G128" i="35"/>
  <c r="K69" i="35"/>
  <c r="K69" i="40" s="1"/>
  <c r="L72" i="35"/>
  <c r="L72" i="40" s="1"/>
  <c r="E53" i="40"/>
  <c r="G53" i="40"/>
  <c r="J33" i="40"/>
  <c r="I132" i="40"/>
  <c r="G31" i="40"/>
  <c r="H38" i="40"/>
  <c r="L130" i="40"/>
  <c r="K74" i="40"/>
  <c r="AJ74" i="40" s="1"/>
  <c r="H97" i="40"/>
  <c r="D27" i="40"/>
  <c r="G28" i="40"/>
  <c r="AK73" i="40"/>
  <c r="H146" i="40"/>
  <c r="I127" i="40"/>
  <c r="L62" i="35"/>
  <c r="L62" i="40" s="1"/>
  <c r="G62" i="40"/>
  <c r="AF62" i="40" s="1"/>
  <c r="AK62" i="40" s="1"/>
  <c r="I32" i="40"/>
  <c r="I28" i="40"/>
  <c r="L124" i="40"/>
  <c r="G97" i="40"/>
  <c r="E132" i="40"/>
  <c r="E38" i="40"/>
  <c r="K72" i="40"/>
  <c r="AJ72" i="40" s="1"/>
  <c r="D97" i="40"/>
  <c r="H26" i="40"/>
  <c r="E126" i="40"/>
  <c r="D132" i="40"/>
  <c r="H127" i="40"/>
  <c r="K38" i="40"/>
  <c r="G33" i="40"/>
  <c r="J113" i="40"/>
  <c r="F96" i="40"/>
  <c r="F126" i="40"/>
  <c r="L131" i="40"/>
  <c r="G72" i="40"/>
  <c r="AF72" i="40" s="1"/>
  <c r="H132" i="40"/>
  <c r="F113" i="40"/>
  <c r="L123" i="35"/>
  <c r="F121" i="40"/>
  <c r="K28" i="40"/>
  <c r="D120" i="40"/>
  <c r="L26" i="35"/>
  <c r="K132" i="40"/>
  <c r="L30" i="35"/>
  <c r="L30" i="40" s="1"/>
  <c r="H30" i="40"/>
  <c r="F38" i="40"/>
  <c r="D53" i="40"/>
  <c r="K33" i="40"/>
  <c r="E28" i="40"/>
  <c r="J38" i="40"/>
  <c r="F28" i="40"/>
  <c r="E33" i="40"/>
  <c r="D66" i="40"/>
  <c r="AC66" i="40" s="1"/>
  <c r="AK66" i="40" s="1"/>
  <c r="D38" i="40"/>
  <c r="F132" i="40"/>
  <c r="G32" i="40"/>
  <c r="J97" i="40"/>
  <c r="E122" i="40"/>
  <c r="K31" i="40"/>
  <c r="I33" i="40"/>
  <c r="F33" i="40"/>
  <c r="K97" i="40"/>
  <c r="I31" i="40"/>
  <c r="G126" i="40"/>
  <c r="E97" i="40"/>
  <c r="F72" i="40"/>
  <c r="AE72" i="40" s="1"/>
  <c r="L9" i="36"/>
  <c r="I53" i="40"/>
  <c r="H27" i="40"/>
  <c r="K32" i="40"/>
  <c r="F97" i="40"/>
  <c r="F32" i="35"/>
  <c r="F29" i="40"/>
  <c r="H74" i="35"/>
  <c r="H32" i="40"/>
  <c r="J132" i="40"/>
  <c r="G38" i="40"/>
  <c r="I126" i="40"/>
  <c r="I38" i="40"/>
  <c r="L123" i="40"/>
  <c r="G132" i="40"/>
  <c r="E127" i="40"/>
  <c r="E31" i="40"/>
  <c r="K97" i="35"/>
  <c r="K158" i="36"/>
  <c r="J27" i="40"/>
  <c r="K124" i="35"/>
  <c r="K122" i="40" s="1"/>
  <c r="K152" i="26"/>
  <c r="K128" i="35"/>
  <c r="K126" i="40" s="1"/>
  <c r="J153" i="26"/>
  <c r="J152" i="26"/>
  <c r="H69" i="35"/>
  <c r="H69" i="40" s="1"/>
  <c r="E130" i="35"/>
  <c r="E128" i="40" s="1"/>
  <c r="K153" i="26"/>
  <c r="G153" i="26"/>
  <c r="G129" i="35"/>
  <c r="E5" i="35"/>
  <c r="E5" i="40" s="1"/>
  <c r="X5" i="40" s="1"/>
  <c r="G124" i="35"/>
  <c r="G122" i="40" s="1"/>
  <c r="E34" i="35"/>
  <c r="E34" i="40" s="1"/>
  <c r="F149" i="36"/>
  <c r="F68" i="35" s="1"/>
  <c r="F68" i="40" s="1"/>
  <c r="AE68" i="40" s="1"/>
  <c r="F153" i="26"/>
  <c r="J32" i="35"/>
  <c r="J34" i="35" s="1"/>
  <c r="J34" i="40" s="1"/>
  <c r="J35" i="26"/>
  <c r="F35" i="26"/>
  <c r="L85" i="35"/>
  <c r="L85" i="40" s="1"/>
  <c r="D129" i="35"/>
  <c r="K129" i="35"/>
  <c r="E158" i="36"/>
  <c r="L66" i="35"/>
  <c r="L66" i="40" s="1"/>
  <c r="D43" i="35"/>
  <c r="D98" i="35"/>
  <c r="J28" i="35"/>
  <c r="H152" i="26"/>
  <c r="H28" i="35"/>
  <c r="E39" i="35"/>
  <c r="G127" i="35"/>
  <c r="G125" i="40" s="1"/>
  <c r="I124" i="36"/>
  <c r="I43" i="35"/>
  <c r="I98" i="35"/>
  <c r="L73" i="35"/>
  <c r="F129" i="35"/>
  <c r="F130" i="35" s="1"/>
  <c r="F128" i="40" s="1"/>
  <c r="J108" i="35"/>
  <c r="J106" i="40" s="1"/>
  <c r="E124" i="36"/>
  <c r="E133" i="36"/>
  <c r="E43" i="35"/>
  <c r="E98" i="35"/>
  <c r="H108" i="35"/>
  <c r="H106" i="40" s="1"/>
  <c r="G124" i="36"/>
  <c r="G133" i="36"/>
  <c r="G43" i="35"/>
  <c r="G98" i="35"/>
  <c r="F124" i="35"/>
  <c r="F122" i="40" s="1"/>
  <c r="D31" i="35"/>
  <c r="D32" i="35"/>
  <c r="L29" i="35"/>
  <c r="L29" i="40" s="1"/>
  <c r="H158" i="36"/>
  <c r="H133" i="36"/>
  <c r="H97" i="35"/>
  <c r="H95" i="40" s="1"/>
  <c r="E6" i="35"/>
  <c r="F34" i="35"/>
  <c r="F34" i="40" s="1"/>
  <c r="L46" i="36"/>
  <c r="L134" i="35"/>
  <c r="J149" i="36"/>
  <c r="J68" i="35" s="1"/>
  <c r="J68" i="40" s="1"/>
  <c r="AI68" i="40" s="1"/>
  <c r="I133" i="36"/>
  <c r="J74" i="35"/>
  <c r="L27" i="35"/>
  <c r="D33" i="35"/>
  <c r="J128" i="35"/>
  <c r="J124" i="35"/>
  <c r="J122" i="40" s="1"/>
  <c r="K34" i="35"/>
  <c r="K34" i="40" s="1"/>
  <c r="L88" i="35"/>
  <c r="L87" i="40" s="1"/>
  <c r="H124" i="35"/>
  <c r="H122" i="40" s="1"/>
  <c r="H128" i="35"/>
  <c r="L122" i="35"/>
  <c r="D128" i="35"/>
  <c r="D124" i="35"/>
  <c r="I130" i="35"/>
  <c r="I128" i="40" s="1"/>
  <c r="D158" i="36"/>
  <c r="D133" i="36"/>
  <c r="D97" i="35"/>
  <c r="D95" i="40" s="1"/>
  <c r="D42" i="35"/>
  <c r="D42" i="40" s="1"/>
  <c r="E4" i="35"/>
  <c r="E69" i="35"/>
  <c r="E69" i="40" s="1"/>
  <c r="J158" i="36"/>
  <c r="J133" i="36"/>
  <c r="J97" i="35"/>
  <c r="J95" i="40" s="1"/>
  <c r="H31" i="35"/>
  <c r="I34" i="35"/>
  <c r="I34" i="40" s="1"/>
  <c r="L32" i="36"/>
  <c r="J129" i="35"/>
  <c r="K124" i="36"/>
  <c r="K133" i="36"/>
  <c r="K43" i="35"/>
  <c r="K98" i="35"/>
  <c r="F74" i="35"/>
  <c r="L67" i="35"/>
  <c r="L67" i="40" s="1"/>
  <c r="H33" i="35"/>
  <c r="L23" i="36"/>
  <c r="G34" i="35"/>
  <c r="G34" i="40" s="1"/>
  <c r="D108" i="35"/>
  <c r="D106" i="40" s="1"/>
  <c r="L90" i="35"/>
  <c r="L89" i="40" s="1"/>
  <c r="D69" i="35"/>
  <c r="D69" i="40" s="1"/>
  <c r="D74" i="35"/>
  <c r="G69" i="35"/>
  <c r="G69" i="40" s="1"/>
  <c r="J31" i="35"/>
  <c r="F31" i="35"/>
  <c r="D28" i="35"/>
  <c r="I69" i="35"/>
  <c r="I69" i="40" s="1"/>
  <c r="F158" i="36"/>
  <c r="F133" i="36"/>
  <c r="F97" i="35"/>
  <c r="F95" i="40" s="1"/>
  <c r="L91" i="35"/>
  <c r="L90" i="40" s="1"/>
  <c r="L38" i="35"/>
  <c r="G39" i="35" l="1"/>
  <c r="L127" i="35"/>
  <c r="L74" i="35"/>
  <c r="AK72" i="40"/>
  <c r="AK68" i="40"/>
  <c r="K96" i="40"/>
  <c r="D126" i="40"/>
  <c r="J31" i="40"/>
  <c r="D122" i="40"/>
  <c r="J126" i="40"/>
  <c r="J74" i="40"/>
  <c r="AI74" i="40" s="1"/>
  <c r="D31" i="40"/>
  <c r="E43" i="40"/>
  <c r="I96" i="40"/>
  <c r="H28" i="40"/>
  <c r="J28" i="40"/>
  <c r="D43" i="40"/>
  <c r="D127" i="40"/>
  <c r="F32" i="40"/>
  <c r="L121" i="40"/>
  <c r="L38" i="40"/>
  <c r="D28" i="40"/>
  <c r="H33" i="40"/>
  <c r="L74" i="40"/>
  <c r="I43" i="40"/>
  <c r="J32" i="40"/>
  <c r="E92" i="35"/>
  <c r="K43" i="40"/>
  <c r="L125" i="40"/>
  <c r="L120" i="40"/>
  <c r="L27" i="40"/>
  <c r="E6" i="40"/>
  <c r="X6" i="40" s="1"/>
  <c r="G96" i="40"/>
  <c r="H74" i="40"/>
  <c r="AG74" i="40" s="1"/>
  <c r="L26" i="40"/>
  <c r="J127" i="40"/>
  <c r="E4" i="40"/>
  <c r="D33" i="40"/>
  <c r="F127" i="40"/>
  <c r="G127" i="40"/>
  <c r="F31" i="40"/>
  <c r="D74" i="40"/>
  <c r="F74" i="40"/>
  <c r="AE74" i="40" s="1"/>
  <c r="H31" i="40"/>
  <c r="H126" i="40"/>
  <c r="L132" i="40"/>
  <c r="D32" i="40"/>
  <c r="G43" i="40"/>
  <c r="E96" i="40"/>
  <c r="L73" i="40"/>
  <c r="D96" i="40"/>
  <c r="K127" i="40"/>
  <c r="K95" i="40"/>
  <c r="H35" i="26"/>
  <c r="L35" i="26"/>
  <c r="G130" i="35"/>
  <c r="G128" i="40" s="1"/>
  <c r="E86" i="35"/>
  <c r="M83" i="35"/>
  <c r="M83" i="40" s="1"/>
  <c r="N83" i="35"/>
  <c r="N83" i="40" s="1"/>
  <c r="E7" i="35"/>
  <c r="E7" i="40" s="1"/>
  <c r="X7" i="40" s="1"/>
  <c r="E93" i="35"/>
  <c r="E91" i="40" s="1"/>
  <c r="F69" i="35"/>
  <c r="F69" i="40" s="1"/>
  <c r="H34" i="35"/>
  <c r="H34" i="40" s="1"/>
  <c r="L68" i="35"/>
  <c r="L68" i="40" s="1"/>
  <c r="K130" i="35"/>
  <c r="K128" i="40" s="1"/>
  <c r="E19" i="35"/>
  <c r="E19" i="40" s="1"/>
  <c r="X19" i="40" s="1"/>
  <c r="I159" i="36"/>
  <c r="I100" i="35"/>
  <c r="I98" i="40" s="1"/>
  <c r="G86" i="35"/>
  <c r="M82" i="35"/>
  <c r="M82" i="40" s="1"/>
  <c r="N82" i="35"/>
  <c r="N82" i="40" s="1"/>
  <c r="L158" i="36"/>
  <c r="H130" i="35"/>
  <c r="H128" i="40" s="1"/>
  <c r="E10" i="35"/>
  <c r="J130" i="35"/>
  <c r="J128" i="40" s="1"/>
  <c r="M84" i="35"/>
  <c r="M84" i="40" s="1"/>
  <c r="N84" i="35"/>
  <c r="N84" i="40" s="1"/>
  <c r="L31" i="35"/>
  <c r="E159" i="36"/>
  <c r="E100" i="35"/>
  <c r="E98" i="40" s="1"/>
  <c r="J86" i="35"/>
  <c r="J39" i="35"/>
  <c r="E12" i="35"/>
  <c r="D46" i="35"/>
  <c r="D46" i="40" s="1"/>
  <c r="D130" i="35"/>
  <c r="D128" i="40" s="1"/>
  <c r="L128" i="35"/>
  <c r="L81" i="35"/>
  <c r="L81" i="40" s="1"/>
  <c r="N74" i="35"/>
  <c r="K159" i="36"/>
  <c r="K100" i="35"/>
  <c r="K98" i="40" s="1"/>
  <c r="I86" i="35"/>
  <c r="I39" i="35"/>
  <c r="F92" i="35"/>
  <c r="F86" i="35"/>
  <c r="F39" i="35"/>
  <c r="D34" i="35"/>
  <c r="D34" i="40" s="1"/>
  <c r="L32" i="35"/>
  <c r="E13" i="35"/>
  <c r="F159" i="36"/>
  <c r="F100" i="35"/>
  <c r="F98" i="40" s="1"/>
  <c r="L28" i="35"/>
  <c r="J100" i="35"/>
  <c r="J98" i="40" s="1"/>
  <c r="J159" i="36"/>
  <c r="D159" i="36"/>
  <c r="D100" i="35"/>
  <c r="D98" i="40" s="1"/>
  <c r="I92" i="35"/>
  <c r="L124" i="35"/>
  <c r="K86" i="35"/>
  <c r="K39" i="35"/>
  <c r="L33" i="35"/>
  <c r="J69" i="35"/>
  <c r="J69" i="40" s="1"/>
  <c r="H159" i="36"/>
  <c r="H100" i="35"/>
  <c r="H98" i="40" s="1"/>
  <c r="G159" i="36"/>
  <c r="G100" i="35"/>
  <c r="G98" i="40" s="1"/>
  <c r="L129" i="35"/>
  <c r="H39" i="35" l="1"/>
  <c r="H86" i="35"/>
  <c r="H87" i="35" s="1"/>
  <c r="H86" i="40" s="1"/>
  <c r="L127" i="40"/>
  <c r="L126" i="40"/>
  <c r="L33" i="40"/>
  <c r="E13" i="40"/>
  <c r="X13" i="40" s="1"/>
  <c r="L31" i="40"/>
  <c r="L122" i="40"/>
  <c r="E12" i="40"/>
  <c r="X12" i="40" s="1"/>
  <c r="L28" i="40"/>
  <c r="L32" i="40"/>
  <c r="E10" i="40"/>
  <c r="X10" i="40" s="1"/>
  <c r="AC74" i="40"/>
  <c r="AK74" i="40" s="1"/>
  <c r="H76" i="40"/>
  <c r="I87" i="35"/>
  <c r="I86" i="40" s="1"/>
  <c r="N85" i="35"/>
  <c r="N85" i="40" s="1"/>
  <c r="M85" i="35"/>
  <c r="M85" i="40" s="1"/>
  <c r="G92" i="35"/>
  <c r="K87" i="35"/>
  <c r="K86" i="40" s="1"/>
  <c r="F93" i="35"/>
  <c r="F91" i="40" s="1"/>
  <c r="J87" i="35"/>
  <c r="J86" i="40" s="1"/>
  <c r="G87" i="35"/>
  <c r="G86" i="40" s="1"/>
  <c r="K92" i="35"/>
  <c r="E87" i="35"/>
  <c r="E86" i="40" s="1"/>
  <c r="I93" i="35"/>
  <c r="I91" i="40" s="1"/>
  <c r="F87" i="35"/>
  <c r="F86" i="40" s="1"/>
  <c r="E3" i="35"/>
  <c r="L159" i="36"/>
  <c r="L130" i="35"/>
  <c r="D92" i="35"/>
  <c r="N88" i="35"/>
  <c r="N87" i="40" s="1"/>
  <c r="M88" i="35"/>
  <c r="M87" i="40" s="1"/>
  <c r="N90" i="35"/>
  <c r="N89" i="40" s="1"/>
  <c r="M90" i="35"/>
  <c r="M89" i="40" s="1"/>
  <c r="L69" i="35"/>
  <c r="L69" i="40" s="1"/>
  <c r="N91" i="35"/>
  <c r="N90" i="40" s="1"/>
  <c r="M91" i="35"/>
  <c r="M90" i="40" s="1"/>
  <c r="D86" i="35"/>
  <c r="L34" i="35"/>
  <c r="L34" i="40" s="1"/>
  <c r="D39" i="35"/>
  <c r="E20" i="35"/>
  <c r="E20" i="40" s="1"/>
  <c r="X20" i="40" s="1"/>
  <c r="D47" i="35"/>
  <c r="E42" i="35"/>
  <c r="E42" i="40" s="1"/>
  <c r="J92" i="35"/>
  <c r="H92" i="35"/>
  <c r="L128" i="40" l="1"/>
  <c r="E3" i="40"/>
  <c r="X3" i="40" s="1"/>
  <c r="J93" i="35"/>
  <c r="J91" i="40" s="1"/>
  <c r="G93" i="35"/>
  <c r="G91" i="40" s="1"/>
  <c r="K93" i="35"/>
  <c r="K91" i="40" s="1"/>
  <c r="H93" i="35"/>
  <c r="H91" i="40" s="1"/>
  <c r="E46" i="35"/>
  <c r="E46" i="40" s="1"/>
  <c r="L39" i="35"/>
  <c r="L92" i="35"/>
  <c r="D93" i="35"/>
  <c r="D91" i="40" s="1"/>
  <c r="L86" i="35"/>
  <c r="D87" i="35"/>
  <c r="D86" i="40" s="1"/>
  <c r="M81" i="35"/>
  <c r="M81" i="40" s="1"/>
  <c r="N81" i="35"/>
  <c r="N81" i="40" s="1"/>
  <c r="D91" i="27"/>
  <c r="F90" i="27"/>
  <c r="E90" i="27"/>
  <c r="E91" i="27" l="1"/>
  <c r="E92" i="27"/>
  <c r="F92" i="27"/>
  <c r="E8" i="35"/>
  <c r="E8" i="40" s="1"/>
  <c r="E47" i="35"/>
  <c r="F42" i="35"/>
  <c r="F42" i="40" s="1"/>
  <c r="E14" i="35"/>
  <c r="L93" i="35"/>
  <c r="L91" i="40" s="1"/>
  <c r="L87" i="35"/>
  <c r="L86" i="40" s="1"/>
  <c r="D90" i="27"/>
  <c r="D92" i="27" s="1"/>
  <c r="F91" i="27"/>
  <c r="E14" i="40" l="1"/>
  <c r="G91" i="27"/>
  <c r="G92" i="27"/>
  <c r="E9" i="35"/>
  <c r="E9" i="40" s="1"/>
  <c r="X9" i="40" s="1"/>
  <c r="F46" i="35"/>
  <c r="F46" i="40" s="1"/>
  <c r="E15" i="35"/>
  <c r="E15" i="40" l="1"/>
  <c r="X15" i="40" s="1"/>
  <c r="H91" i="27"/>
  <c r="H92" i="27"/>
  <c r="M87" i="35"/>
  <c r="M86" i="40" s="1"/>
  <c r="N87" i="35"/>
  <c r="N86" i="40" s="1"/>
  <c r="G42" i="35"/>
  <c r="G42" i="40" s="1"/>
  <c r="F47" i="35"/>
  <c r="M93" i="35"/>
  <c r="M91" i="40" s="1"/>
  <c r="N93" i="35"/>
  <c r="N91" i="40" s="1"/>
  <c r="E17" i="35"/>
  <c r="E17" i="40" s="1"/>
  <c r="X17" i="40" s="1"/>
  <c r="G46" i="35" l="1"/>
  <c r="G46" i="40" s="1"/>
  <c r="D59" i="27"/>
  <c r="D60" i="27" s="1"/>
  <c r="G47" i="35" l="1"/>
  <c r="H42" i="35"/>
  <c r="H42" i="40" s="1"/>
  <c r="H46" i="35" l="1"/>
  <c r="H46" i="40" s="1"/>
  <c r="H47" i="35" l="1"/>
  <c r="I42" i="35"/>
  <c r="I42" i="40" s="1"/>
  <c r="D126" i="26"/>
  <c r="I46" i="35" l="1"/>
  <c r="I46" i="40" s="1"/>
  <c r="E80" i="26"/>
  <c r="K180" i="26"/>
  <c r="J180" i="26"/>
  <c r="I180" i="26"/>
  <c r="I182" i="26" s="1"/>
  <c r="H180" i="26"/>
  <c r="H182" i="26" s="1"/>
  <c r="G180" i="26"/>
  <c r="G182" i="26" s="1"/>
  <c r="F180" i="26"/>
  <c r="F182" i="26" s="1"/>
  <c r="E180" i="26"/>
  <c r="E182" i="26" s="1"/>
  <c r="D180" i="26"/>
  <c r="D182" i="26" s="1"/>
  <c r="K93" i="26"/>
  <c r="J93" i="26"/>
  <c r="I93" i="26"/>
  <c r="I95" i="26" s="1"/>
  <c r="H93" i="26"/>
  <c r="H95" i="26" s="1"/>
  <c r="G93" i="26"/>
  <c r="G95" i="26" s="1"/>
  <c r="F93" i="26"/>
  <c r="F95" i="26" s="1"/>
  <c r="E93" i="26"/>
  <c r="E95" i="26" s="1"/>
  <c r="D93" i="26"/>
  <c r="D95" i="26" s="1"/>
  <c r="K171" i="27"/>
  <c r="J171" i="27"/>
  <c r="I171" i="27"/>
  <c r="H171" i="27"/>
  <c r="G171" i="27"/>
  <c r="F171" i="27"/>
  <c r="E171" i="27"/>
  <c r="D171" i="27"/>
  <c r="K82" i="27"/>
  <c r="J82" i="27"/>
  <c r="I82" i="27"/>
  <c r="H82" i="27"/>
  <c r="G82" i="27"/>
  <c r="F82" i="27"/>
  <c r="E82" i="27"/>
  <c r="D82" i="27"/>
  <c r="J183" i="26" l="1"/>
  <c r="J186" i="26" s="1"/>
  <c r="I47" i="35"/>
  <c r="J42" i="35"/>
  <c r="J42" i="40" s="1"/>
  <c r="D80" i="26"/>
  <c r="E101" i="26"/>
  <c r="D101" i="26"/>
  <c r="D103" i="26" s="1"/>
  <c r="J96" i="26"/>
  <c r="J46" i="35" l="1"/>
  <c r="J46" i="40" s="1"/>
  <c r="D102" i="26"/>
  <c r="E103" i="26" s="1"/>
  <c r="F101" i="26"/>
  <c r="K42" i="35" l="1"/>
  <c r="K42" i="40" s="1"/>
  <c r="J47" i="35"/>
  <c r="E102" i="26"/>
  <c r="F102" i="26" s="1"/>
  <c r="G102" i="26" l="1"/>
  <c r="G103" i="26"/>
  <c r="K46" i="35"/>
  <c r="K46" i="40" s="1"/>
  <c r="F103" i="26"/>
  <c r="H103" i="26" l="1"/>
  <c r="H102" i="26"/>
  <c r="K47" i="35"/>
  <c r="N46" i="35"/>
  <c r="E14" i="20"/>
  <c r="D14" i="20"/>
  <c r="E8" i="20"/>
  <c r="D8" i="20"/>
  <c r="K32" i="22" l="1"/>
  <c r="J32" i="22"/>
  <c r="G32" i="22"/>
  <c r="F32" i="22"/>
  <c r="I32" i="22"/>
  <c r="H32" i="22"/>
  <c r="E32" i="22"/>
  <c r="AC48" i="33" l="1"/>
  <c r="AC48" i="24"/>
  <c r="AM48" i="9"/>
  <c r="AC48" i="9"/>
  <c r="K45" i="9"/>
  <c r="J45" i="9"/>
  <c r="I45" i="9"/>
  <c r="H45" i="9"/>
  <c r="G45" i="9"/>
  <c r="F45" i="9"/>
  <c r="E45" i="9"/>
  <c r="D45" i="9"/>
  <c r="K44" i="9"/>
  <c r="J44" i="9"/>
  <c r="I44" i="9"/>
  <c r="H44" i="9"/>
  <c r="G44" i="9"/>
  <c r="F44" i="9"/>
  <c r="E44" i="9"/>
  <c r="D44" i="9"/>
  <c r="K41" i="9"/>
  <c r="K48" i="9" s="1"/>
  <c r="AK48" i="9" s="1"/>
  <c r="J41" i="9"/>
  <c r="AJ41" i="9" s="1"/>
  <c r="I41" i="9"/>
  <c r="AI41" i="9" s="1"/>
  <c r="H41" i="9"/>
  <c r="G41" i="9"/>
  <c r="F41" i="9"/>
  <c r="AF41" i="9" s="1"/>
  <c r="E41" i="9"/>
  <c r="AE41" i="9" s="1"/>
  <c r="D41" i="9"/>
  <c r="K40" i="9"/>
  <c r="AK40" i="9" s="1"/>
  <c r="J40" i="9"/>
  <c r="AJ40" i="9" s="1"/>
  <c r="I40" i="9"/>
  <c r="AI40" i="9" s="1"/>
  <c r="H40" i="9"/>
  <c r="AH40" i="9" s="1"/>
  <c r="G40" i="9"/>
  <c r="AG40" i="9" s="1"/>
  <c r="F40" i="9"/>
  <c r="AF40" i="9" s="1"/>
  <c r="E40" i="9"/>
  <c r="AE40" i="9" s="1"/>
  <c r="D40" i="9"/>
  <c r="E46" i="9" l="1"/>
  <c r="G48" i="9"/>
  <c r="AG48" i="9" s="1"/>
  <c r="L40" i="9"/>
  <c r="AL40" i="9" s="1"/>
  <c r="I48" i="9"/>
  <c r="AI48" i="9" s="1"/>
  <c r="L44" i="9"/>
  <c r="AD40" i="9"/>
  <c r="D46" i="9"/>
  <c r="H46" i="9"/>
  <c r="H48" i="9"/>
  <c r="AH48" i="9" s="1"/>
  <c r="I46" i="9"/>
  <c r="D42" i="9"/>
  <c r="H42" i="9"/>
  <c r="AH42" i="9" s="1"/>
  <c r="F48" i="9"/>
  <c r="AF48" i="9" s="1"/>
  <c r="J48" i="9"/>
  <c r="AJ48" i="9" s="1"/>
  <c r="D48" i="9"/>
  <c r="G46" i="9"/>
  <c r="K46" i="9"/>
  <c r="E48" i="9"/>
  <c r="AE48" i="9" s="1"/>
  <c r="E42" i="9"/>
  <c r="AE42" i="9" s="1"/>
  <c r="I42" i="9"/>
  <c r="AI42" i="9" s="1"/>
  <c r="L41" i="9"/>
  <c r="AG41" i="9"/>
  <c r="AK41" i="9"/>
  <c r="F42" i="9"/>
  <c r="AF42" i="9" s="1"/>
  <c r="J42" i="9"/>
  <c r="AJ42" i="9" s="1"/>
  <c r="F46" i="9"/>
  <c r="J46" i="9"/>
  <c r="AD41" i="9"/>
  <c r="AH41" i="9"/>
  <c r="G42" i="9"/>
  <c r="AG42" i="9" s="1"/>
  <c r="K42" i="9"/>
  <c r="AK42" i="9" s="1"/>
  <c r="L45" i="9"/>
  <c r="AD48" i="9" l="1"/>
  <c r="AD42" i="9"/>
  <c r="L46" i="9"/>
  <c r="L42" i="9"/>
  <c r="AL42" i="9" s="1"/>
  <c r="AL41" i="9"/>
  <c r="L48" i="9"/>
  <c r="AL48" i="9" s="1"/>
  <c r="K45" i="21" l="1"/>
  <c r="K45" i="24" s="1"/>
  <c r="J45" i="21"/>
  <c r="J45" i="24" s="1"/>
  <c r="I45" i="21"/>
  <c r="I45" i="24" s="1"/>
  <c r="H45" i="21"/>
  <c r="G45" i="21"/>
  <c r="G45" i="24" s="1"/>
  <c r="F45" i="21"/>
  <c r="E45" i="21"/>
  <c r="D45" i="21"/>
  <c r="K44" i="21"/>
  <c r="K44" i="24" s="1"/>
  <c r="J44" i="21"/>
  <c r="J44" i="24" s="1"/>
  <c r="I44" i="21"/>
  <c r="I44" i="24" s="1"/>
  <c r="H44" i="21"/>
  <c r="H44" i="24" s="1"/>
  <c r="G44" i="21"/>
  <c r="G44" i="24" s="1"/>
  <c r="F44" i="21"/>
  <c r="F44" i="24" s="1"/>
  <c r="E44" i="21"/>
  <c r="D44" i="21"/>
  <c r="D44" i="24" s="1"/>
  <c r="K41" i="21"/>
  <c r="J41" i="21"/>
  <c r="J41" i="24" s="1"/>
  <c r="AJ41" i="24" s="1"/>
  <c r="I41" i="21"/>
  <c r="I41" i="24" s="1"/>
  <c r="AI41" i="24" s="1"/>
  <c r="H41" i="21"/>
  <c r="H41" i="24" s="1"/>
  <c r="AH41" i="24" s="1"/>
  <c r="G41" i="21"/>
  <c r="F41" i="21"/>
  <c r="F41" i="24" s="1"/>
  <c r="AF41" i="24" s="1"/>
  <c r="E41" i="21"/>
  <c r="E48" i="21" s="1"/>
  <c r="K40" i="21"/>
  <c r="J40" i="21"/>
  <c r="I40" i="21"/>
  <c r="I40" i="24" s="1"/>
  <c r="AI40" i="24" s="1"/>
  <c r="H40" i="21"/>
  <c r="G40" i="21"/>
  <c r="G40" i="24" s="1"/>
  <c r="AG40" i="24" s="1"/>
  <c r="F40" i="21"/>
  <c r="F40" i="24" s="1"/>
  <c r="AF40" i="24" s="1"/>
  <c r="E40" i="21"/>
  <c r="AE40" i="21" s="1"/>
  <c r="D41" i="21"/>
  <c r="D41" i="24" s="1"/>
  <c r="D40" i="21"/>
  <c r="D40" i="24" l="1"/>
  <c r="AD40" i="21"/>
  <c r="F45" i="24"/>
  <c r="F46" i="21"/>
  <c r="F46" i="24" s="1"/>
  <c r="J40" i="24"/>
  <c r="AJ40" i="24" s="1"/>
  <c r="AJ40" i="21"/>
  <c r="K41" i="24"/>
  <c r="K48" i="21"/>
  <c r="K48" i="24" s="1"/>
  <c r="AK48" i="24" s="1"/>
  <c r="AK41" i="21"/>
  <c r="AF40" i="21"/>
  <c r="AF41" i="21"/>
  <c r="AI40" i="21"/>
  <c r="AJ41" i="21"/>
  <c r="J48" i="21"/>
  <c r="J48" i="24" s="1"/>
  <c r="AJ48" i="24" s="1"/>
  <c r="AD41" i="24"/>
  <c r="AK40" i="21"/>
  <c r="K40" i="24"/>
  <c r="AK40" i="24" s="1"/>
  <c r="J46" i="21"/>
  <c r="J46" i="24" s="1"/>
  <c r="AH40" i="21"/>
  <c r="H40" i="24"/>
  <c r="AH40" i="24" s="1"/>
  <c r="AG41" i="21"/>
  <c r="G41" i="24"/>
  <c r="AG41" i="24" s="1"/>
  <c r="AK41" i="24"/>
  <c r="I48" i="21"/>
  <c r="I48" i="24" s="1"/>
  <c r="AI48" i="24" s="1"/>
  <c r="E44" i="24"/>
  <c r="E45" i="24"/>
  <c r="E48" i="24"/>
  <c r="AE48" i="24" s="1"/>
  <c r="AD40" i="24"/>
  <c r="E42" i="21"/>
  <c r="E41" i="24"/>
  <c r="AE41" i="24" s="1"/>
  <c r="F48" i="21"/>
  <c r="F48" i="24" s="1"/>
  <c r="AF48" i="24" s="1"/>
  <c r="I42" i="21"/>
  <c r="AG40" i="21"/>
  <c r="E40" i="24"/>
  <c r="AE40" i="24" s="1"/>
  <c r="G48" i="21"/>
  <c r="G48" i="24" s="1"/>
  <c r="AG48" i="24" s="1"/>
  <c r="D48" i="21"/>
  <c r="D48" i="24" s="1"/>
  <c r="D45" i="24"/>
  <c r="H48" i="21"/>
  <c r="H48" i="24" s="1"/>
  <c r="AH48" i="24" s="1"/>
  <c r="H45" i="24"/>
  <c r="G46" i="21"/>
  <c r="G46" i="24" s="1"/>
  <c r="K46" i="21"/>
  <c r="K46" i="24" s="1"/>
  <c r="L44" i="21"/>
  <c r="L44" i="24" s="1"/>
  <c r="D46" i="21"/>
  <c r="D46" i="24" s="1"/>
  <c r="H46" i="21"/>
  <c r="H46" i="24" s="1"/>
  <c r="E46" i="21"/>
  <c r="I46" i="21"/>
  <c r="I46" i="24" s="1"/>
  <c r="D42" i="21"/>
  <c r="H42" i="21"/>
  <c r="L41" i="21"/>
  <c r="L41" i="24" s="1"/>
  <c r="AL41" i="24" s="1"/>
  <c r="F42" i="21"/>
  <c r="J42" i="21"/>
  <c r="AD41" i="21"/>
  <c r="AH41" i="21"/>
  <c r="G42" i="21"/>
  <c r="K42" i="21"/>
  <c r="L45" i="21"/>
  <c r="L40" i="21"/>
  <c r="AE41" i="21"/>
  <c r="AI41" i="21"/>
  <c r="AG42" i="21" l="1"/>
  <c r="G42" i="24"/>
  <c r="AG42" i="24" s="1"/>
  <c r="AF42" i="21"/>
  <c r="F42" i="24"/>
  <c r="AF42" i="24" s="1"/>
  <c r="AL40" i="21"/>
  <c r="L40" i="24"/>
  <c r="AL40" i="24" s="1"/>
  <c r="E46" i="24"/>
  <c r="L48" i="21"/>
  <c r="L48" i="24" s="1"/>
  <c r="AL48" i="24" s="1"/>
  <c r="L45" i="24"/>
  <c r="AH42" i="21"/>
  <c r="H42" i="24"/>
  <c r="AH42" i="24" s="1"/>
  <c r="AD48" i="24"/>
  <c r="AK42" i="21"/>
  <c r="K42" i="24"/>
  <c r="AK42" i="24" s="1"/>
  <c r="AJ42" i="21"/>
  <c r="J42" i="24"/>
  <c r="AJ42" i="24" s="1"/>
  <c r="AD42" i="21"/>
  <c r="D42" i="24"/>
  <c r="AI42" i="21"/>
  <c r="I42" i="24"/>
  <c r="AI42" i="24" s="1"/>
  <c r="AE42" i="21"/>
  <c r="E42" i="24"/>
  <c r="AE42" i="24" s="1"/>
  <c r="L46" i="21"/>
  <c r="L46" i="24" s="1"/>
  <c r="L42" i="21"/>
  <c r="AL41" i="21"/>
  <c r="AL42" i="21" l="1"/>
  <c r="L42" i="24"/>
  <c r="AL42" i="24" s="1"/>
  <c r="AM48" i="24" s="1"/>
  <c r="AD42" i="24"/>
  <c r="K45" i="31" l="1"/>
  <c r="K45" i="37" s="1"/>
  <c r="J45" i="31"/>
  <c r="J45" i="37" s="1"/>
  <c r="I45" i="31"/>
  <c r="I45" i="37" s="1"/>
  <c r="H45" i="31"/>
  <c r="H45" i="37" s="1"/>
  <c r="G45" i="31"/>
  <c r="G45" i="37" s="1"/>
  <c r="F45" i="31"/>
  <c r="F45" i="37" s="1"/>
  <c r="E45" i="31"/>
  <c r="K44" i="31"/>
  <c r="K44" i="37" s="1"/>
  <c r="J44" i="31"/>
  <c r="J44" i="37" s="1"/>
  <c r="I44" i="31"/>
  <c r="I44" i="37" s="1"/>
  <c r="H44" i="31"/>
  <c r="H44" i="37" s="1"/>
  <c r="G44" i="31"/>
  <c r="G44" i="37" s="1"/>
  <c r="F44" i="31"/>
  <c r="F44" i="37" s="1"/>
  <c r="E44" i="31"/>
  <c r="K41" i="31"/>
  <c r="K41" i="37" s="1"/>
  <c r="AK41" i="37" s="1"/>
  <c r="J41" i="31"/>
  <c r="J41" i="37" s="1"/>
  <c r="AJ41" i="37" s="1"/>
  <c r="I41" i="31"/>
  <c r="I41" i="37" s="1"/>
  <c r="AI41" i="37" s="1"/>
  <c r="H41" i="31"/>
  <c r="H41" i="37" s="1"/>
  <c r="AH41" i="37" s="1"/>
  <c r="G41" i="31"/>
  <c r="G41" i="37" s="1"/>
  <c r="AG41" i="37" s="1"/>
  <c r="F41" i="31"/>
  <c r="F41" i="37" s="1"/>
  <c r="AF41" i="37" s="1"/>
  <c r="E41" i="31"/>
  <c r="E41" i="37" s="1"/>
  <c r="AE41" i="37" s="1"/>
  <c r="K40" i="31"/>
  <c r="K40" i="37" s="1"/>
  <c r="AK40" i="37" s="1"/>
  <c r="J40" i="31"/>
  <c r="J40" i="37" s="1"/>
  <c r="AJ40" i="37" s="1"/>
  <c r="I40" i="31"/>
  <c r="I40" i="37" s="1"/>
  <c r="AI40" i="37" s="1"/>
  <c r="H40" i="31"/>
  <c r="H40" i="37" s="1"/>
  <c r="AH40" i="37" s="1"/>
  <c r="G40" i="31"/>
  <c r="G40" i="37" s="1"/>
  <c r="AG40" i="37" s="1"/>
  <c r="F40" i="31"/>
  <c r="F40" i="37" s="1"/>
  <c r="AF40" i="37" s="1"/>
  <c r="E40" i="31"/>
  <c r="E40" i="37" s="1"/>
  <c r="AE40" i="37" s="1"/>
  <c r="D45" i="31"/>
  <c r="D44" i="31"/>
  <c r="D41" i="31"/>
  <c r="D41" i="37" s="1"/>
  <c r="AD41" i="37" s="1"/>
  <c r="D40" i="31"/>
  <c r="D40" i="37" s="1"/>
  <c r="AD40" i="37" s="1"/>
  <c r="E45" i="33" l="1"/>
  <c r="E45" i="37"/>
  <c r="D44" i="33"/>
  <c r="D44" i="37"/>
  <c r="E44" i="33"/>
  <c r="E44" i="37"/>
  <c r="D45" i="33"/>
  <c r="D45" i="37"/>
  <c r="E40" i="33"/>
  <c r="D40" i="33"/>
  <c r="AD40" i="33" s="1"/>
  <c r="D41" i="33"/>
  <c r="AD41" i="33" s="1"/>
  <c r="H46" i="31"/>
  <c r="H46" i="37" s="1"/>
  <c r="E42" i="31"/>
  <c r="H42" i="31"/>
  <c r="H45" i="33"/>
  <c r="F42" i="31"/>
  <c r="F42" i="37" s="1"/>
  <c r="AF42" i="37" s="1"/>
  <c r="F40" i="33"/>
  <c r="AF40" i="33" s="1"/>
  <c r="J42" i="31"/>
  <c r="J42" i="37" s="1"/>
  <c r="AJ42" i="37" s="1"/>
  <c r="J40" i="33"/>
  <c r="AJ40" i="33" s="1"/>
  <c r="G42" i="31"/>
  <c r="G42" i="37" s="1"/>
  <c r="AG42" i="37" s="1"/>
  <c r="G48" i="31"/>
  <c r="G48" i="37" s="1"/>
  <c r="AG48" i="37" s="1"/>
  <c r="G41" i="33"/>
  <c r="AG41" i="33" s="1"/>
  <c r="K42" i="31"/>
  <c r="K42" i="37" s="1"/>
  <c r="AK42" i="37" s="1"/>
  <c r="K48" i="31"/>
  <c r="K48" i="37" s="1"/>
  <c r="AK48" i="37" s="1"/>
  <c r="K41" i="33"/>
  <c r="AK41" i="33" s="1"/>
  <c r="I44" i="33"/>
  <c r="F45" i="33"/>
  <c r="J45" i="33"/>
  <c r="G40" i="33"/>
  <c r="AG40" i="33" s="1"/>
  <c r="K40" i="33"/>
  <c r="AK40" i="33" s="1"/>
  <c r="H48" i="31"/>
  <c r="H48" i="37" s="1"/>
  <c r="AH48" i="37" s="1"/>
  <c r="H41" i="33"/>
  <c r="AH41" i="33" s="1"/>
  <c r="F44" i="33"/>
  <c r="J44" i="33"/>
  <c r="G45" i="33"/>
  <c r="K45" i="33"/>
  <c r="H40" i="33"/>
  <c r="AH40" i="33" s="1"/>
  <c r="E41" i="33"/>
  <c r="E48" i="31"/>
  <c r="I41" i="33"/>
  <c r="AI41" i="33" s="1"/>
  <c r="I48" i="31"/>
  <c r="I48" i="37" s="1"/>
  <c r="AI48" i="37" s="1"/>
  <c r="G44" i="33"/>
  <c r="K44" i="33"/>
  <c r="D48" i="31"/>
  <c r="AE40" i="33"/>
  <c r="I40" i="33"/>
  <c r="AI40" i="33" s="1"/>
  <c r="F48" i="31"/>
  <c r="F48" i="37" s="1"/>
  <c r="AF48" i="37" s="1"/>
  <c r="F41" i="33"/>
  <c r="AF41" i="33" s="1"/>
  <c r="J41" i="33"/>
  <c r="AJ41" i="33" s="1"/>
  <c r="J48" i="31"/>
  <c r="J48" i="37" s="1"/>
  <c r="AJ48" i="37" s="1"/>
  <c r="I42" i="31"/>
  <c r="I42" i="37" s="1"/>
  <c r="AI42" i="37" s="1"/>
  <c r="H44" i="33"/>
  <c r="I45" i="33"/>
  <c r="E46" i="31"/>
  <c r="I46" i="31"/>
  <c r="I46" i="37" s="1"/>
  <c r="F46" i="31"/>
  <c r="F46" i="37" s="1"/>
  <c r="J46" i="31"/>
  <c r="J46" i="37" s="1"/>
  <c r="G46" i="31"/>
  <c r="G46" i="37" s="1"/>
  <c r="K46" i="31"/>
  <c r="K46" i="37" s="1"/>
  <c r="L44" i="31"/>
  <c r="L45" i="31"/>
  <c r="L45" i="37" s="1"/>
  <c r="D46" i="31"/>
  <c r="K2" i="31"/>
  <c r="K2" i="21"/>
  <c r="AC48" i="31"/>
  <c r="AL26" i="31"/>
  <c r="AK26" i="31"/>
  <c r="AJ26" i="31"/>
  <c r="AI26" i="31"/>
  <c r="AH26" i="31"/>
  <c r="AG26" i="31"/>
  <c r="AF26" i="31"/>
  <c r="AE26" i="31"/>
  <c r="AD26" i="31"/>
  <c r="AC48" i="21"/>
  <c r="AL26" i="21"/>
  <c r="AK26" i="21"/>
  <c r="AJ26" i="21"/>
  <c r="AI26" i="21"/>
  <c r="AH26" i="21"/>
  <c r="AG26" i="21"/>
  <c r="AF26" i="21"/>
  <c r="AE26" i="21"/>
  <c r="AD26" i="21"/>
  <c r="K2" i="9"/>
  <c r="D128" i="32"/>
  <c r="D48" i="33" l="1"/>
  <c r="D48" i="37"/>
  <c r="AD48" i="37" s="1"/>
  <c r="E48" i="33"/>
  <c r="AE48" i="33" s="1"/>
  <c r="E48" i="37"/>
  <c r="AE48" i="37" s="1"/>
  <c r="D46" i="33"/>
  <c r="D46" i="37"/>
  <c r="E46" i="33"/>
  <c r="E46" i="37"/>
  <c r="H42" i="33"/>
  <c r="AH42" i="33" s="1"/>
  <c r="H42" i="37"/>
  <c r="AH42" i="37" s="1"/>
  <c r="L44" i="33"/>
  <c r="L44" i="37"/>
  <c r="E42" i="33"/>
  <c r="AE42" i="33" s="1"/>
  <c r="E42" i="37"/>
  <c r="AE42" i="37" s="1"/>
  <c r="H46" i="33"/>
  <c r="G48" i="33"/>
  <c r="AG48" i="33" s="1"/>
  <c r="F48" i="33"/>
  <c r="AF48" i="33" s="1"/>
  <c r="G42" i="33"/>
  <c r="AG42" i="33" s="1"/>
  <c r="G46" i="33"/>
  <c r="AD48" i="33"/>
  <c r="H48" i="33"/>
  <c r="AH48" i="33" s="1"/>
  <c r="L46" i="31"/>
  <c r="L45" i="33"/>
  <c r="J46" i="33"/>
  <c r="I42" i="33"/>
  <c r="AI42" i="33" s="1"/>
  <c r="I48" i="33"/>
  <c r="AI48" i="33" s="1"/>
  <c r="AE41" i="33"/>
  <c r="L44" i="27"/>
  <c r="F42" i="33"/>
  <c r="AF42" i="33" s="1"/>
  <c r="L43" i="27"/>
  <c r="F46" i="33"/>
  <c r="K48" i="33"/>
  <c r="AK48" i="33" s="1"/>
  <c r="J42" i="33"/>
  <c r="AJ42" i="33" s="1"/>
  <c r="K46" i="33"/>
  <c r="I46" i="33"/>
  <c r="J48" i="33"/>
  <c r="AJ48" i="33" s="1"/>
  <c r="K42" i="33"/>
  <c r="AK42" i="33" s="1"/>
  <c r="L44" i="32"/>
  <c r="L46" i="33" l="1"/>
  <c r="L46" i="37"/>
  <c r="D33" i="31"/>
  <c r="D33" i="37" s="1"/>
  <c r="AD33" i="37" s="1"/>
  <c r="K32" i="31"/>
  <c r="K32" i="37" s="1"/>
  <c r="J32" i="31"/>
  <c r="J32" i="37" s="1"/>
  <c r="I32" i="31"/>
  <c r="I32" i="37" s="1"/>
  <c r="H32" i="31"/>
  <c r="H32" i="37" s="1"/>
  <c r="G32" i="31"/>
  <c r="G32" i="37" s="1"/>
  <c r="F32" i="31"/>
  <c r="F32" i="37" s="1"/>
  <c r="E32" i="31"/>
  <c r="E32" i="37" s="1"/>
  <c r="D32" i="31"/>
  <c r="D32" i="37" s="1"/>
  <c r="K31" i="31"/>
  <c r="K31" i="37" s="1"/>
  <c r="AK31" i="37" s="1"/>
  <c r="J31" i="31"/>
  <c r="J31" i="37" s="1"/>
  <c r="AJ31" i="37" s="1"/>
  <c r="I31" i="31"/>
  <c r="I31" i="37" s="1"/>
  <c r="AI31" i="37" s="1"/>
  <c r="H31" i="31"/>
  <c r="H31" i="37" s="1"/>
  <c r="AH31" i="37" s="1"/>
  <c r="G31" i="31"/>
  <c r="G31" i="37" s="1"/>
  <c r="AG31" i="37" s="1"/>
  <c r="F31" i="31"/>
  <c r="F31" i="37" s="1"/>
  <c r="AF31" i="37" s="1"/>
  <c r="E31" i="31"/>
  <c r="E31" i="37" s="1"/>
  <c r="AE31" i="37" s="1"/>
  <c r="D31" i="31"/>
  <c r="D31" i="37" s="1"/>
  <c r="AD31" i="37" s="1"/>
  <c r="K131" i="31"/>
  <c r="K129" i="37" s="1"/>
  <c r="J131" i="31"/>
  <c r="J129" i="37" s="1"/>
  <c r="I131" i="31"/>
  <c r="I129" i="37" s="1"/>
  <c r="H131" i="31"/>
  <c r="H129" i="37" s="1"/>
  <c r="G131" i="31"/>
  <c r="G129" i="37" s="1"/>
  <c r="F131" i="31"/>
  <c r="F129" i="37" s="1"/>
  <c r="E131" i="31"/>
  <c r="E129" i="37" s="1"/>
  <c r="D131" i="31"/>
  <c r="D129" i="37" s="1"/>
  <c r="J132" i="31"/>
  <c r="J130" i="37" s="1"/>
  <c r="I132" i="31"/>
  <c r="I130" i="37" s="1"/>
  <c r="H132" i="31"/>
  <c r="H130" i="37" s="1"/>
  <c r="F132" i="31"/>
  <c r="F130" i="37" s="1"/>
  <c r="D132" i="31"/>
  <c r="D130" i="37" s="1"/>
  <c r="L45" i="32"/>
  <c r="J47" i="32"/>
  <c r="K33" i="9"/>
  <c r="J33" i="9"/>
  <c r="I33" i="9"/>
  <c r="H33" i="9"/>
  <c r="G33" i="9"/>
  <c r="F33" i="9"/>
  <c r="E33" i="9"/>
  <c r="D33" i="9"/>
  <c r="K32" i="9"/>
  <c r="J32" i="9"/>
  <c r="I32" i="9"/>
  <c r="H32" i="9"/>
  <c r="G32" i="9"/>
  <c r="F32" i="9"/>
  <c r="E32" i="9"/>
  <c r="D32" i="9"/>
  <c r="K31" i="9"/>
  <c r="K34" i="9" s="1"/>
  <c r="J31" i="9"/>
  <c r="I31" i="9"/>
  <c r="H31" i="9"/>
  <c r="H34" i="9" s="1"/>
  <c r="G31" i="9"/>
  <c r="G34" i="9" s="1"/>
  <c r="F31" i="9"/>
  <c r="E31" i="9"/>
  <c r="D31" i="9"/>
  <c r="K33" i="21"/>
  <c r="J33" i="21"/>
  <c r="I33" i="21"/>
  <c r="H33" i="21"/>
  <c r="G33" i="21"/>
  <c r="F33" i="21"/>
  <c r="E33" i="21"/>
  <c r="K32" i="21"/>
  <c r="J32" i="21"/>
  <c r="I32" i="21"/>
  <c r="H32" i="21"/>
  <c r="G32" i="21"/>
  <c r="F32" i="21"/>
  <c r="E32" i="21"/>
  <c r="K31" i="21"/>
  <c r="J31" i="21"/>
  <c r="I31" i="21"/>
  <c r="H31" i="21"/>
  <c r="G31" i="21"/>
  <c r="F31" i="21"/>
  <c r="E31" i="21"/>
  <c r="D33" i="21"/>
  <c r="D32" i="21"/>
  <c r="D31" i="21"/>
  <c r="D31" i="24" s="1"/>
  <c r="I133" i="31" l="1"/>
  <c r="I131" i="37" s="1"/>
  <c r="D133" i="31"/>
  <c r="D131" i="37" s="1"/>
  <c r="L131" i="31"/>
  <c r="L129" i="37" s="1"/>
  <c r="H133" i="31"/>
  <c r="H131" i="37" s="1"/>
  <c r="E32" i="32"/>
  <c r="E132" i="31"/>
  <c r="E130" i="37" s="1"/>
  <c r="F133" i="31"/>
  <c r="F131" i="37" s="1"/>
  <c r="J133" i="31"/>
  <c r="J131" i="37" s="1"/>
  <c r="G32" i="32"/>
  <c r="G132" i="31"/>
  <c r="G130" i="37" s="1"/>
  <c r="K32" i="32"/>
  <c r="K132" i="31"/>
  <c r="K130" i="37" s="1"/>
  <c r="D31" i="33"/>
  <c r="D32" i="33"/>
  <c r="D32" i="24"/>
  <c r="H32" i="24"/>
  <c r="D33" i="24"/>
  <c r="H31" i="24"/>
  <c r="AH31" i="24" s="1"/>
  <c r="G31" i="24"/>
  <c r="AG31" i="24" s="1"/>
  <c r="K31" i="24"/>
  <c r="AK31" i="24" s="1"/>
  <c r="I32" i="24"/>
  <c r="I31" i="24"/>
  <c r="AI31" i="24" s="1"/>
  <c r="F32" i="24"/>
  <c r="J32" i="24"/>
  <c r="F31" i="24"/>
  <c r="AF31" i="24" s="1"/>
  <c r="J31" i="24"/>
  <c r="AJ31" i="24" s="1"/>
  <c r="G32" i="24"/>
  <c r="K32" i="24"/>
  <c r="D34" i="9"/>
  <c r="AJ33" i="21"/>
  <c r="J33" i="24"/>
  <c r="AJ33" i="24" s="1"/>
  <c r="E31" i="24"/>
  <c r="AE31" i="24" s="1"/>
  <c r="AK33" i="21"/>
  <c r="K33" i="24"/>
  <c r="AK33" i="24" s="1"/>
  <c r="E31" i="33"/>
  <c r="AE33" i="21"/>
  <c r="E33" i="24"/>
  <c r="AE33" i="24" s="1"/>
  <c r="AI33" i="21"/>
  <c r="I33" i="24"/>
  <c r="AI33" i="24" s="1"/>
  <c r="E32" i="24"/>
  <c r="AF33" i="21"/>
  <c r="F33" i="24"/>
  <c r="AF33" i="24" s="1"/>
  <c r="D33" i="33"/>
  <c r="AG33" i="21"/>
  <c r="G33" i="24"/>
  <c r="AG33" i="24" s="1"/>
  <c r="E32" i="33"/>
  <c r="AD31" i="24"/>
  <c r="AH33" i="21"/>
  <c r="H33" i="24"/>
  <c r="AH33" i="24" s="1"/>
  <c r="H31" i="33"/>
  <c r="AH31" i="33" s="1"/>
  <c r="I31" i="33"/>
  <c r="AI31" i="33" s="1"/>
  <c r="G31" i="33"/>
  <c r="AG31" i="33" s="1"/>
  <c r="K31" i="33"/>
  <c r="AK31" i="33" s="1"/>
  <c r="G32" i="33"/>
  <c r="K32" i="33"/>
  <c r="H32" i="33"/>
  <c r="I32" i="33"/>
  <c r="F31" i="33"/>
  <c r="AF31" i="33" s="1"/>
  <c r="J31" i="33"/>
  <c r="AJ31" i="33" s="1"/>
  <c r="F32" i="33"/>
  <c r="J32" i="33"/>
  <c r="J34" i="9"/>
  <c r="E34" i="9"/>
  <c r="I34" i="9"/>
  <c r="F34" i="9"/>
  <c r="AD33" i="21"/>
  <c r="L33" i="21"/>
  <c r="AI31" i="21"/>
  <c r="I34" i="21"/>
  <c r="L32" i="21"/>
  <c r="G34" i="21"/>
  <c r="AG31" i="21"/>
  <c r="K34" i="21"/>
  <c r="AK31" i="21"/>
  <c r="H34" i="21"/>
  <c r="AH31" i="21"/>
  <c r="AE31" i="21"/>
  <c r="E34" i="21"/>
  <c r="D34" i="21"/>
  <c r="AD31" i="21"/>
  <c r="L31" i="21"/>
  <c r="F34" i="21"/>
  <c r="AF31" i="21"/>
  <c r="J34" i="21"/>
  <c r="AJ31" i="21"/>
  <c r="G33" i="31"/>
  <c r="G33" i="37" s="1"/>
  <c r="AG33" i="37" s="1"/>
  <c r="K33" i="31"/>
  <c r="K33" i="37" s="1"/>
  <c r="AK33" i="37" s="1"/>
  <c r="H33" i="31"/>
  <c r="H33" i="37" s="1"/>
  <c r="AH33" i="37" s="1"/>
  <c r="E33" i="31"/>
  <c r="E33" i="37" s="1"/>
  <c r="AE33" i="37" s="1"/>
  <c r="I33" i="31"/>
  <c r="I33" i="37" s="1"/>
  <c r="AI33" i="37" s="1"/>
  <c r="F33" i="31"/>
  <c r="F33" i="37" s="1"/>
  <c r="AF33" i="37" s="1"/>
  <c r="J33" i="31"/>
  <c r="J33" i="37" s="1"/>
  <c r="AJ33" i="37" s="1"/>
  <c r="AG31" i="31"/>
  <c r="K47" i="32"/>
  <c r="L32" i="31"/>
  <c r="G47" i="32"/>
  <c r="AE31" i="31"/>
  <c r="I47" i="32"/>
  <c r="D34" i="31"/>
  <c r="D34" i="37" s="1"/>
  <c r="AD34" i="37" s="1"/>
  <c r="L31" i="31"/>
  <c r="L31" i="37" s="1"/>
  <c r="AL31" i="37" s="1"/>
  <c r="AD31" i="31"/>
  <c r="H47" i="32"/>
  <c r="AD33" i="31"/>
  <c r="AF31" i="31"/>
  <c r="AJ31" i="31"/>
  <c r="L30" i="32"/>
  <c r="H32" i="32"/>
  <c r="L36" i="32"/>
  <c r="L39" i="32"/>
  <c r="L43" i="32"/>
  <c r="D47" i="32"/>
  <c r="I32" i="32"/>
  <c r="E47" i="32"/>
  <c r="L31" i="32"/>
  <c r="F32" i="32"/>
  <c r="J32" i="32"/>
  <c r="L35" i="32"/>
  <c r="L38" i="32"/>
  <c r="L40" i="32"/>
  <c r="F47" i="32"/>
  <c r="D32" i="32"/>
  <c r="L32" i="33" l="1"/>
  <c r="L32" i="37"/>
  <c r="D34" i="33"/>
  <c r="AD34" i="33" s="1"/>
  <c r="AD33" i="33"/>
  <c r="K133" i="31"/>
  <c r="K131" i="37" s="1"/>
  <c r="AD31" i="33"/>
  <c r="AE31" i="33"/>
  <c r="G133" i="31"/>
  <c r="G131" i="37" s="1"/>
  <c r="E133" i="31"/>
  <c r="E131" i="37" s="1"/>
  <c r="L132" i="31"/>
  <c r="L130" i="37" s="1"/>
  <c r="AD33" i="24"/>
  <c r="D34" i="24"/>
  <c r="L38" i="27"/>
  <c r="AL31" i="21"/>
  <c r="AJ34" i="21"/>
  <c r="J34" i="24"/>
  <c r="AJ34" i="24" s="1"/>
  <c r="AH34" i="21"/>
  <c r="H34" i="24"/>
  <c r="AH34" i="24" s="1"/>
  <c r="AG34" i="21"/>
  <c r="G34" i="24"/>
  <c r="AG34" i="24" s="1"/>
  <c r="AL33" i="21"/>
  <c r="AK34" i="21"/>
  <c r="K34" i="24"/>
  <c r="AK34" i="24" s="1"/>
  <c r="AI34" i="21"/>
  <c r="I34" i="24"/>
  <c r="AI34" i="24" s="1"/>
  <c r="AF34" i="21"/>
  <c r="F34" i="24"/>
  <c r="AF34" i="24" s="1"/>
  <c r="AE34" i="21"/>
  <c r="E34" i="24"/>
  <c r="AE34" i="24" s="1"/>
  <c r="E34" i="31"/>
  <c r="E34" i="37" s="1"/>
  <c r="AE34" i="37" s="1"/>
  <c r="E33" i="33"/>
  <c r="AL31" i="31"/>
  <c r="L31" i="33"/>
  <c r="AL31" i="33" s="1"/>
  <c r="AH33" i="31"/>
  <c r="H33" i="33"/>
  <c r="AH33" i="33" s="1"/>
  <c r="AI33" i="31"/>
  <c r="I33" i="33"/>
  <c r="AI33" i="33" s="1"/>
  <c r="AG33" i="31"/>
  <c r="G33" i="33"/>
  <c r="AG33" i="33" s="1"/>
  <c r="J34" i="31"/>
  <c r="J34" i="37" s="1"/>
  <c r="AJ34" i="37" s="1"/>
  <c r="J33" i="33"/>
  <c r="AJ33" i="33" s="1"/>
  <c r="F34" i="31"/>
  <c r="F34" i="37" s="1"/>
  <c r="AF34" i="37" s="1"/>
  <c r="F33" i="33"/>
  <c r="AF33" i="33" s="1"/>
  <c r="AK33" i="31"/>
  <c r="K33" i="33"/>
  <c r="AK33" i="33" s="1"/>
  <c r="L37" i="27"/>
  <c r="L34" i="9"/>
  <c r="AD34" i="21"/>
  <c r="L34" i="21"/>
  <c r="AJ33" i="31"/>
  <c r="G34" i="31"/>
  <c r="G34" i="37" s="1"/>
  <c r="AG34" i="37" s="1"/>
  <c r="AF33" i="31"/>
  <c r="AE33" i="31"/>
  <c r="L33" i="31"/>
  <c r="L33" i="37" s="1"/>
  <c r="AL33" i="37" s="1"/>
  <c r="K34" i="31"/>
  <c r="K34" i="37" s="1"/>
  <c r="AK34" i="37" s="1"/>
  <c r="AK31" i="31"/>
  <c r="H34" i="31"/>
  <c r="H34" i="37" s="1"/>
  <c r="AH34" i="37" s="1"/>
  <c r="AH31" i="31"/>
  <c r="AD34" i="31"/>
  <c r="I34" i="31"/>
  <c r="I34" i="37" s="1"/>
  <c r="AI34" i="37" s="1"/>
  <c r="AI31" i="31"/>
  <c r="L32" i="32"/>
  <c r="L47" i="32"/>
  <c r="L133" i="31" l="1"/>
  <c r="L131" i="37" s="1"/>
  <c r="AD34" i="24"/>
  <c r="AL34" i="21"/>
  <c r="L34" i="24"/>
  <c r="AL34" i="24" s="1"/>
  <c r="AG34" i="31"/>
  <c r="G34" i="33"/>
  <c r="AG34" i="33" s="1"/>
  <c r="AF34" i="31"/>
  <c r="F34" i="33"/>
  <c r="AF34" i="33" s="1"/>
  <c r="AI34" i="31"/>
  <c r="I34" i="33"/>
  <c r="AI34" i="33" s="1"/>
  <c r="AJ34" i="31"/>
  <c r="J34" i="33"/>
  <c r="AJ34" i="33" s="1"/>
  <c r="AK34" i="31"/>
  <c r="K34" i="33"/>
  <c r="AK34" i="33" s="1"/>
  <c r="AL33" i="31"/>
  <c r="L33" i="33"/>
  <c r="AL33" i="33" s="1"/>
  <c r="L39" i="27"/>
  <c r="AE33" i="33"/>
  <c r="AH34" i="31"/>
  <c r="H34" i="33"/>
  <c r="AH34" i="33" s="1"/>
  <c r="AE34" i="31"/>
  <c r="E34" i="33"/>
  <c r="L34" i="31"/>
  <c r="L34" i="37" s="1"/>
  <c r="AL34" i="37" s="1"/>
  <c r="K46" i="22"/>
  <c r="G46" i="22"/>
  <c r="E46" i="22"/>
  <c r="D46" i="22"/>
  <c r="K129" i="21"/>
  <c r="K129" i="33" s="1"/>
  <c r="J129" i="21"/>
  <c r="J129" i="33" s="1"/>
  <c r="I129" i="21"/>
  <c r="I129" i="33" s="1"/>
  <c r="H129" i="21"/>
  <c r="H129" i="33" s="1"/>
  <c r="G129" i="21"/>
  <c r="G129" i="33" s="1"/>
  <c r="F129" i="21"/>
  <c r="F129" i="33" s="1"/>
  <c r="E129" i="21"/>
  <c r="D129" i="21"/>
  <c r="D129" i="33" s="1"/>
  <c r="J130" i="21"/>
  <c r="J130" i="33" s="1"/>
  <c r="I130" i="21"/>
  <c r="I130" i="33" s="1"/>
  <c r="H130" i="21"/>
  <c r="H130" i="33" s="1"/>
  <c r="F130" i="21"/>
  <c r="F130" i="33" s="1"/>
  <c r="E130" i="21"/>
  <c r="L44" i="22"/>
  <c r="J46" i="22"/>
  <c r="E129" i="33" l="1"/>
  <c r="E130" i="33"/>
  <c r="D32" i="22"/>
  <c r="D130" i="21"/>
  <c r="L129" i="21"/>
  <c r="L129" i="33" s="1"/>
  <c r="H131" i="21"/>
  <c r="H131" i="33" s="1"/>
  <c r="E131" i="21"/>
  <c r="I131" i="21"/>
  <c r="I131" i="33" s="1"/>
  <c r="F131" i="21"/>
  <c r="F131" i="33" s="1"/>
  <c r="J131" i="21"/>
  <c r="J131" i="33" s="1"/>
  <c r="G130" i="21"/>
  <c r="G130" i="33" s="1"/>
  <c r="K130" i="21"/>
  <c r="AL34" i="31"/>
  <c r="L34" i="33"/>
  <c r="AL34" i="33" s="1"/>
  <c r="L40" i="27"/>
  <c r="AE34" i="33"/>
  <c r="L36" i="22"/>
  <c r="L30" i="22"/>
  <c r="L43" i="22"/>
  <c r="H46" i="22"/>
  <c r="I46" i="22"/>
  <c r="L31" i="22"/>
  <c r="L35" i="22"/>
  <c r="L38" i="22"/>
  <c r="L40" i="22"/>
  <c r="F46" i="22"/>
  <c r="L39" i="22"/>
  <c r="K131" i="21" l="1"/>
  <c r="K131" i="33" s="1"/>
  <c r="K130" i="33"/>
  <c r="D131" i="21"/>
  <c r="D131" i="33" s="1"/>
  <c r="D130" i="33"/>
  <c r="E131" i="33"/>
  <c r="G131" i="21"/>
  <c r="G131" i="33" s="1"/>
  <c r="L130" i="21"/>
  <c r="L130" i="33" s="1"/>
  <c r="L32" i="22"/>
  <c r="L46" i="22"/>
  <c r="L131" i="21" l="1"/>
  <c r="L131" i="33" s="1"/>
  <c r="K129" i="9"/>
  <c r="K129" i="24" s="1"/>
  <c r="J129" i="9"/>
  <c r="J129" i="24" s="1"/>
  <c r="I129" i="9"/>
  <c r="I129" i="24" s="1"/>
  <c r="H129" i="9"/>
  <c r="H129" i="24" s="1"/>
  <c r="G129" i="9"/>
  <c r="G129" i="24" s="1"/>
  <c r="F129" i="9"/>
  <c r="F129" i="24" s="1"/>
  <c r="E129" i="9"/>
  <c r="E129" i="24" s="1"/>
  <c r="K130" i="9"/>
  <c r="K130" i="24" s="1"/>
  <c r="J130" i="9"/>
  <c r="J130" i="24" s="1"/>
  <c r="I130" i="9"/>
  <c r="I130" i="24" s="1"/>
  <c r="H130" i="9"/>
  <c r="H130" i="24" s="1"/>
  <c r="G130" i="9"/>
  <c r="G130" i="24" s="1"/>
  <c r="F130" i="9"/>
  <c r="F130" i="24" s="1"/>
  <c r="E130" i="9"/>
  <c r="E130" i="24" s="1"/>
  <c r="D130" i="9"/>
  <c r="D130" i="24" l="1"/>
  <c r="L130" i="9"/>
  <c r="L130" i="24" s="1"/>
  <c r="F131" i="9"/>
  <c r="F131" i="24" s="1"/>
  <c r="J131" i="9"/>
  <c r="J131" i="24" s="1"/>
  <c r="G131" i="9"/>
  <c r="G131" i="24" s="1"/>
  <c r="K131" i="9"/>
  <c r="K131" i="24" s="1"/>
  <c r="H131" i="9"/>
  <c r="H131" i="24" s="1"/>
  <c r="D129" i="9"/>
  <c r="E131" i="9"/>
  <c r="E131" i="24" s="1"/>
  <c r="I131" i="9"/>
  <c r="I131" i="24" s="1"/>
  <c r="J46" i="11"/>
  <c r="H46" i="11"/>
  <c r="F46" i="11"/>
  <c r="K32" i="11"/>
  <c r="G32" i="11"/>
  <c r="J32" i="11"/>
  <c r="I32" i="11"/>
  <c r="F32" i="11"/>
  <c r="E32" i="11"/>
  <c r="L129" i="9" l="1"/>
  <c r="L129" i="24" s="1"/>
  <c r="D129" i="24"/>
  <c r="D131" i="9"/>
  <c r="L31" i="11"/>
  <c r="L35" i="11"/>
  <c r="L38" i="11"/>
  <c r="L44" i="11"/>
  <c r="G46" i="11"/>
  <c r="K46" i="11"/>
  <c r="E46" i="11"/>
  <c r="I46" i="11"/>
  <c r="L40" i="11"/>
  <c r="L30" i="11"/>
  <c r="D32" i="11"/>
  <c r="H32" i="11"/>
  <c r="L36" i="11"/>
  <c r="L39" i="11"/>
  <c r="L43" i="11"/>
  <c r="D46" i="11"/>
  <c r="C82" i="1"/>
  <c r="C82" i="18"/>
  <c r="C82" i="28"/>
  <c r="D83" i="28"/>
  <c r="D83" i="34" s="1"/>
  <c r="E83" i="28"/>
  <c r="E83" i="34" s="1"/>
  <c r="F83" i="28"/>
  <c r="F83" i="34" s="1"/>
  <c r="G83" i="28"/>
  <c r="G83" i="34" s="1"/>
  <c r="H83" i="28"/>
  <c r="H83" i="34" s="1"/>
  <c r="I83" i="28"/>
  <c r="I83" i="34" s="1"/>
  <c r="J83" i="28"/>
  <c r="J83" i="34" s="1"/>
  <c r="K83" i="28"/>
  <c r="K83" i="34" s="1"/>
  <c r="F81" i="28"/>
  <c r="F81" i="34" s="1"/>
  <c r="D81" i="28"/>
  <c r="D81" i="34" s="1"/>
  <c r="E81" i="28"/>
  <c r="E81" i="34" s="1"/>
  <c r="K126" i="28"/>
  <c r="K124" i="34" s="1"/>
  <c r="J126" i="28"/>
  <c r="J124" i="34" s="1"/>
  <c r="I126" i="28"/>
  <c r="I124" i="34" s="1"/>
  <c r="H126" i="28"/>
  <c r="H124" i="34" s="1"/>
  <c r="G126" i="28"/>
  <c r="G124" i="34" s="1"/>
  <c r="F126" i="28"/>
  <c r="F124" i="34" s="1"/>
  <c r="E126" i="28"/>
  <c r="E124" i="34" s="1"/>
  <c r="K125" i="28"/>
  <c r="K123" i="34" s="1"/>
  <c r="J125" i="28"/>
  <c r="J123" i="34" s="1"/>
  <c r="I125" i="28"/>
  <c r="I123" i="34" s="1"/>
  <c r="H125" i="28"/>
  <c r="G125" i="28"/>
  <c r="G123" i="34" s="1"/>
  <c r="F125" i="28"/>
  <c r="F123" i="34" s="1"/>
  <c r="E125" i="28"/>
  <c r="E123" i="34" s="1"/>
  <c r="D126" i="28"/>
  <c r="D124" i="34" s="1"/>
  <c r="D125" i="28"/>
  <c r="D123" i="34" s="1"/>
  <c r="K2" i="1"/>
  <c r="L158" i="26" l="1"/>
  <c r="H123" i="34"/>
  <c r="H127" i="28"/>
  <c r="H125" i="34" s="1"/>
  <c r="L159" i="26"/>
  <c r="G127" i="28"/>
  <c r="G125" i="34" s="1"/>
  <c r="L131" i="9"/>
  <c r="L131" i="24" s="1"/>
  <c r="D131" i="24"/>
  <c r="L32" i="11"/>
  <c r="L46" i="11"/>
  <c r="K127" i="28"/>
  <c r="K125" i="34" s="1"/>
  <c r="L125" i="28"/>
  <c r="L123" i="34" s="1"/>
  <c r="L126" i="28"/>
  <c r="L124" i="34" s="1"/>
  <c r="J127" i="28"/>
  <c r="J125" i="34" s="1"/>
  <c r="I127" i="28"/>
  <c r="I125" i="34" s="1"/>
  <c r="F127" i="28"/>
  <c r="F125" i="34" s="1"/>
  <c r="E127" i="28"/>
  <c r="E125" i="34" s="1"/>
  <c r="D127" i="28"/>
  <c r="D125" i="34" s="1"/>
  <c r="L160" i="26" l="1"/>
  <c r="L127" i="28"/>
  <c r="L125" i="34" s="1"/>
  <c r="K30" i="18" l="1"/>
  <c r="J30" i="18"/>
  <c r="I30" i="18"/>
  <c r="H30" i="18"/>
  <c r="G30" i="18"/>
  <c r="F30" i="18"/>
  <c r="E30" i="18"/>
  <c r="K29" i="18"/>
  <c r="J29" i="18"/>
  <c r="I29" i="18"/>
  <c r="H29" i="18"/>
  <c r="G29" i="18"/>
  <c r="F29" i="18"/>
  <c r="E29" i="18"/>
  <c r="K123" i="18"/>
  <c r="J123" i="18"/>
  <c r="I123" i="18"/>
  <c r="I123" i="30" s="1"/>
  <c r="H123" i="18"/>
  <c r="G123" i="18"/>
  <c r="F123" i="18"/>
  <c r="E123" i="18"/>
  <c r="D123" i="18"/>
  <c r="K124" i="18"/>
  <c r="K124" i="30" s="1"/>
  <c r="J124" i="18"/>
  <c r="J124" i="30" s="1"/>
  <c r="I124" i="18"/>
  <c r="H124" i="18"/>
  <c r="H124" i="30" s="1"/>
  <c r="G124" i="18"/>
  <c r="G124" i="30" s="1"/>
  <c r="F124" i="18"/>
  <c r="F124" i="30" s="1"/>
  <c r="E124" i="18"/>
  <c r="D124" i="18"/>
  <c r="K123" i="1"/>
  <c r="J123" i="1"/>
  <c r="I123" i="1"/>
  <c r="H123" i="1"/>
  <c r="G123" i="1"/>
  <c r="F123" i="1"/>
  <c r="E123" i="1"/>
  <c r="K124" i="1"/>
  <c r="J124" i="1"/>
  <c r="I124" i="1"/>
  <c r="H124" i="1"/>
  <c r="G124" i="1"/>
  <c r="F124" i="1"/>
  <c r="E124" i="1"/>
  <c r="D123" i="1"/>
  <c r="D124" i="1"/>
  <c r="J30" i="1"/>
  <c r="H30" i="1"/>
  <c r="H30" i="20" s="1"/>
  <c r="G30" i="1"/>
  <c r="G30" i="20" s="1"/>
  <c r="F30" i="1"/>
  <c r="F30" i="20" s="1"/>
  <c r="K29" i="1"/>
  <c r="I29" i="1"/>
  <c r="F29" i="1"/>
  <c r="H29" i="1"/>
  <c r="D30" i="1"/>
  <c r="D29" i="1"/>
  <c r="K30" i="1"/>
  <c r="K30" i="20" s="1"/>
  <c r="I30" i="1"/>
  <c r="E30" i="1"/>
  <c r="E30" i="20" s="1"/>
  <c r="J29" i="1"/>
  <c r="J29" i="20" s="1"/>
  <c r="G29" i="1"/>
  <c r="J30" i="20" l="1"/>
  <c r="K29" i="20"/>
  <c r="G29" i="20"/>
  <c r="F29" i="20"/>
  <c r="F124" i="20"/>
  <c r="J124" i="20"/>
  <c r="H125" i="18"/>
  <c r="H125" i="30" s="1"/>
  <c r="H123" i="30"/>
  <c r="E124" i="30"/>
  <c r="E125" i="18"/>
  <c r="E123" i="30"/>
  <c r="I30" i="20"/>
  <c r="H29" i="20"/>
  <c r="I29" i="20"/>
  <c r="E124" i="20"/>
  <c r="I124" i="20"/>
  <c r="F123" i="30"/>
  <c r="F125" i="18"/>
  <c r="F125" i="30" s="1"/>
  <c r="J125" i="18"/>
  <c r="J125" i="30" s="1"/>
  <c r="J123" i="30"/>
  <c r="D124" i="30"/>
  <c r="L124" i="18"/>
  <c r="L124" i="30" s="1"/>
  <c r="D125" i="18"/>
  <c r="L123" i="18"/>
  <c r="L123" i="30" s="1"/>
  <c r="D123" i="30"/>
  <c r="I125" i="18"/>
  <c r="I125" i="30" s="1"/>
  <c r="I124" i="30"/>
  <c r="G125" i="18"/>
  <c r="G125" i="30" s="1"/>
  <c r="G123" i="30"/>
  <c r="K125" i="18"/>
  <c r="K125" i="30" s="1"/>
  <c r="K123" i="30"/>
  <c r="F125" i="1"/>
  <c r="F123" i="20"/>
  <c r="G125" i="1"/>
  <c r="G123" i="20"/>
  <c r="D124" i="20"/>
  <c r="L124" i="1"/>
  <c r="G124" i="20"/>
  <c r="K124" i="20"/>
  <c r="H123" i="20"/>
  <c r="H125" i="1"/>
  <c r="J125" i="1"/>
  <c r="J125" i="20" s="1"/>
  <c r="J123" i="20"/>
  <c r="E29" i="1"/>
  <c r="E29" i="20" s="1"/>
  <c r="K123" i="20"/>
  <c r="K125" i="1"/>
  <c r="K125" i="20" s="1"/>
  <c r="D123" i="20"/>
  <c r="D125" i="1"/>
  <c r="L123" i="1"/>
  <c r="H124" i="20"/>
  <c r="E123" i="20"/>
  <c r="E125" i="1"/>
  <c r="I123" i="20"/>
  <c r="I125" i="1"/>
  <c r="K31" i="1"/>
  <c r="G31" i="1"/>
  <c r="I31" i="1"/>
  <c r="J31" i="1"/>
  <c r="F31" i="1"/>
  <c r="L30" i="1"/>
  <c r="H31" i="1"/>
  <c r="D31" i="1"/>
  <c r="L124" i="20" l="1"/>
  <c r="I125" i="20"/>
  <c r="F125" i="20"/>
  <c r="E125" i="30"/>
  <c r="L123" i="20"/>
  <c r="L125" i="18"/>
  <c r="L125" i="30" s="1"/>
  <c r="D125" i="30"/>
  <c r="E125" i="20"/>
  <c r="H125" i="20"/>
  <c r="G125" i="20"/>
  <c r="E31" i="1"/>
  <c r="L29" i="1"/>
  <c r="D125" i="20"/>
  <c r="L125" i="1"/>
  <c r="L31" i="1"/>
  <c r="L125" i="20" l="1"/>
  <c r="L40" i="7"/>
  <c r="L39" i="7"/>
  <c r="H46" i="7"/>
  <c r="E46" i="7"/>
  <c r="D46" i="7"/>
  <c r="I32" i="7"/>
  <c r="H32" i="7"/>
  <c r="F32" i="7"/>
  <c r="D32" i="7"/>
  <c r="L44" i="7"/>
  <c r="L43" i="7"/>
  <c r="K46" i="7"/>
  <c r="I46" i="7"/>
  <c r="G46" i="7"/>
  <c r="L36" i="7"/>
  <c r="L35" i="7"/>
  <c r="E32" i="7"/>
  <c r="K2" i="18"/>
  <c r="D30" i="18"/>
  <c r="D30" i="20" s="1"/>
  <c r="D29" i="18"/>
  <c r="I31" i="18"/>
  <c r="I31" i="20" s="1"/>
  <c r="H31" i="18"/>
  <c r="H31" i="20" s="1"/>
  <c r="E31" i="18"/>
  <c r="L40" i="19"/>
  <c r="H46" i="19"/>
  <c r="L39" i="19"/>
  <c r="G46" i="19"/>
  <c r="E46" i="19"/>
  <c r="I32" i="19"/>
  <c r="H32" i="19"/>
  <c r="E32" i="19"/>
  <c r="L31" i="19"/>
  <c r="K32" i="19"/>
  <c r="J32" i="19"/>
  <c r="G32" i="19"/>
  <c r="F32" i="19"/>
  <c r="L35" i="19"/>
  <c r="L36" i="19"/>
  <c r="L38" i="19"/>
  <c r="I46" i="19"/>
  <c r="L43" i="19"/>
  <c r="L44" i="19"/>
  <c r="K46" i="19"/>
  <c r="D46" i="19"/>
  <c r="E31" i="20" l="1"/>
  <c r="D31" i="18"/>
  <c r="D31" i="20" s="1"/>
  <c r="D29" i="20"/>
  <c r="F31" i="18"/>
  <c r="F31" i="20" s="1"/>
  <c r="J31" i="18"/>
  <c r="J31" i="20" s="1"/>
  <c r="L30" i="18"/>
  <c r="L30" i="20" s="1"/>
  <c r="G31" i="18"/>
  <c r="G31" i="20" s="1"/>
  <c r="K31" i="18"/>
  <c r="K31" i="20" s="1"/>
  <c r="L31" i="7"/>
  <c r="J32" i="7"/>
  <c r="L38" i="7"/>
  <c r="L46" i="7" s="1"/>
  <c r="F46" i="7"/>
  <c r="J46" i="7"/>
  <c r="G32" i="7"/>
  <c r="K32" i="7"/>
  <c r="L30" i="7"/>
  <c r="L29" i="18"/>
  <c r="L29" i="20" s="1"/>
  <c r="L30" i="19"/>
  <c r="L32" i="19" s="1"/>
  <c r="F46" i="19"/>
  <c r="J46" i="19"/>
  <c r="D32" i="19"/>
  <c r="L31" i="18" l="1"/>
  <c r="L31" i="20" s="1"/>
  <c r="L32" i="7"/>
  <c r="L46" i="19"/>
  <c r="K30" i="28" l="1"/>
  <c r="K30" i="34" s="1"/>
  <c r="J30" i="28"/>
  <c r="J30" i="34" s="1"/>
  <c r="I30" i="28"/>
  <c r="I30" i="34" s="1"/>
  <c r="H30" i="28"/>
  <c r="H30" i="34" s="1"/>
  <c r="G30" i="28"/>
  <c r="G30" i="34" s="1"/>
  <c r="F30" i="28"/>
  <c r="F30" i="34" s="1"/>
  <c r="E30" i="28"/>
  <c r="E30" i="34" s="1"/>
  <c r="K29" i="28"/>
  <c r="K29" i="34" s="1"/>
  <c r="J29" i="28"/>
  <c r="J29" i="34" s="1"/>
  <c r="I29" i="28"/>
  <c r="I29" i="34" s="1"/>
  <c r="H29" i="28"/>
  <c r="H29" i="34" s="1"/>
  <c r="G29" i="28"/>
  <c r="G29" i="34" s="1"/>
  <c r="F29" i="28"/>
  <c r="F29" i="34" s="1"/>
  <c r="E29" i="28"/>
  <c r="E29" i="34" s="1"/>
  <c r="K2" i="28"/>
  <c r="D30" i="28"/>
  <c r="D30" i="34" s="1"/>
  <c r="D29" i="28"/>
  <c r="D29" i="34" s="1"/>
  <c r="I32" i="29"/>
  <c r="E32" i="29"/>
  <c r="F32" i="29"/>
  <c r="D30" i="30" l="1"/>
  <c r="E30" i="30"/>
  <c r="D29" i="30"/>
  <c r="D35" i="26"/>
  <c r="E31" i="28"/>
  <c r="E29" i="30"/>
  <c r="I29" i="30"/>
  <c r="G29" i="30"/>
  <c r="K29" i="30"/>
  <c r="H30" i="30"/>
  <c r="F30" i="30"/>
  <c r="J30" i="30"/>
  <c r="F31" i="28"/>
  <c r="F31" i="34" s="1"/>
  <c r="F29" i="30"/>
  <c r="J31" i="28"/>
  <c r="J31" i="34" s="1"/>
  <c r="J29" i="30"/>
  <c r="G30" i="30"/>
  <c r="K30" i="30"/>
  <c r="H29" i="30"/>
  <c r="I31" i="28"/>
  <c r="I31" i="34" s="1"/>
  <c r="I30" i="30"/>
  <c r="G31" i="28"/>
  <c r="G31" i="34" s="1"/>
  <c r="K31" i="28"/>
  <c r="K31" i="34" s="1"/>
  <c r="H31" i="28"/>
  <c r="H31" i="34" s="1"/>
  <c r="L30" i="28"/>
  <c r="L30" i="34" s="1"/>
  <c r="D31" i="28"/>
  <c r="L29" i="28"/>
  <c r="L29" i="34" s="1"/>
  <c r="G32" i="29"/>
  <c r="K32" i="29"/>
  <c r="L36" i="29"/>
  <c r="E46" i="29"/>
  <c r="I46" i="29"/>
  <c r="G46" i="29"/>
  <c r="K46" i="29"/>
  <c r="L35" i="29"/>
  <c r="L31" i="29"/>
  <c r="F46" i="29"/>
  <c r="J46" i="29"/>
  <c r="L39" i="29"/>
  <c r="J32" i="29"/>
  <c r="D32" i="29"/>
  <c r="L30" i="29"/>
  <c r="H32" i="29"/>
  <c r="L38" i="29"/>
  <c r="L40" i="29"/>
  <c r="D46" i="29"/>
  <c r="H46" i="29"/>
  <c r="L43" i="29"/>
  <c r="L44" i="29"/>
  <c r="D31" i="30" l="1"/>
  <c r="D31" i="34"/>
  <c r="E31" i="30"/>
  <c r="E31" i="34"/>
  <c r="H31" i="30"/>
  <c r="K31" i="30"/>
  <c r="L29" i="30"/>
  <c r="L30" i="30"/>
  <c r="G31" i="30"/>
  <c r="I31" i="30"/>
  <c r="L31" i="28"/>
  <c r="L31" i="34" s="1"/>
  <c r="J31" i="30"/>
  <c r="F31" i="30"/>
  <c r="L46" i="29"/>
  <c r="L32" i="29"/>
  <c r="L31" i="30" l="1"/>
  <c r="H2" i="33" l="1"/>
  <c r="K29" i="21" l="1"/>
  <c r="J29" i="21"/>
  <c r="I29" i="21"/>
  <c r="H29" i="21"/>
  <c r="G29" i="21"/>
  <c r="F29" i="21"/>
  <c r="E29" i="21"/>
  <c r="D29" i="21"/>
  <c r="K28" i="21"/>
  <c r="J28" i="21"/>
  <c r="I28" i="21"/>
  <c r="H28" i="21"/>
  <c r="G28" i="21"/>
  <c r="F28" i="21"/>
  <c r="E28" i="21"/>
  <c r="D28" i="21"/>
  <c r="K27" i="21"/>
  <c r="J27" i="21"/>
  <c r="I27" i="21"/>
  <c r="H27" i="21"/>
  <c r="G27" i="21"/>
  <c r="F27" i="21"/>
  <c r="E27" i="21"/>
  <c r="D27" i="21"/>
  <c r="K152" i="31"/>
  <c r="K150" i="37" s="1"/>
  <c r="J152" i="31"/>
  <c r="J150" i="37" s="1"/>
  <c r="I152" i="31"/>
  <c r="I150" i="37" s="1"/>
  <c r="H152" i="31"/>
  <c r="H150" i="37" s="1"/>
  <c r="G152" i="31"/>
  <c r="G150" i="37" s="1"/>
  <c r="F152" i="31"/>
  <c r="F150" i="37" s="1"/>
  <c r="E152" i="31"/>
  <c r="E150" i="37" s="1"/>
  <c r="D152" i="31"/>
  <c r="D150" i="37" s="1"/>
  <c r="K148" i="31"/>
  <c r="K146" i="37" s="1"/>
  <c r="J148" i="31"/>
  <c r="J146" i="37" s="1"/>
  <c r="I148" i="31"/>
  <c r="I146" i="37" s="1"/>
  <c r="H148" i="31"/>
  <c r="H146" i="37" s="1"/>
  <c r="G148" i="31"/>
  <c r="G146" i="37" s="1"/>
  <c r="F148" i="31"/>
  <c r="F146" i="37" s="1"/>
  <c r="E148" i="31"/>
  <c r="E146" i="37" s="1"/>
  <c r="D148" i="31"/>
  <c r="D146" i="37" s="1"/>
  <c r="K150" i="31"/>
  <c r="K148" i="37" s="1"/>
  <c r="J150" i="31"/>
  <c r="J148" i="37" s="1"/>
  <c r="I150" i="31"/>
  <c r="I148" i="37" s="1"/>
  <c r="H150" i="31"/>
  <c r="H148" i="37" s="1"/>
  <c r="G150" i="31"/>
  <c r="G148" i="37" s="1"/>
  <c r="F150" i="31"/>
  <c r="F148" i="37" s="1"/>
  <c r="E150" i="31"/>
  <c r="E148" i="37" s="1"/>
  <c r="D150" i="31"/>
  <c r="D148" i="37" s="1"/>
  <c r="K147" i="31"/>
  <c r="K145" i="37" s="1"/>
  <c r="J147" i="31"/>
  <c r="J145" i="37" s="1"/>
  <c r="I147" i="31"/>
  <c r="I145" i="37" s="1"/>
  <c r="H147" i="31"/>
  <c r="H145" i="37" s="1"/>
  <c r="G147" i="31"/>
  <c r="G145" i="37" s="1"/>
  <c r="F147" i="31"/>
  <c r="F145" i="37" s="1"/>
  <c r="E147" i="31"/>
  <c r="E145" i="37" s="1"/>
  <c r="D147" i="31"/>
  <c r="D145" i="37" s="1"/>
  <c r="K146" i="31"/>
  <c r="K144" i="37" s="1"/>
  <c r="J146" i="31"/>
  <c r="J144" i="37" s="1"/>
  <c r="I146" i="31"/>
  <c r="I144" i="37" s="1"/>
  <c r="H146" i="31"/>
  <c r="H144" i="37" s="1"/>
  <c r="G146" i="31"/>
  <c r="G144" i="37" s="1"/>
  <c r="F146" i="31"/>
  <c r="F144" i="37" s="1"/>
  <c r="D146" i="31"/>
  <c r="D144" i="37" s="1"/>
  <c r="K145" i="31"/>
  <c r="K143" i="37" s="1"/>
  <c r="J145" i="31"/>
  <c r="J143" i="37" s="1"/>
  <c r="I145" i="31"/>
  <c r="I143" i="37" s="1"/>
  <c r="H145" i="31"/>
  <c r="H143" i="37" s="1"/>
  <c r="G145" i="31"/>
  <c r="G143" i="37" s="1"/>
  <c r="F145" i="31"/>
  <c r="F143" i="37" s="1"/>
  <c r="E145" i="31"/>
  <c r="E143" i="37" s="1"/>
  <c r="D145" i="31"/>
  <c r="D143" i="37" s="1"/>
  <c r="K144" i="31"/>
  <c r="K142" i="37" s="1"/>
  <c r="J144" i="31"/>
  <c r="J142" i="37" s="1"/>
  <c r="I144" i="31"/>
  <c r="I142" i="37" s="1"/>
  <c r="H144" i="31"/>
  <c r="H142" i="37" s="1"/>
  <c r="G144" i="31"/>
  <c r="G142" i="37" s="1"/>
  <c r="F144" i="31"/>
  <c r="F142" i="37" s="1"/>
  <c r="E144" i="31"/>
  <c r="E142" i="37" s="1"/>
  <c r="D144" i="31"/>
  <c r="D142" i="37" s="1"/>
  <c r="K180" i="32"/>
  <c r="J180" i="32"/>
  <c r="I180" i="32"/>
  <c r="H180" i="32"/>
  <c r="G180" i="32"/>
  <c r="F180" i="32"/>
  <c r="E180" i="32"/>
  <c r="D180" i="32"/>
  <c r="K179" i="32"/>
  <c r="K138" i="31" s="1"/>
  <c r="K136" i="37" s="1"/>
  <c r="J179" i="32"/>
  <c r="J138" i="31" s="1"/>
  <c r="J136" i="37" s="1"/>
  <c r="I179" i="32"/>
  <c r="I138" i="31" s="1"/>
  <c r="I136" i="37" s="1"/>
  <c r="H179" i="32"/>
  <c r="H138" i="31" s="1"/>
  <c r="H136" i="37" s="1"/>
  <c r="G179" i="32"/>
  <c r="G138" i="31" s="1"/>
  <c r="G136" i="37" s="1"/>
  <c r="F179" i="32"/>
  <c r="F138" i="31" s="1"/>
  <c r="F136" i="37" s="1"/>
  <c r="E179" i="32"/>
  <c r="E138" i="31" s="1"/>
  <c r="E136" i="37" s="1"/>
  <c r="D179" i="32"/>
  <c r="D138" i="31" s="1"/>
  <c r="D136" i="37" s="1"/>
  <c r="K178" i="32"/>
  <c r="K139" i="31" s="1"/>
  <c r="K137" i="37" s="1"/>
  <c r="J178" i="32"/>
  <c r="J139" i="31" s="1"/>
  <c r="J137" i="37" s="1"/>
  <c r="I178" i="32"/>
  <c r="I139" i="31" s="1"/>
  <c r="I137" i="37" s="1"/>
  <c r="H178" i="32"/>
  <c r="H139" i="31" s="1"/>
  <c r="H137" i="37" s="1"/>
  <c r="G178" i="32"/>
  <c r="G139" i="31" s="1"/>
  <c r="G137" i="37" s="1"/>
  <c r="F178" i="32"/>
  <c r="F139" i="31" s="1"/>
  <c r="F137" i="37" s="1"/>
  <c r="E178" i="32"/>
  <c r="E139" i="31" s="1"/>
  <c r="E137" i="37" s="1"/>
  <c r="D178" i="32"/>
  <c r="D139" i="31" s="1"/>
  <c r="D137" i="37" s="1"/>
  <c r="K174" i="32"/>
  <c r="K114" i="31" s="1"/>
  <c r="K112" i="37" s="1"/>
  <c r="J174" i="32"/>
  <c r="J114" i="31" s="1"/>
  <c r="J112" i="37" s="1"/>
  <c r="I174" i="32"/>
  <c r="I114" i="31" s="1"/>
  <c r="I112" i="37" s="1"/>
  <c r="H174" i="32"/>
  <c r="H114" i="31" s="1"/>
  <c r="H112" i="37" s="1"/>
  <c r="G174" i="32"/>
  <c r="G114" i="31" s="1"/>
  <c r="G112" i="37" s="1"/>
  <c r="F174" i="32"/>
  <c r="F114" i="31" s="1"/>
  <c r="F112" i="37" s="1"/>
  <c r="D174" i="32"/>
  <c r="D114" i="31" s="1"/>
  <c r="D112" i="37" s="1"/>
  <c r="K55" i="31"/>
  <c r="K55" i="37" s="1"/>
  <c r="J55" i="31"/>
  <c r="J55" i="37" s="1"/>
  <c r="I55" i="31"/>
  <c r="I55" i="37" s="1"/>
  <c r="H55" i="31"/>
  <c r="H55" i="37" s="1"/>
  <c r="G55" i="31"/>
  <c r="G55" i="37" s="1"/>
  <c r="F55" i="31"/>
  <c r="F55" i="37" s="1"/>
  <c r="E55" i="31"/>
  <c r="E55" i="37" s="1"/>
  <c r="D55" i="31"/>
  <c r="D55" i="37" s="1"/>
  <c r="J122" i="31"/>
  <c r="J120" i="37" s="1"/>
  <c r="H122" i="31"/>
  <c r="H120" i="37" s="1"/>
  <c r="F122" i="31"/>
  <c r="F120" i="37" s="1"/>
  <c r="E122" i="31"/>
  <c r="E120" i="37" s="1"/>
  <c r="D122" i="31"/>
  <c r="D120" i="37" s="1"/>
  <c r="J121" i="31"/>
  <c r="J119" i="37" s="1"/>
  <c r="H121" i="31"/>
  <c r="H119" i="37" s="1"/>
  <c r="F121" i="31"/>
  <c r="F119" i="37" s="1"/>
  <c r="E121" i="31"/>
  <c r="E119" i="37" s="1"/>
  <c r="D121" i="31"/>
  <c r="D119" i="37" s="1"/>
  <c r="J120" i="31"/>
  <c r="J118" i="37" s="1"/>
  <c r="H120" i="31"/>
  <c r="H118" i="37" s="1"/>
  <c r="F120" i="31"/>
  <c r="F118" i="37" s="1"/>
  <c r="E120" i="31"/>
  <c r="E118" i="37" s="1"/>
  <c r="D120" i="31"/>
  <c r="D118" i="37" s="1"/>
  <c r="J119" i="31"/>
  <c r="J117" i="37" s="1"/>
  <c r="H119" i="31"/>
  <c r="H117" i="37" s="1"/>
  <c r="F119" i="31"/>
  <c r="F117" i="37" s="1"/>
  <c r="E119" i="31"/>
  <c r="E117" i="37" s="1"/>
  <c r="D119" i="31"/>
  <c r="D117" i="37" s="1"/>
  <c r="K153" i="32"/>
  <c r="K77" i="31" s="1"/>
  <c r="K77" i="37" s="1"/>
  <c r="J153" i="32"/>
  <c r="J77" i="31" s="1"/>
  <c r="J77" i="37" s="1"/>
  <c r="I153" i="32"/>
  <c r="I77" i="31" s="1"/>
  <c r="I77" i="37" s="1"/>
  <c r="H153" i="32"/>
  <c r="H77" i="31" s="1"/>
  <c r="H77" i="37" s="1"/>
  <c r="G153" i="32"/>
  <c r="G77" i="31" s="1"/>
  <c r="G77" i="37" s="1"/>
  <c r="F153" i="32"/>
  <c r="F77" i="31" s="1"/>
  <c r="F77" i="37" s="1"/>
  <c r="E153" i="32"/>
  <c r="E77" i="31" s="1"/>
  <c r="E77" i="37" s="1"/>
  <c r="D153" i="32"/>
  <c r="D77" i="31" s="1"/>
  <c r="D77" i="37" s="1"/>
  <c r="J143" i="32"/>
  <c r="J145" i="32" s="1"/>
  <c r="I143" i="32"/>
  <c r="I145" i="32" s="1"/>
  <c r="I150" i="32" s="1"/>
  <c r="H143" i="32"/>
  <c r="H145" i="32" s="1"/>
  <c r="G143" i="32"/>
  <c r="G145" i="32" s="1"/>
  <c r="F143" i="32"/>
  <c r="F145" i="32" s="1"/>
  <c r="E143" i="32"/>
  <c r="E145" i="32" s="1"/>
  <c r="D143" i="32"/>
  <c r="D145" i="32" s="1"/>
  <c r="J133" i="32"/>
  <c r="H133" i="32"/>
  <c r="H66" i="31" s="1"/>
  <c r="H66" i="37" s="1"/>
  <c r="G133" i="32"/>
  <c r="G66" i="31" s="1"/>
  <c r="G66" i="37" s="1"/>
  <c r="F133" i="32"/>
  <c r="F66" i="31" s="1"/>
  <c r="E133" i="32"/>
  <c r="E66" i="31" s="1"/>
  <c r="E66" i="37" s="1"/>
  <c r="D133" i="32"/>
  <c r="D66" i="31" s="1"/>
  <c r="D66" i="37" s="1"/>
  <c r="J128" i="32"/>
  <c r="K113" i="31"/>
  <c r="K111" i="37" s="1"/>
  <c r="J113" i="31"/>
  <c r="J111" i="37" s="1"/>
  <c r="I113" i="31"/>
  <c r="I111" i="37" s="1"/>
  <c r="H113" i="31"/>
  <c r="H111" i="37" s="1"/>
  <c r="G113" i="31"/>
  <c r="G111" i="37" s="1"/>
  <c r="F113" i="31"/>
  <c r="F111" i="37" s="1"/>
  <c r="E113" i="31"/>
  <c r="E111" i="37" s="1"/>
  <c r="D113" i="31"/>
  <c r="D111" i="37" s="1"/>
  <c r="K79" i="31"/>
  <c r="K79" i="37" s="1"/>
  <c r="J79" i="31"/>
  <c r="J79" i="37" s="1"/>
  <c r="I79" i="31"/>
  <c r="I79" i="37" s="1"/>
  <c r="H79" i="31"/>
  <c r="H79" i="37" s="1"/>
  <c r="G79" i="31"/>
  <c r="G79" i="37" s="1"/>
  <c r="F79" i="31"/>
  <c r="F79" i="37" s="1"/>
  <c r="D79" i="31"/>
  <c r="D79" i="37" s="1"/>
  <c r="K75" i="31"/>
  <c r="K75" i="37" s="1"/>
  <c r="J75" i="31"/>
  <c r="J75" i="37" s="1"/>
  <c r="I75" i="31"/>
  <c r="I75" i="37" s="1"/>
  <c r="H75" i="31"/>
  <c r="H75" i="37" s="1"/>
  <c r="G75" i="31"/>
  <c r="G75" i="37" s="1"/>
  <c r="F75" i="31"/>
  <c r="F75" i="37" s="1"/>
  <c r="E75" i="31"/>
  <c r="E75" i="37" s="1"/>
  <c r="D75" i="31"/>
  <c r="D75" i="37" s="1"/>
  <c r="K74" i="31"/>
  <c r="K74" i="37" s="1"/>
  <c r="J74" i="31"/>
  <c r="J74" i="37" s="1"/>
  <c r="I74" i="31"/>
  <c r="I74" i="37" s="1"/>
  <c r="H74" i="31"/>
  <c r="H74" i="37" s="1"/>
  <c r="G74" i="31"/>
  <c r="G74" i="37" s="1"/>
  <c r="F74" i="31"/>
  <c r="F74" i="37" s="1"/>
  <c r="E74" i="31"/>
  <c r="E74" i="37" s="1"/>
  <c r="D74" i="31"/>
  <c r="D74" i="37" s="1"/>
  <c r="K73" i="31"/>
  <c r="K73" i="37" s="1"/>
  <c r="J73" i="31"/>
  <c r="J73" i="37" s="1"/>
  <c r="I73" i="31"/>
  <c r="I73" i="37" s="1"/>
  <c r="H73" i="31"/>
  <c r="H73" i="37" s="1"/>
  <c r="G73" i="31"/>
  <c r="G73" i="37" s="1"/>
  <c r="F73" i="31"/>
  <c r="F73" i="37" s="1"/>
  <c r="E73" i="31"/>
  <c r="E73" i="37" s="1"/>
  <c r="D73" i="31"/>
  <c r="D73" i="37" s="1"/>
  <c r="K71" i="31"/>
  <c r="K71" i="37" s="1"/>
  <c r="J71" i="31"/>
  <c r="J71" i="37" s="1"/>
  <c r="I71" i="31"/>
  <c r="I71" i="37" s="1"/>
  <c r="H71" i="31"/>
  <c r="H71" i="37" s="1"/>
  <c r="G71" i="31"/>
  <c r="G71" i="37" s="1"/>
  <c r="F71" i="31"/>
  <c r="F71" i="37" s="1"/>
  <c r="E71" i="31"/>
  <c r="E71" i="37" s="1"/>
  <c r="D71" i="31"/>
  <c r="D71" i="37" s="1"/>
  <c r="K70" i="31"/>
  <c r="K70" i="37" s="1"/>
  <c r="J70" i="31"/>
  <c r="J70" i="37" s="1"/>
  <c r="I70" i="31"/>
  <c r="I70" i="37" s="1"/>
  <c r="H70" i="31"/>
  <c r="H70" i="37" s="1"/>
  <c r="F70" i="31"/>
  <c r="F70" i="37" s="1"/>
  <c r="E70" i="31"/>
  <c r="E70" i="37" s="1"/>
  <c r="D70" i="31"/>
  <c r="D70" i="37" s="1"/>
  <c r="K64" i="31"/>
  <c r="K64" i="37" s="1"/>
  <c r="J64" i="31"/>
  <c r="J64" i="37" s="1"/>
  <c r="H64" i="31"/>
  <c r="H64" i="37" s="1"/>
  <c r="G64" i="31"/>
  <c r="G64" i="37" s="1"/>
  <c r="F64" i="31"/>
  <c r="F64" i="37" s="1"/>
  <c r="D64" i="31"/>
  <c r="D64" i="37" s="1"/>
  <c r="K63" i="31"/>
  <c r="K63" i="37" s="1"/>
  <c r="J63" i="31"/>
  <c r="J63" i="37" s="1"/>
  <c r="I63" i="31"/>
  <c r="I63" i="37" s="1"/>
  <c r="H63" i="31"/>
  <c r="H63" i="37" s="1"/>
  <c r="F63" i="31"/>
  <c r="F63" i="37" s="1"/>
  <c r="D63" i="31"/>
  <c r="D63" i="37" s="1"/>
  <c r="D135" i="32"/>
  <c r="D52" i="31" s="1"/>
  <c r="D52" i="37" s="1"/>
  <c r="K62" i="31"/>
  <c r="K62" i="37" s="1"/>
  <c r="J62" i="31"/>
  <c r="J62" i="37" s="1"/>
  <c r="I62" i="31"/>
  <c r="I62" i="37" s="1"/>
  <c r="H62" i="31"/>
  <c r="H62" i="37" s="1"/>
  <c r="G62" i="31"/>
  <c r="G62" i="37" s="1"/>
  <c r="F62" i="31"/>
  <c r="F62" i="37" s="1"/>
  <c r="E62" i="31"/>
  <c r="E62" i="37" s="1"/>
  <c r="D62" i="31"/>
  <c r="D62" i="37" s="1"/>
  <c r="K61" i="31"/>
  <c r="K61" i="37" s="1"/>
  <c r="J61" i="31"/>
  <c r="J61" i="37" s="1"/>
  <c r="I61" i="31"/>
  <c r="I61" i="37" s="1"/>
  <c r="H61" i="31"/>
  <c r="H61" i="37" s="1"/>
  <c r="G61" i="31"/>
  <c r="G61" i="37" s="1"/>
  <c r="F61" i="31"/>
  <c r="F61" i="37" s="1"/>
  <c r="E61" i="31"/>
  <c r="E61" i="37" s="1"/>
  <c r="D61" i="31"/>
  <c r="D61" i="37" s="1"/>
  <c r="AJ40" i="31"/>
  <c r="AG40" i="31"/>
  <c r="AE40" i="31"/>
  <c r="K92" i="31"/>
  <c r="K91" i="37" s="1"/>
  <c r="J92" i="31"/>
  <c r="J91" i="37" s="1"/>
  <c r="H92" i="31"/>
  <c r="H91" i="37" s="1"/>
  <c r="G92" i="31"/>
  <c r="G91" i="37" s="1"/>
  <c r="F92" i="31"/>
  <c r="F91" i="37" s="1"/>
  <c r="K88" i="31"/>
  <c r="K88" i="37" s="1"/>
  <c r="H88" i="31"/>
  <c r="H88" i="37" s="1"/>
  <c r="G88" i="31"/>
  <c r="G88" i="37" s="1"/>
  <c r="D88" i="31"/>
  <c r="D88" i="37" s="1"/>
  <c r="K87" i="31"/>
  <c r="K87" i="37" s="1"/>
  <c r="I87" i="31"/>
  <c r="I87" i="37" s="1"/>
  <c r="H87" i="31"/>
  <c r="H87" i="37" s="1"/>
  <c r="G87" i="31"/>
  <c r="G87" i="37" s="1"/>
  <c r="F87" i="31"/>
  <c r="F87" i="37" s="1"/>
  <c r="E87" i="31"/>
  <c r="E87" i="37" s="1"/>
  <c r="D87" i="31"/>
  <c r="D87" i="37" s="1"/>
  <c r="G89" i="31"/>
  <c r="G89" i="37" s="1"/>
  <c r="E29" i="31"/>
  <c r="E29" i="37" s="1"/>
  <c r="AE29" i="37" s="1"/>
  <c r="D29" i="31"/>
  <c r="D29" i="37" s="1"/>
  <c r="AD29" i="37" s="1"/>
  <c r="K28" i="31"/>
  <c r="K28" i="37" s="1"/>
  <c r="I28" i="31"/>
  <c r="I28" i="37" s="1"/>
  <c r="G28" i="31"/>
  <c r="G28" i="37" s="1"/>
  <c r="E28" i="31"/>
  <c r="E28" i="37" s="1"/>
  <c r="K27" i="31"/>
  <c r="K27" i="37" s="1"/>
  <c r="AK27" i="37" s="1"/>
  <c r="I27" i="31"/>
  <c r="I27" i="37" s="1"/>
  <c r="AI27" i="37" s="1"/>
  <c r="G27" i="31"/>
  <c r="G27" i="37" s="1"/>
  <c r="AG27" i="37" s="1"/>
  <c r="D27" i="31"/>
  <c r="D27" i="37" s="1"/>
  <c r="AD27" i="37" s="1"/>
  <c r="K96" i="31"/>
  <c r="K95" i="37" s="1"/>
  <c r="I96" i="31"/>
  <c r="I95" i="37" s="1"/>
  <c r="H96" i="31"/>
  <c r="H95" i="37" s="1"/>
  <c r="G96" i="31"/>
  <c r="G95" i="37" s="1"/>
  <c r="E96" i="31"/>
  <c r="E95" i="37" s="1"/>
  <c r="D96" i="31"/>
  <c r="D95" i="37" s="1"/>
  <c r="K95" i="31"/>
  <c r="K94" i="37" s="1"/>
  <c r="J95" i="31"/>
  <c r="J94" i="37" s="1"/>
  <c r="F95" i="31"/>
  <c r="F94" i="37" s="1"/>
  <c r="E95" i="31"/>
  <c r="E94" i="37" s="1"/>
  <c r="D95" i="31"/>
  <c r="D94" i="37" s="1"/>
  <c r="K94" i="31"/>
  <c r="K93" i="37" s="1"/>
  <c r="I128" i="31"/>
  <c r="I126" i="37" s="1"/>
  <c r="F128" i="31"/>
  <c r="F126" i="37" s="1"/>
  <c r="E94" i="31"/>
  <c r="E93" i="37" s="1"/>
  <c r="K129" i="31"/>
  <c r="K127" i="37" s="1"/>
  <c r="J97" i="31"/>
  <c r="J96" i="37" s="1"/>
  <c r="I129" i="31"/>
  <c r="I127" i="37" s="1"/>
  <c r="H129" i="31"/>
  <c r="H127" i="37" s="1"/>
  <c r="E9" i="32"/>
  <c r="D129" i="31"/>
  <c r="A179" i="32"/>
  <c r="A180" i="32" s="1"/>
  <c r="E174" i="32"/>
  <c r="E114" i="31" s="1"/>
  <c r="E112" i="37" s="1"/>
  <c r="B138" i="32"/>
  <c r="B137" i="32"/>
  <c r="B136" i="32"/>
  <c r="E146" i="31"/>
  <c r="E144" i="37" s="1"/>
  <c r="K122" i="31"/>
  <c r="K120" i="37" s="1"/>
  <c r="I122" i="31"/>
  <c r="I120" i="37" s="1"/>
  <c r="G122" i="31"/>
  <c r="G120" i="37" s="1"/>
  <c r="K121" i="31"/>
  <c r="K119" i="37" s="1"/>
  <c r="I121" i="31"/>
  <c r="I119" i="37" s="1"/>
  <c r="G121" i="31"/>
  <c r="G119" i="37" s="1"/>
  <c r="K120" i="31"/>
  <c r="K118" i="37" s="1"/>
  <c r="I120" i="31"/>
  <c r="I118" i="37" s="1"/>
  <c r="G120" i="31"/>
  <c r="G118" i="37" s="1"/>
  <c r="K119" i="31"/>
  <c r="K117" i="37" s="1"/>
  <c r="I119" i="31"/>
  <c r="I117" i="37" s="1"/>
  <c r="G119" i="31"/>
  <c r="G117" i="37" s="1"/>
  <c r="M100" i="31"/>
  <c r="N100" i="31" s="1"/>
  <c r="M93" i="31"/>
  <c r="E79" i="31"/>
  <c r="E79" i="37" s="1"/>
  <c r="G70" i="31"/>
  <c r="G70" i="37" s="1"/>
  <c r="H2" i="31"/>
  <c r="F66" i="37" l="1"/>
  <c r="F64" i="27"/>
  <c r="F65" i="27" s="1"/>
  <c r="D135" i="31"/>
  <c r="D133" i="37" s="1"/>
  <c r="D127" i="37"/>
  <c r="D27" i="33"/>
  <c r="AD27" i="33" s="1"/>
  <c r="D29" i="33"/>
  <c r="AD29" i="33" s="1"/>
  <c r="I135" i="31"/>
  <c r="I133" i="37" s="1"/>
  <c r="K135" i="31"/>
  <c r="K133" i="37" s="1"/>
  <c r="H135" i="31"/>
  <c r="H133" i="37" s="1"/>
  <c r="F134" i="31"/>
  <c r="F132" i="37" s="1"/>
  <c r="I134" i="31"/>
  <c r="I132" i="37" s="1"/>
  <c r="E136" i="32"/>
  <c r="E53" i="31" s="1"/>
  <c r="E53" i="37" s="1"/>
  <c r="G23" i="32"/>
  <c r="E137" i="32"/>
  <c r="E108" i="31" s="1"/>
  <c r="E106" i="37" s="1"/>
  <c r="I167" i="32"/>
  <c r="I54" i="31" s="1"/>
  <c r="I54" i="37" s="1"/>
  <c r="I94" i="31"/>
  <c r="I93" i="37" s="1"/>
  <c r="F136" i="32"/>
  <c r="F53" i="31" s="1"/>
  <c r="F53" i="37" s="1"/>
  <c r="E36" i="21"/>
  <c r="I36" i="21"/>
  <c r="J36" i="21"/>
  <c r="G36" i="21"/>
  <c r="K36" i="21"/>
  <c r="E29" i="33"/>
  <c r="F36" i="21"/>
  <c r="H36" i="21"/>
  <c r="I27" i="33"/>
  <c r="AI27" i="33" s="1"/>
  <c r="E36" i="31"/>
  <c r="E36" i="37" s="1"/>
  <c r="E28" i="33"/>
  <c r="I36" i="31"/>
  <c r="I36" i="37" s="1"/>
  <c r="I28" i="33"/>
  <c r="G27" i="33"/>
  <c r="AG27" i="33" s="1"/>
  <c r="K27" i="33"/>
  <c r="AK27" i="33" s="1"/>
  <c r="G36" i="31"/>
  <c r="G36" i="37" s="1"/>
  <c r="G28" i="33"/>
  <c r="K36" i="31"/>
  <c r="K36" i="37" s="1"/>
  <c r="K28" i="33"/>
  <c r="E30" i="21"/>
  <c r="E35" i="21"/>
  <c r="AE27" i="21"/>
  <c r="AI27" i="21"/>
  <c r="I30" i="21"/>
  <c r="I35" i="21"/>
  <c r="AI29" i="21"/>
  <c r="I37" i="21"/>
  <c r="AE48" i="21"/>
  <c r="AI48" i="21"/>
  <c r="F30" i="21"/>
  <c r="AF27" i="21"/>
  <c r="F35" i="21"/>
  <c r="J35" i="21"/>
  <c r="AJ27" i="21"/>
  <c r="J30" i="21"/>
  <c r="AF29" i="21"/>
  <c r="F37" i="21"/>
  <c r="J37" i="21"/>
  <c r="AJ29" i="21"/>
  <c r="AF48" i="21"/>
  <c r="AJ48" i="21"/>
  <c r="G35" i="21"/>
  <c r="AG27" i="21"/>
  <c r="G30" i="21"/>
  <c r="K30" i="21"/>
  <c r="K35" i="21"/>
  <c r="AK27" i="21"/>
  <c r="AG29" i="21"/>
  <c r="G37" i="21"/>
  <c r="K37" i="21"/>
  <c r="AK29" i="21"/>
  <c r="AG48" i="21"/>
  <c r="AK48" i="21"/>
  <c r="AE29" i="21"/>
  <c r="E37" i="21"/>
  <c r="D35" i="21"/>
  <c r="L27" i="21"/>
  <c r="AD27" i="21"/>
  <c r="H30" i="21"/>
  <c r="AH27" i="21"/>
  <c r="H35" i="21"/>
  <c r="D30" i="21"/>
  <c r="D36" i="21"/>
  <c r="L28" i="21"/>
  <c r="AD29" i="21"/>
  <c r="D37" i="21"/>
  <c r="L29" i="21"/>
  <c r="H37" i="21"/>
  <c r="AH29" i="21"/>
  <c r="AD48" i="21"/>
  <c r="AH48" i="21"/>
  <c r="H136" i="32"/>
  <c r="H53" i="31" s="1"/>
  <c r="H53" i="37" s="1"/>
  <c r="E86" i="31"/>
  <c r="E86" i="37" s="1"/>
  <c r="J167" i="32"/>
  <c r="J54" i="31" s="1"/>
  <c r="J54" i="37" s="1"/>
  <c r="D149" i="31"/>
  <c r="D147" i="37" s="1"/>
  <c r="K136" i="32"/>
  <c r="K107" i="31" s="1"/>
  <c r="K105" i="37" s="1"/>
  <c r="E149" i="31"/>
  <c r="E147" i="37" s="1"/>
  <c r="D35" i="31"/>
  <c r="D35" i="37" s="1"/>
  <c r="AD35" i="37" s="1"/>
  <c r="AD27" i="31"/>
  <c r="H85" i="31"/>
  <c r="H85" i="37" s="1"/>
  <c r="H27" i="31"/>
  <c r="H27" i="37" s="1"/>
  <c r="AH27" i="37" s="1"/>
  <c r="H86" i="31"/>
  <c r="H86" i="37" s="1"/>
  <c r="H28" i="31"/>
  <c r="H28" i="37" s="1"/>
  <c r="H89" i="31"/>
  <c r="H89" i="37" s="1"/>
  <c r="H29" i="31"/>
  <c r="H29" i="37" s="1"/>
  <c r="AH29" i="37" s="1"/>
  <c r="AH48" i="31"/>
  <c r="AH41" i="31"/>
  <c r="AK42" i="31"/>
  <c r="AK40" i="31"/>
  <c r="E27" i="31"/>
  <c r="E37" i="31"/>
  <c r="E37" i="37" s="1"/>
  <c r="AE37" i="37" s="1"/>
  <c r="AE29" i="31"/>
  <c r="AE42" i="31"/>
  <c r="AE41" i="31"/>
  <c r="AE48" i="31"/>
  <c r="AI48" i="31"/>
  <c r="AI41" i="31"/>
  <c r="I140" i="31"/>
  <c r="I138" i="37" s="1"/>
  <c r="F23" i="32"/>
  <c r="F27" i="31"/>
  <c r="F27" i="37" s="1"/>
  <c r="AF27" i="37" s="1"/>
  <c r="J27" i="31"/>
  <c r="J27" i="37" s="1"/>
  <c r="AJ27" i="37" s="1"/>
  <c r="F28" i="31"/>
  <c r="F28" i="37" s="1"/>
  <c r="J86" i="31"/>
  <c r="J86" i="37" s="1"/>
  <c r="J28" i="31"/>
  <c r="J28" i="37" s="1"/>
  <c r="F29" i="31"/>
  <c r="F29" i="37" s="1"/>
  <c r="AF29" i="37" s="1"/>
  <c r="J29" i="31"/>
  <c r="J29" i="37" s="1"/>
  <c r="AJ29" i="37" s="1"/>
  <c r="AF41" i="31"/>
  <c r="AF48" i="31"/>
  <c r="AJ41" i="31"/>
  <c r="AJ42" i="31"/>
  <c r="AJ48" i="31"/>
  <c r="AI40" i="31"/>
  <c r="G136" i="32"/>
  <c r="G107" i="31" s="1"/>
  <c r="G105" i="37" s="1"/>
  <c r="D76" i="31"/>
  <c r="D76" i="37" s="1"/>
  <c r="H76" i="31"/>
  <c r="H76" i="37" s="1"/>
  <c r="D86" i="31"/>
  <c r="D86" i="37" s="1"/>
  <c r="D28" i="31"/>
  <c r="D28" i="37" s="1"/>
  <c r="AD29" i="31"/>
  <c r="D37" i="31"/>
  <c r="D37" i="37" s="1"/>
  <c r="AD37" i="37" s="1"/>
  <c r="AD48" i="31"/>
  <c r="L41" i="31"/>
  <c r="L41" i="37" s="1"/>
  <c r="AL41" i="37" s="1"/>
  <c r="AD41" i="31"/>
  <c r="D42" i="31"/>
  <c r="D42" i="37" s="1"/>
  <c r="AD42" i="37" s="1"/>
  <c r="I35" i="31"/>
  <c r="I35" i="37" s="1"/>
  <c r="AI35" i="37" s="1"/>
  <c r="AI27" i="31"/>
  <c r="I89" i="31"/>
  <c r="I89" i="37" s="1"/>
  <c r="I29" i="31"/>
  <c r="I29" i="37" s="1"/>
  <c r="AI29" i="37" s="1"/>
  <c r="AD40" i="31"/>
  <c r="AH40" i="31"/>
  <c r="E89" i="31"/>
  <c r="E89" i="37" s="1"/>
  <c r="I136" i="32"/>
  <c r="I53" i="31" s="1"/>
  <c r="I53" i="37" s="1"/>
  <c r="AG27" i="31"/>
  <c r="G35" i="31"/>
  <c r="G35" i="37" s="1"/>
  <c r="AG35" i="37" s="1"/>
  <c r="K35" i="31"/>
  <c r="K35" i="37" s="1"/>
  <c r="AK35" i="37" s="1"/>
  <c r="AK27" i="31"/>
  <c r="G29" i="31"/>
  <c r="G29" i="37" s="1"/>
  <c r="AG29" i="37" s="1"/>
  <c r="K89" i="31"/>
  <c r="K89" i="37" s="1"/>
  <c r="K29" i="31"/>
  <c r="K29" i="37" s="1"/>
  <c r="AK29" i="37" s="1"/>
  <c r="AG48" i="31"/>
  <c r="AG41" i="31"/>
  <c r="AG42" i="31"/>
  <c r="AK48" i="31"/>
  <c r="AK41" i="31"/>
  <c r="AF40" i="31"/>
  <c r="K133" i="32"/>
  <c r="K66" i="31" s="1"/>
  <c r="K66" i="37" s="1"/>
  <c r="K143" i="32"/>
  <c r="K145" i="32" s="1"/>
  <c r="K72" i="31" s="1"/>
  <c r="K72" i="37" s="1"/>
  <c r="J88" i="31"/>
  <c r="J88" i="37" s="1"/>
  <c r="I97" i="31"/>
  <c r="I96" i="37" s="1"/>
  <c r="G137" i="32"/>
  <c r="G108" i="31" s="1"/>
  <c r="G106" i="37" s="1"/>
  <c r="K167" i="32"/>
  <c r="K54" i="31" s="1"/>
  <c r="K54" i="37" s="1"/>
  <c r="H149" i="31"/>
  <c r="H147" i="37" s="1"/>
  <c r="F149" i="31"/>
  <c r="F147" i="37" s="1"/>
  <c r="J149" i="31"/>
  <c r="J147" i="37" s="1"/>
  <c r="E64" i="31"/>
  <c r="E64" i="37" s="1"/>
  <c r="I64" i="31"/>
  <c r="I64" i="37" s="1"/>
  <c r="F137" i="32"/>
  <c r="F108" i="31" s="1"/>
  <c r="F106" i="37" s="1"/>
  <c r="J137" i="32"/>
  <c r="J108" i="31" s="1"/>
  <c r="J106" i="37" s="1"/>
  <c r="E85" i="31"/>
  <c r="E85" i="37" s="1"/>
  <c r="F94" i="31"/>
  <c r="F93" i="37" s="1"/>
  <c r="F76" i="31"/>
  <c r="F76" i="37" s="1"/>
  <c r="J76" i="31"/>
  <c r="J76" i="37" s="1"/>
  <c r="G150" i="32"/>
  <c r="G72" i="31"/>
  <c r="G72" i="37" s="1"/>
  <c r="D136" i="32"/>
  <c r="D53" i="31" s="1"/>
  <c r="D53" i="37" s="1"/>
  <c r="F140" i="31"/>
  <c r="F138" i="37" s="1"/>
  <c r="F86" i="31"/>
  <c r="F86" i="37" s="1"/>
  <c r="F89" i="31"/>
  <c r="F89" i="37" s="1"/>
  <c r="F97" i="31"/>
  <c r="F96" i="37" s="1"/>
  <c r="J23" i="32"/>
  <c r="I130" i="31"/>
  <c r="I128" i="37" s="1"/>
  <c r="F85" i="31"/>
  <c r="F85" i="37" s="1"/>
  <c r="J87" i="31"/>
  <c r="J87" i="37" s="1"/>
  <c r="J128" i="31"/>
  <c r="J126" i="37" s="1"/>
  <c r="J89" i="31"/>
  <c r="J89" i="37" s="1"/>
  <c r="J94" i="31"/>
  <c r="J93" i="37" s="1"/>
  <c r="F96" i="31"/>
  <c r="F95" i="37" s="1"/>
  <c r="G167" i="32"/>
  <c r="G54" i="31" s="1"/>
  <c r="G54" i="37" s="1"/>
  <c r="L17" i="32"/>
  <c r="E7" i="31" s="1"/>
  <c r="K65" i="31"/>
  <c r="K65" i="37" s="1"/>
  <c r="D167" i="32"/>
  <c r="D54" i="31" s="1"/>
  <c r="D54" i="37" s="1"/>
  <c r="H137" i="32"/>
  <c r="H108" i="31" s="1"/>
  <c r="H106" i="37" s="1"/>
  <c r="E76" i="31"/>
  <c r="E76" i="37" s="1"/>
  <c r="I76" i="31"/>
  <c r="I76" i="37" s="1"/>
  <c r="I149" i="31"/>
  <c r="I147" i="37" s="1"/>
  <c r="G149" i="31"/>
  <c r="G147" i="37" s="1"/>
  <c r="K149" i="31"/>
  <c r="K147" i="37" s="1"/>
  <c r="D65" i="31"/>
  <c r="D65" i="37" s="1"/>
  <c r="I85" i="31"/>
  <c r="I85" i="37" s="1"/>
  <c r="E97" i="31"/>
  <c r="E96" i="37" s="1"/>
  <c r="E128" i="31"/>
  <c r="E129" i="31"/>
  <c r="I9" i="32"/>
  <c r="H23" i="32"/>
  <c r="L21" i="32"/>
  <c r="E6" i="31" s="1"/>
  <c r="I137" i="32"/>
  <c r="I108" i="31" s="1"/>
  <c r="I106" i="37" s="1"/>
  <c r="G76" i="31"/>
  <c r="G76" i="37" s="1"/>
  <c r="K76" i="31"/>
  <c r="K76" i="37" s="1"/>
  <c r="J136" i="32"/>
  <c r="J107" i="31" s="1"/>
  <c r="J105" i="37" s="1"/>
  <c r="J140" i="31"/>
  <c r="J138" i="37" s="1"/>
  <c r="H65" i="31"/>
  <c r="H65" i="37" s="1"/>
  <c r="D97" i="31"/>
  <c r="D96" i="37" s="1"/>
  <c r="E140" i="31"/>
  <c r="E138" i="37" s="1"/>
  <c r="L20" i="32"/>
  <c r="E5" i="31" s="1"/>
  <c r="I86" i="31"/>
  <c r="I86" i="37" s="1"/>
  <c r="D89" i="31"/>
  <c r="D89" i="37" s="1"/>
  <c r="I95" i="31"/>
  <c r="I94" i="37" s="1"/>
  <c r="J9" i="32"/>
  <c r="G128" i="32"/>
  <c r="J65" i="31"/>
  <c r="J65" i="37" s="1"/>
  <c r="F150" i="32"/>
  <c r="F72" i="31"/>
  <c r="F72" i="37" s="1"/>
  <c r="D140" i="31"/>
  <c r="D138" i="37" s="1"/>
  <c r="K128" i="32"/>
  <c r="I128" i="32"/>
  <c r="F65" i="31"/>
  <c r="F65" i="37" s="1"/>
  <c r="K140" i="31"/>
  <c r="K138" i="37" s="1"/>
  <c r="E63" i="31"/>
  <c r="E63" i="37" s="1"/>
  <c r="J85" i="31"/>
  <c r="J85" i="37" s="1"/>
  <c r="D137" i="32"/>
  <c r="D108" i="31" s="1"/>
  <c r="D106" i="37" s="1"/>
  <c r="H167" i="32"/>
  <c r="H54" i="31" s="1"/>
  <c r="H54" i="37" s="1"/>
  <c r="H140" i="31"/>
  <c r="H138" i="37" s="1"/>
  <c r="G63" i="31"/>
  <c r="G63" i="37" s="1"/>
  <c r="F88" i="31"/>
  <c r="F88" i="37" s="1"/>
  <c r="H95" i="31"/>
  <c r="H94" i="37" s="1"/>
  <c r="H97" i="31"/>
  <c r="H96" i="37" s="1"/>
  <c r="G140" i="31"/>
  <c r="G138" i="37" s="1"/>
  <c r="J150" i="32"/>
  <c r="J72" i="31"/>
  <c r="J72" i="37" s="1"/>
  <c r="D92" i="31"/>
  <c r="D91" i="37" s="1"/>
  <c r="L26" i="32"/>
  <c r="E9" i="31" s="1"/>
  <c r="E150" i="32"/>
  <c r="E72" i="31"/>
  <c r="E72" i="37" s="1"/>
  <c r="F129" i="31"/>
  <c r="F127" i="37" s="1"/>
  <c r="F9" i="32"/>
  <c r="J129" i="31"/>
  <c r="J127" i="37" s="1"/>
  <c r="G94" i="31"/>
  <c r="G93" i="37" s="1"/>
  <c r="K128" i="31"/>
  <c r="K126" i="37" s="1"/>
  <c r="J96" i="31"/>
  <c r="J95" i="37" s="1"/>
  <c r="G85" i="31"/>
  <c r="G85" i="37" s="1"/>
  <c r="K85" i="31"/>
  <c r="K85" i="37" s="1"/>
  <c r="G86" i="31"/>
  <c r="G86" i="37" s="1"/>
  <c r="K86" i="31"/>
  <c r="K86" i="37" s="1"/>
  <c r="K23" i="32"/>
  <c r="J66" i="31"/>
  <c r="J66" i="37" s="1"/>
  <c r="H72" i="31"/>
  <c r="H72" i="37" s="1"/>
  <c r="H150" i="32"/>
  <c r="L138" i="31"/>
  <c r="L136" i="37" s="1"/>
  <c r="G128" i="31"/>
  <c r="G126" i="37" s="1"/>
  <c r="L139" i="31"/>
  <c r="L137" i="37" s="1"/>
  <c r="I72" i="31"/>
  <c r="I72" i="37" s="1"/>
  <c r="G95" i="31"/>
  <c r="G94" i="37" s="1"/>
  <c r="G9" i="32"/>
  <c r="G97" i="31"/>
  <c r="G96" i="37" s="1"/>
  <c r="G129" i="31"/>
  <c r="G127" i="37" s="1"/>
  <c r="K97" i="31"/>
  <c r="K96" i="37" s="1"/>
  <c r="K9" i="32"/>
  <c r="D128" i="31"/>
  <c r="D94" i="31"/>
  <c r="D93" i="37" s="1"/>
  <c r="H128" i="31"/>
  <c r="H126" i="37" s="1"/>
  <c r="H94" i="31"/>
  <c r="H93" i="37" s="1"/>
  <c r="L8" i="32"/>
  <c r="E11" i="31" s="1"/>
  <c r="E11" i="37" s="1"/>
  <c r="D23" i="32"/>
  <c r="D85" i="31"/>
  <c r="D85" i="37" s="1"/>
  <c r="L15" i="32"/>
  <c r="E88" i="31"/>
  <c r="E88" i="37" s="1"/>
  <c r="I88" i="31"/>
  <c r="I88" i="37" s="1"/>
  <c r="D150" i="32"/>
  <c r="D72" i="31"/>
  <c r="D72" i="37" s="1"/>
  <c r="L16" i="32"/>
  <c r="E4" i="31" s="1"/>
  <c r="E92" i="31"/>
  <c r="E91" i="37" s="1"/>
  <c r="I92" i="31"/>
  <c r="I91" i="37" s="1"/>
  <c r="I133" i="32"/>
  <c r="I66" i="31" s="1"/>
  <c r="I66" i="37" s="1"/>
  <c r="E128" i="32"/>
  <c r="E167" i="32"/>
  <c r="E54" i="31" s="1"/>
  <c r="E54" i="37" s="1"/>
  <c r="D9" i="32"/>
  <c r="H9" i="32"/>
  <c r="L12" i="32"/>
  <c r="E12" i="31" s="1"/>
  <c r="L13" i="32"/>
  <c r="E13" i="31" s="1"/>
  <c r="E13" i="37" s="1"/>
  <c r="I23" i="32"/>
  <c r="F167" i="32"/>
  <c r="F54" i="31" s="1"/>
  <c r="F54" i="37" s="1"/>
  <c r="D106" i="31"/>
  <c r="D104" i="37" s="1"/>
  <c r="E23" i="32"/>
  <c r="K137" i="32"/>
  <c r="K108" i="31" s="1"/>
  <c r="K106" i="37" s="1"/>
  <c r="D161" i="32"/>
  <c r="L7" i="32"/>
  <c r="I136" i="31" l="1"/>
  <c r="I134" i="37" s="1"/>
  <c r="E151" i="31"/>
  <c r="E149" i="37" s="1"/>
  <c r="M86" i="31"/>
  <c r="M86" i="37" s="1"/>
  <c r="E4" i="37"/>
  <c r="M88" i="31"/>
  <c r="M88" i="37" s="1"/>
  <c r="E6" i="37"/>
  <c r="M92" i="31"/>
  <c r="M91" i="37" s="1"/>
  <c r="E9" i="37"/>
  <c r="M87" i="31"/>
  <c r="M87" i="37" s="1"/>
  <c r="E5" i="37"/>
  <c r="E135" i="31"/>
  <c r="E133" i="37" s="1"/>
  <c r="E127" i="37"/>
  <c r="D134" i="31"/>
  <c r="D132" i="37" s="1"/>
  <c r="D126" i="37"/>
  <c r="M95" i="31"/>
  <c r="M94" i="37" s="1"/>
  <c r="E12" i="37"/>
  <c r="E134" i="31"/>
  <c r="E132" i="37" s="1"/>
  <c r="E126" i="37"/>
  <c r="M89" i="31"/>
  <c r="M89" i="37" s="1"/>
  <c r="E7" i="37"/>
  <c r="E27" i="33"/>
  <c r="AE27" i="33" s="1"/>
  <c r="E27" i="37"/>
  <c r="AE27" i="37" s="1"/>
  <c r="D151" i="31"/>
  <c r="D149" i="37" s="1"/>
  <c r="E107" i="31"/>
  <c r="E105" i="37" s="1"/>
  <c r="F107" i="31"/>
  <c r="F105" i="37" s="1"/>
  <c r="K151" i="31"/>
  <c r="H151" i="31"/>
  <c r="H149" i="37" s="1"/>
  <c r="G151" i="31"/>
  <c r="G149" i="37" s="1"/>
  <c r="J134" i="31"/>
  <c r="J132" i="37" s="1"/>
  <c r="G134" i="31"/>
  <c r="G132" i="37" s="1"/>
  <c r="J135" i="31"/>
  <c r="J133" i="37" s="1"/>
  <c r="I151" i="31"/>
  <c r="I149" i="37" s="1"/>
  <c r="J151" i="31"/>
  <c r="J149" i="37" s="1"/>
  <c r="G135" i="31"/>
  <c r="G133" i="37" s="1"/>
  <c r="F151" i="31"/>
  <c r="F149" i="37" s="1"/>
  <c r="G53" i="31"/>
  <c r="G53" i="37" s="1"/>
  <c r="K53" i="31"/>
  <c r="K53" i="37" s="1"/>
  <c r="H107" i="31"/>
  <c r="H105" i="37" s="1"/>
  <c r="K130" i="31"/>
  <c r="K128" i="37" s="1"/>
  <c r="K134" i="31"/>
  <c r="K132" i="37" s="1"/>
  <c r="H130" i="31"/>
  <c r="H128" i="37" s="1"/>
  <c r="H134" i="31"/>
  <c r="H132" i="37" s="1"/>
  <c r="F130" i="31"/>
  <c r="F128" i="37" s="1"/>
  <c r="F135" i="31"/>
  <c r="F133" i="37" s="1"/>
  <c r="AE29" i="33"/>
  <c r="D37" i="33"/>
  <c r="AD37" i="33" s="1"/>
  <c r="G65" i="31"/>
  <c r="G65" i="37" s="1"/>
  <c r="I65" i="31"/>
  <c r="I65" i="37" s="1"/>
  <c r="L87" i="31"/>
  <c r="AF35" i="21"/>
  <c r="AL29" i="21"/>
  <c r="L36" i="21"/>
  <c r="AE37" i="21"/>
  <c r="AI37" i="21"/>
  <c r="AK37" i="21"/>
  <c r="AK35" i="21"/>
  <c r="AG35" i="21"/>
  <c r="AJ37" i="21"/>
  <c r="AH37" i="21"/>
  <c r="D35" i="33"/>
  <c r="AD35" i="33" s="1"/>
  <c r="AH35" i="21"/>
  <c r="AL27" i="21"/>
  <c r="AG37" i="21"/>
  <c r="AF37" i="21"/>
  <c r="AJ35" i="21"/>
  <c r="AI35" i="21"/>
  <c r="AE35" i="21"/>
  <c r="E36" i="33"/>
  <c r="K29" i="33"/>
  <c r="AK29" i="33" s="1"/>
  <c r="AI35" i="31"/>
  <c r="I35" i="33"/>
  <c r="AI35" i="33" s="1"/>
  <c r="H36" i="31"/>
  <c r="H36" i="37" s="1"/>
  <c r="H28" i="33"/>
  <c r="AK35" i="31"/>
  <c r="K35" i="33"/>
  <c r="AK35" i="33" s="1"/>
  <c r="I29" i="33"/>
  <c r="AI29" i="33" s="1"/>
  <c r="AD42" i="31"/>
  <c r="D42" i="33"/>
  <c r="J29" i="33"/>
  <c r="AJ29" i="33" s="1"/>
  <c r="J36" i="31"/>
  <c r="J36" i="37" s="1"/>
  <c r="J28" i="33"/>
  <c r="J27" i="33"/>
  <c r="AJ27" i="33" s="1"/>
  <c r="I36" i="33"/>
  <c r="G29" i="33"/>
  <c r="AG29" i="33" s="1"/>
  <c r="AG35" i="31"/>
  <c r="G35" i="33"/>
  <c r="AG35" i="33" s="1"/>
  <c r="H29" i="33"/>
  <c r="AH29" i="33" s="1"/>
  <c r="H27" i="33"/>
  <c r="AH27" i="33" s="1"/>
  <c r="G36" i="33"/>
  <c r="L48" i="31"/>
  <c r="L41" i="33"/>
  <c r="AL41" i="33" s="1"/>
  <c r="D30" i="31"/>
  <c r="D28" i="33"/>
  <c r="F29" i="33"/>
  <c r="AF29" i="33" s="1"/>
  <c r="F36" i="31"/>
  <c r="F36" i="37" s="1"/>
  <c r="F28" i="33"/>
  <c r="F27" i="33"/>
  <c r="AF27" i="33" s="1"/>
  <c r="AE37" i="31"/>
  <c r="E37" i="33"/>
  <c r="K36" i="33"/>
  <c r="F38" i="21"/>
  <c r="AF30" i="21"/>
  <c r="AI30" i="21"/>
  <c r="I38" i="21"/>
  <c r="AE30" i="21"/>
  <c r="E38" i="21"/>
  <c r="AM48" i="21"/>
  <c r="AL48" i="21"/>
  <c r="AD35" i="21"/>
  <c r="L35" i="21"/>
  <c r="AK30" i="21"/>
  <c r="K38" i="21"/>
  <c r="AH30" i="21"/>
  <c r="H38" i="21"/>
  <c r="G38" i="21"/>
  <c r="AG30" i="21"/>
  <c r="L37" i="21"/>
  <c r="AD37" i="21"/>
  <c r="AD30" i="21"/>
  <c r="D38" i="21"/>
  <c r="L30" i="21"/>
  <c r="J38" i="21"/>
  <c r="AJ30" i="21"/>
  <c r="J53" i="31"/>
  <c r="J53" i="37" s="1"/>
  <c r="E65" i="31"/>
  <c r="E65" i="37" s="1"/>
  <c r="L27" i="31"/>
  <c r="L27" i="37" s="1"/>
  <c r="AL27" i="37" s="1"/>
  <c r="K78" i="31"/>
  <c r="K78" i="37" s="1"/>
  <c r="AH42" i="31"/>
  <c r="D78" i="31"/>
  <c r="D78" i="37" s="1"/>
  <c r="E78" i="31"/>
  <c r="E78" i="37" s="1"/>
  <c r="AF42" i="31"/>
  <c r="AI42" i="31"/>
  <c r="AD37" i="31"/>
  <c r="AF29" i="31"/>
  <c r="F37" i="31"/>
  <c r="F37" i="37" s="1"/>
  <c r="AF37" i="37" s="1"/>
  <c r="F35" i="31"/>
  <c r="F35" i="37" s="1"/>
  <c r="AF35" i="37" s="1"/>
  <c r="F30" i="31"/>
  <c r="F30" i="37" s="1"/>
  <c r="AF27" i="31"/>
  <c r="H78" i="31"/>
  <c r="H78" i="37" s="1"/>
  <c r="I107" i="31"/>
  <c r="I105" i="37" s="1"/>
  <c r="AK29" i="31"/>
  <c r="K37" i="31"/>
  <c r="K37" i="37" s="1"/>
  <c r="AK37" i="37" s="1"/>
  <c r="K30" i="31"/>
  <c r="K30" i="37" s="1"/>
  <c r="AL41" i="31"/>
  <c r="H37" i="31"/>
  <c r="H37" i="37" s="1"/>
  <c r="AH37" i="37" s="1"/>
  <c r="AH29" i="31"/>
  <c r="AH27" i="31"/>
  <c r="H35" i="31"/>
  <c r="H35" i="37" s="1"/>
  <c r="AH35" i="37" s="1"/>
  <c r="H30" i="31"/>
  <c r="H30" i="37" s="1"/>
  <c r="AG29" i="31"/>
  <c r="G37" i="31"/>
  <c r="G37" i="37" s="1"/>
  <c r="AG37" i="37" s="1"/>
  <c r="L29" i="31"/>
  <c r="L29" i="37" s="1"/>
  <c r="AL29" i="37" s="1"/>
  <c r="L40" i="31"/>
  <c r="L40" i="37" s="1"/>
  <c r="AL40" i="37" s="1"/>
  <c r="G30" i="31"/>
  <c r="G30" i="37" s="1"/>
  <c r="I37" i="31"/>
  <c r="I37" i="37" s="1"/>
  <c r="AI37" i="37" s="1"/>
  <c r="AI29" i="31"/>
  <c r="I30" i="31"/>
  <c r="I30" i="37" s="1"/>
  <c r="D36" i="31"/>
  <c r="D36" i="37" s="1"/>
  <c r="L28" i="31"/>
  <c r="AJ29" i="31"/>
  <c r="J37" i="31"/>
  <c r="J37" i="37" s="1"/>
  <c r="AJ37" i="37" s="1"/>
  <c r="J30" i="31"/>
  <c r="J30" i="37" s="1"/>
  <c r="AJ27" i="31"/>
  <c r="J35" i="31"/>
  <c r="J35" i="37" s="1"/>
  <c r="AJ35" i="37" s="1"/>
  <c r="E30" i="31"/>
  <c r="E35" i="31"/>
  <c r="E35" i="37" s="1"/>
  <c r="AE35" i="37" s="1"/>
  <c r="AE27" i="31"/>
  <c r="AD35" i="31"/>
  <c r="J78" i="31"/>
  <c r="J78" i="37" s="1"/>
  <c r="D56" i="31"/>
  <c r="D56" i="37" s="1"/>
  <c r="I78" i="31"/>
  <c r="I78" i="37" s="1"/>
  <c r="J130" i="31"/>
  <c r="J128" i="37" s="1"/>
  <c r="F78" i="31"/>
  <c r="F78" i="37" s="1"/>
  <c r="K150" i="32"/>
  <c r="G78" i="31"/>
  <c r="G78" i="37" s="1"/>
  <c r="G153" i="31"/>
  <c r="G151" i="37" s="1"/>
  <c r="L89" i="31"/>
  <c r="D107" i="31"/>
  <c r="D105" i="37" s="1"/>
  <c r="L86" i="31"/>
  <c r="E130" i="31"/>
  <c r="E128" i="37" s="1"/>
  <c r="D138" i="32"/>
  <c r="E135" i="32" s="1"/>
  <c r="L140" i="31"/>
  <c r="L138" i="37" s="1"/>
  <c r="F128" i="32"/>
  <c r="L95" i="31"/>
  <c r="L96" i="31"/>
  <c r="G130" i="31"/>
  <c r="G128" i="37" s="1"/>
  <c r="H128" i="32"/>
  <c r="L85" i="31"/>
  <c r="M94" i="31"/>
  <c r="M93" i="37" s="1"/>
  <c r="L94" i="31"/>
  <c r="L97" i="31"/>
  <c r="L9" i="32"/>
  <c r="E14" i="31"/>
  <c r="D130" i="31"/>
  <c r="D128" i="37" s="1"/>
  <c r="L128" i="31"/>
  <c r="L126" i="37" s="1"/>
  <c r="L92" i="31"/>
  <c r="L91" i="37" s="1"/>
  <c r="E19" i="31"/>
  <c r="E19" i="37" s="1"/>
  <c r="M96" i="31"/>
  <c r="M95" i="37" s="1"/>
  <c r="L23" i="32"/>
  <c r="E3" i="31"/>
  <c r="E3" i="37" s="1"/>
  <c r="L129" i="31"/>
  <c r="L127" i="37" s="1"/>
  <c r="L88" i="31"/>
  <c r="K103" i="30"/>
  <c r="J103" i="30"/>
  <c r="I103" i="30"/>
  <c r="H103" i="30"/>
  <c r="G103" i="30"/>
  <c r="F103" i="30"/>
  <c r="E103" i="30"/>
  <c r="D103" i="30"/>
  <c r="C91" i="30"/>
  <c r="C90" i="30"/>
  <c r="C89" i="30"/>
  <c r="C87" i="30"/>
  <c r="C86" i="30"/>
  <c r="C85" i="30"/>
  <c r="C84" i="30"/>
  <c r="C83" i="30"/>
  <c r="C81" i="30"/>
  <c r="X18" i="30"/>
  <c r="W18" i="30"/>
  <c r="X16" i="30"/>
  <c r="W16" i="30"/>
  <c r="X11" i="30"/>
  <c r="W11" i="30"/>
  <c r="H2" i="30"/>
  <c r="K145" i="28"/>
  <c r="K143" i="34" s="1"/>
  <c r="I145" i="28"/>
  <c r="I143" i="34" s="1"/>
  <c r="H145" i="28"/>
  <c r="H143" i="34" s="1"/>
  <c r="D145" i="28"/>
  <c r="D143" i="34" s="1"/>
  <c r="K251" i="29"/>
  <c r="K140" i="28" s="1"/>
  <c r="K138" i="34" s="1"/>
  <c r="I251" i="29"/>
  <c r="I140" i="28" s="1"/>
  <c r="I138" i="34" s="1"/>
  <c r="H251" i="29"/>
  <c r="H140" i="28" s="1"/>
  <c r="H138" i="34" s="1"/>
  <c r="G251" i="29"/>
  <c r="G140" i="28" s="1"/>
  <c r="G138" i="34" s="1"/>
  <c r="D251" i="29"/>
  <c r="D140" i="28" s="1"/>
  <c r="D138" i="34" s="1"/>
  <c r="K143" i="28"/>
  <c r="K141" i="34" s="1"/>
  <c r="J143" i="28"/>
  <c r="J141" i="34" s="1"/>
  <c r="I143" i="28"/>
  <c r="I141" i="34" s="1"/>
  <c r="H143" i="28"/>
  <c r="H141" i="34" s="1"/>
  <c r="G143" i="28"/>
  <c r="G141" i="34" s="1"/>
  <c r="F143" i="28"/>
  <c r="F141" i="34" s="1"/>
  <c r="E143" i="28"/>
  <c r="E141" i="34" s="1"/>
  <c r="D143" i="28"/>
  <c r="D141" i="34" s="1"/>
  <c r="K142" i="28"/>
  <c r="K140" i="34" s="1"/>
  <c r="J142" i="28"/>
  <c r="J140" i="34" s="1"/>
  <c r="I142" i="28"/>
  <c r="I140" i="34" s="1"/>
  <c r="H142" i="28"/>
  <c r="H140" i="34" s="1"/>
  <c r="G142" i="28"/>
  <c r="G140" i="34" s="1"/>
  <c r="F142" i="28"/>
  <c r="F140" i="34" s="1"/>
  <c r="E142" i="28"/>
  <c r="E140" i="34" s="1"/>
  <c r="D142" i="28"/>
  <c r="D140" i="34" s="1"/>
  <c r="K141" i="28"/>
  <c r="K139" i="34" s="1"/>
  <c r="J141" i="28"/>
  <c r="J139" i="34" s="1"/>
  <c r="I141" i="28"/>
  <c r="I139" i="34" s="1"/>
  <c r="H141" i="28"/>
  <c r="H139" i="34" s="1"/>
  <c r="G141" i="28"/>
  <c r="G139" i="34" s="1"/>
  <c r="E141" i="28"/>
  <c r="E139" i="34" s="1"/>
  <c r="D141" i="28"/>
  <c r="D139" i="34" s="1"/>
  <c r="K139" i="28"/>
  <c r="K137" i="34" s="1"/>
  <c r="J139" i="28"/>
  <c r="J137" i="34" s="1"/>
  <c r="I139" i="28"/>
  <c r="I137" i="34" s="1"/>
  <c r="H139" i="28"/>
  <c r="H137" i="34" s="1"/>
  <c r="F139" i="28"/>
  <c r="F137" i="34" s="1"/>
  <c r="E139" i="28"/>
  <c r="E137" i="34" s="1"/>
  <c r="D139" i="28"/>
  <c r="D137" i="34" s="1"/>
  <c r="K138" i="28"/>
  <c r="K136" i="34" s="1"/>
  <c r="J138" i="28"/>
  <c r="J136" i="34" s="1"/>
  <c r="I138" i="28"/>
  <c r="I136" i="34" s="1"/>
  <c r="H138" i="28"/>
  <c r="H136" i="34" s="1"/>
  <c r="G138" i="28"/>
  <c r="G136" i="34" s="1"/>
  <c r="F138" i="28"/>
  <c r="F136" i="34" s="1"/>
  <c r="E138" i="28"/>
  <c r="E136" i="34" s="1"/>
  <c r="D138" i="28"/>
  <c r="D136" i="34" s="1"/>
  <c r="K155" i="29"/>
  <c r="K117" i="28" s="1"/>
  <c r="K115" i="34" s="1"/>
  <c r="J155" i="29"/>
  <c r="J117" i="28" s="1"/>
  <c r="J115" i="34" s="1"/>
  <c r="I155" i="29"/>
  <c r="I117" i="28" s="1"/>
  <c r="I115" i="34" s="1"/>
  <c r="H155" i="29"/>
  <c r="H117" i="28" s="1"/>
  <c r="H115" i="34" s="1"/>
  <c r="G155" i="29"/>
  <c r="G117" i="28" s="1"/>
  <c r="G115" i="34" s="1"/>
  <c r="F155" i="29"/>
  <c r="F117" i="28" s="1"/>
  <c r="F115" i="34" s="1"/>
  <c r="E155" i="29"/>
  <c r="E117" i="28" s="1"/>
  <c r="E115" i="34" s="1"/>
  <c r="D155" i="29"/>
  <c r="D117" i="28" s="1"/>
  <c r="D115" i="34" s="1"/>
  <c r="K154" i="29"/>
  <c r="K116" i="28" s="1"/>
  <c r="K114" i="34" s="1"/>
  <c r="J154" i="29"/>
  <c r="J116" i="28" s="1"/>
  <c r="J114" i="34" s="1"/>
  <c r="I154" i="29"/>
  <c r="I116" i="28" s="1"/>
  <c r="I114" i="34" s="1"/>
  <c r="H154" i="29"/>
  <c r="H116" i="28" s="1"/>
  <c r="H114" i="34" s="1"/>
  <c r="G154" i="29"/>
  <c r="G116" i="28" s="1"/>
  <c r="G114" i="34" s="1"/>
  <c r="F154" i="29"/>
  <c r="F116" i="28" s="1"/>
  <c r="F114" i="34" s="1"/>
  <c r="E154" i="29"/>
  <c r="E116" i="28" s="1"/>
  <c r="E114" i="34" s="1"/>
  <c r="D154" i="29"/>
  <c r="D116" i="28" s="1"/>
  <c r="D114" i="34" s="1"/>
  <c r="K153" i="29"/>
  <c r="K115" i="28" s="1"/>
  <c r="K113" i="34" s="1"/>
  <c r="I153" i="29"/>
  <c r="I115" i="28" s="1"/>
  <c r="I113" i="34" s="1"/>
  <c r="H153" i="29"/>
  <c r="H115" i="28" s="1"/>
  <c r="H113" i="34" s="1"/>
  <c r="G153" i="29"/>
  <c r="G115" i="28" s="1"/>
  <c r="G113" i="34" s="1"/>
  <c r="F153" i="29"/>
  <c r="F115" i="28" s="1"/>
  <c r="F113" i="34" s="1"/>
  <c r="E153" i="29"/>
  <c r="E115" i="28" s="1"/>
  <c r="E113" i="34" s="1"/>
  <c r="D153" i="29"/>
  <c r="D115" i="28" s="1"/>
  <c r="D113" i="34" s="1"/>
  <c r="J152" i="29"/>
  <c r="J114" i="28" s="1"/>
  <c r="J112" i="34" s="1"/>
  <c r="I152" i="29"/>
  <c r="I114" i="28" s="1"/>
  <c r="I112" i="34" s="1"/>
  <c r="H152" i="29"/>
  <c r="H114" i="28" s="1"/>
  <c r="H112" i="34" s="1"/>
  <c r="G152" i="29"/>
  <c r="G114" i="28" s="1"/>
  <c r="G112" i="34" s="1"/>
  <c r="F152" i="29"/>
  <c r="F114" i="28" s="1"/>
  <c r="F112" i="34" s="1"/>
  <c r="E152" i="29"/>
  <c r="E114" i="28" s="1"/>
  <c r="E112" i="34" s="1"/>
  <c r="D152" i="29"/>
  <c r="D114" i="28" s="1"/>
  <c r="D112" i="34" s="1"/>
  <c r="K176" i="29"/>
  <c r="I176" i="29"/>
  <c r="G176" i="29"/>
  <c r="F176" i="29"/>
  <c r="E176" i="29"/>
  <c r="D176" i="29"/>
  <c r="K175" i="29"/>
  <c r="K132" i="28" s="1"/>
  <c r="K130" i="34" s="1"/>
  <c r="J175" i="29"/>
  <c r="J132" i="28" s="1"/>
  <c r="J130" i="34" s="1"/>
  <c r="I175" i="29"/>
  <c r="I132" i="28" s="1"/>
  <c r="I130" i="34" s="1"/>
  <c r="H175" i="29"/>
  <c r="H132" i="28" s="1"/>
  <c r="H130" i="34" s="1"/>
  <c r="G175" i="29"/>
  <c r="G132" i="28" s="1"/>
  <c r="G130" i="34" s="1"/>
  <c r="F175" i="29"/>
  <c r="F132" i="28" s="1"/>
  <c r="F130" i="34" s="1"/>
  <c r="E175" i="29"/>
  <c r="E132" i="28" s="1"/>
  <c r="E130" i="34" s="1"/>
  <c r="D175" i="29"/>
  <c r="D132" i="28" s="1"/>
  <c r="D130" i="34" s="1"/>
  <c r="K174" i="29"/>
  <c r="K133" i="28" s="1"/>
  <c r="K131" i="34" s="1"/>
  <c r="I174" i="29"/>
  <c r="I133" i="28" s="1"/>
  <c r="I131" i="34" s="1"/>
  <c r="H174" i="29"/>
  <c r="H133" i="28" s="1"/>
  <c r="H131" i="34" s="1"/>
  <c r="G174" i="29"/>
  <c r="G133" i="28" s="1"/>
  <c r="G131" i="34" s="1"/>
  <c r="E174" i="29"/>
  <c r="E133" i="28" s="1"/>
  <c r="E131" i="34" s="1"/>
  <c r="D174" i="29"/>
  <c r="D133" i="28" s="1"/>
  <c r="D131" i="34" s="1"/>
  <c r="K45" i="28"/>
  <c r="K45" i="34" s="1"/>
  <c r="J45" i="28"/>
  <c r="J45" i="34" s="1"/>
  <c r="I45" i="28"/>
  <c r="I45" i="34" s="1"/>
  <c r="H45" i="28"/>
  <c r="H45" i="34" s="1"/>
  <c r="G45" i="28"/>
  <c r="G45" i="34" s="1"/>
  <c r="F45" i="28"/>
  <c r="F45" i="34" s="1"/>
  <c r="E45" i="28"/>
  <c r="E45" i="34" s="1"/>
  <c r="D45" i="28"/>
  <c r="D45" i="34" s="1"/>
  <c r="K140" i="29"/>
  <c r="K62" i="28" s="1"/>
  <c r="K62" i="34" s="1"/>
  <c r="AJ62" i="34" s="1"/>
  <c r="J140" i="29"/>
  <c r="J62" i="28" s="1"/>
  <c r="J62" i="34" s="1"/>
  <c r="AI62" i="34" s="1"/>
  <c r="I140" i="29"/>
  <c r="I62" i="28" s="1"/>
  <c r="I62" i="34" s="1"/>
  <c r="AH62" i="34" s="1"/>
  <c r="H140" i="29"/>
  <c r="H62" i="28" s="1"/>
  <c r="H62" i="34" s="1"/>
  <c r="AG62" i="34" s="1"/>
  <c r="G140" i="29"/>
  <c r="G62" i="28" s="1"/>
  <c r="G62" i="34" s="1"/>
  <c r="AF62" i="34" s="1"/>
  <c r="F140" i="29"/>
  <c r="F62" i="28" s="1"/>
  <c r="F62" i="34" s="1"/>
  <c r="AE62" i="34" s="1"/>
  <c r="E140" i="29"/>
  <c r="E62" i="28" s="1"/>
  <c r="E62" i="34" s="1"/>
  <c r="AD62" i="34" s="1"/>
  <c r="D140" i="29"/>
  <c r="D62" i="28" s="1"/>
  <c r="D62" i="34" s="1"/>
  <c r="AC62" i="34" s="1"/>
  <c r="K144" i="29"/>
  <c r="J107" i="28"/>
  <c r="J105" i="34" s="1"/>
  <c r="H73" i="28"/>
  <c r="H73" i="34" s="1"/>
  <c r="AG73" i="34" s="1"/>
  <c r="G144" i="29"/>
  <c r="D107" i="28"/>
  <c r="D105" i="34" s="1"/>
  <c r="K67" i="28"/>
  <c r="J104" i="28"/>
  <c r="J102" i="34" s="1"/>
  <c r="I104" i="28"/>
  <c r="I102" i="34" s="1"/>
  <c r="H104" i="28"/>
  <c r="H102" i="34" s="1"/>
  <c r="G67" i="28"/>
  <c r="F104" i="28"/>
  <c r="F102" i="34" s="1"/>
  <c r="E104" i="28"/>
  <c r="E102" i="34" s="1"/>
  <c r="K65" i="28"/>
  <c r="K65" i="34" s="1"/>
  <c r="AJ65" i="34" s="1"/>
  <c r="J65" i="28"/>
  <c r="J65" i="34" s="1"/>
  <c r="AI65" i="34" s="1"/>
  <c r="I65" i="28"/>
  <c r="I65" i="34" s="1"/>
  <c r="AH65" i="34" s="1"/>
  <c r="H65" i="28"/>
  <c r="H65" i="34" s="1"/>
  <c r="AG65" i="34" s="1"/>
  <c r="F65" i="28"/>
  <c r="F65" i="34" s="1"/>
  <c r="AE65" i="34" s="1"/>
  <c r="E65" i="28"/>
  <c r="E65" i="34" s="1"/>
  <c r="AD65" i="34" s="1"/>
  <c r="D65" i="28"/>
  <c r="D65" i="34" s="1"/>
  <c r="AC65" i="34" s="1"/>
  <c r="K64" i="28"/>
  <c r="K64" i="34" s="1"/>
  <c r="AJ64" i="34" s="1"/>
  <c r="J64" i="28"/>
  <c r="J64" i="34" s="1"/>
  <c r="AI64" i="34" s="1"/>
  <c r="I64" i="28"/>
  <c r="I64" i="34" s="1"/>
  <c r="AH64" i="34" s="1"/>
  <c r="G64" i="28"/>
  <c r="G64" i="34" s="1"/>
  <c r="AF64" i="34" s="1"/>
  <c r="F64" i="28"/>
  <c r="F64" i="34" s="1"/>
  <c r="AE64" i="34" s="1"/>
  <c r="E64" i="28"/>
  <c r="E64" i="34" s="1"/>
  <c r="AD64" i="34" s="1"/>
  <c r="D64" i="28"/>
  <c r="D64" i="34" s="1"/>
  <c r="AC64" i="34" s="1"/>
  <c r="K63" i="28"/>
  <c r="K63" i="34" s="1"/>
  <c r="AJ63" i="34" s="1"/>
  <c r="J63" i="28"/>
  <c r="J63" i="34" s="1"/>
  <c r="AI63" i="34" s="1"/>
  <c r="H63" i="28"/>
  <c r="H63" i="34" s="1"/>
  <c r="AG63" i="34" s="1"/>
  <c r="G63" i="28"/>
  <c r="G63" i="34" s="1"/>
  <c r="AF63" i="34" s="1"/>
  <c r="F63" i="28"/>
  <c r="F63" i="34" s="1"/>
  <c r="AE63" i="34" s="1"/>
  <c r="E63" i="28"/>
  <c r="E63" i="34" s="1"/>
  <c r="AD63" i="34" s="1"/>
  <c r="D63" i="28"/>
  <c r="D63" i="34" s="1"/>
  <c r="AC63" i="34" s="1"/>
  <c r="F66" i="28"/>
  <c r="F66" i="34" s="1"/>
  <c r="AE66" i="34" s="1"/>
  <c r="K61" i="28"/>
  <c r="K61" i="34" s="1"/>
  <c r="AJ61" i="34" s="1"/>
  <c r="I61" i="28"/>
  <c r="I61" i="34" s="1"/>
  <c r="AH61" i="34" s="1"/>
  <c r="H61" i="28"/>
  <c r="H61" i="34" s="1"/>
  <c r="AG61" i="34" s="1"/>
  <c r="G61" i="28"/>
  <c r="G61" i="34" s="1"/>
  <c r="AF61" i="34" s="1"/>
  <c r="F61" i="28"/>
  <c r="F61" i="34" s="1"/>
  <c r="AE61" i="34" s="1"/>
  <c r="E61" i="28"/>
  <c r="E61" i="34" s="1"/>
  <c r="AD61" i="34" s="1"/>
  <c r="D61" i="28"/>
  <c r="D61" i="34" s="1"/>
  <c r="AC61" i="34" s="1"/>
  <c r="K60" i="28"/>
  <c r="K60" i="34" s="1"/>
  <c r="AJ60" i="34" s="1"/>
  <c r="J60" i="28"/>
  <c r="J60" i="34" s="1"/>
  <c r="AI60" i="34" s="1"/>
  <c r="I60" i="28"/>
  <c r="I60" i="34" s="1"/>
  <c r="AH60" i="34" s="1"/>
  <c r="H60" i="28"/>
  <c r="H60" i="34" s="1"/>
  <c r="AG60" i="34" s="1"/>
  <c r="G60" i="28"/>
  <c r="G60" i="34" s="1"/>
  <c r="AF60" i="34" s="1"/>
  <c r="F60" i="28"/>
  <c r="F60" i="34" s="1"/>
  <c r="AE60" i="34" s="1"/>
  <c r="E60" i="28"/>
  <c r="E60" i="34" s="1"/>
  <c r="AD60" i="34" s="1"/>
  <c r="D60" i="28"/>
  <c r="D60" i="34" s="1"/>
  <c r="AC60" i="34" s="1"/>
  <c r="K55" i="28"/>
  <c r="K55" i="34" s="1"/>
  <c r="J55" i="28"/>
  <c r="J55" i="34" s="1"/>
  <c r="I55" i="28"/>
  <c r="I55" i="34" s="1"/>
  <c r="H55" i="28"/>
  <c r="H55" i="34" s="1"/>
  <c r="G55" i="28"/>
  <c r="G55" i="34" s="1"/>
  <c r="F55" i="28"/>
  <c r="F55" i="34" s="1"/>
  <c r="E55" i="28"/>
  <c r="E55" i="34" s="1"/>
  <c r="D55" i="28"/>
  <c r="D55" i="34" s="1"/>
  <c r="K54" i="28"/>
  <c r="K54" i="34" s="1"/>
  <c r="J54" i="28"/>
  <c r="J54" i="34" s="1"/>
  <c r="I54" i="28"/>
  <c r="I54" i="34" s="1"/>
  <c r="F54" i="28"/>
  <c r="F54" i="34" s="1"/>
  <c r="E54" i="28"/>
  <c r="E54" i="34" s="1"/>
  <c r="K53" i="28"/>
  <c r="K53" i="34" s="1"/>
  <c r="J53" i="28"/>
  <c r="J53" i="34" s="1"/>
  <c r="I131" i="29"/>
  <c r="G53" i="28"/>
  <c r="G53" i="34" s="1"/>
  <c r="F131" i="29"/>
  <c r="E131" i="29"/>
  <c r="D53" i="28"/>
  <c r="D53" i="34" s="1"/>
  <c r="K52" i="28"/>
  <c r="K52" i="34" s="1"/>
  <c r="J52" i="28"/>
  <c r="J52" i="34" s="1"/>
  <c r="I52" i="28"/>
  <c r="I52" i="34" s="1"/>
  <c r="H52" i="28"/>
  <c r="H52" i="34" s="1"/>
  <c r="F52" i="28"/>
  <c r="F52" i="34" s="1"/>
  <c r="E52" i="28"/>
  <c r="E52" i="34" s="1"/>
  <c r="D52" i="28"/>
  <c r="D52" i="34" s="1"/>
  <c r="D51" i="28"/>
  <c r="D51" i="34" s="1"/>
  <c r="K36" i="28"/>
  <c r="K36" i="34" s="1"/>
  <c r="J36" i="28"/>
  <c r="J36" i="34" s="1"/>
  <c r="I36" i="28"/>
  <c r="I36" i="34" s="1"/>
  <c r="H36" i="28"/>
  <c r="H36" i="34" s="1"/>
  <c r="G36" i="28"/>
  <c r="G36" i="34" s="1"/>
  <c r="F36" i="28"/>
  <c r="F36" i="34" s="1"/>
  <c r="E36" i="28"/>
  <c r="E36" i="34" s="1"/>
  <c r="D36" i="28"/>
  <c r="D36" i="34" s="1"/>
  <c r="K37" i="28"/>
  <c r="K37" i="34" s="1"/>
  <c r="J37" i="28"/>
  <c r="J37" i="34" s="1"/>
  <c r="I37" i="28"/>
  <c r="I37" i="34" s="1"/>
  <c r="H37" i="28"/>
  <c r="H37" i="34" s="1"/>
  <c r="G37" i="28"/>
  <c r="G37" i="34" s="1"/>
  <c r="F37" i="28"/>
  <c r="F37" i="34" s="1"/>
  <c r="E37" i="28"/>
  <c r="D37" i="28"/>
  <c r="D37" i="34" s="1"/>
  <c r="K88" i="28"/>
  <c r="K87" i="34" s="1"/>
  <c r="J88" i="28"/>
  <c r="J87" i="34" s="1"/>
  <c r="I88" i="28"/>
  <c r="I87" i="34" s="1"/>
  <c r="H88" i="28"/>
  <c r="H87" i="34" s="1"/>
  <c r="G88" i="28"/>
  <c r="G87" i="34" s="1"/>
  <c r="F88" i="28"/>
  <c r="F87" i="34" s="1"/>
  <c r="E88" i="28"/>
  <c r="E87" i="34" s="1"/>
  <c r="D88" i="28"/>
  <c r="D87" i="34" s="1"/>
  <c r="I84" i="28"/>
  <c r="I84" i="34" s="1"/>
  <c r="H84" i="28"/>
  <c r="H84" i="34" s="1"/>
  <c r="G84" i="28"/>
  <c r="G84" i="34" s="1"/>
  <c r="K85" i="28"/>
  <c r="K85" i="34" s="1"/>
  <c r="H85" i="28"/>
  <c r="H85" i="34" s="1"/>
  <c r="G85" i="28"/>
  <c r="G85" i="34" s="1"/>
  <c r="J82" i="28"/>
  <c r="J82" i="34" s="1"/>
  <c r="I82" i="28"/>
  <c r="I82" i="34" s="1"/>
  <c r="H82" i="28"/>
  <c r="H82" i="34" s="1"/>
  <c r="F82" i="28"/>
  <c r="F82" i="34" s="1"/>
  <c r="E82" i="28"/>
  <c r="E82" i="34" s="1"/>
  <c r="D26" i="28"/>
  <c r="L12" i="29"/>
  <c r="I90" i="28"/>
  <c r="I89" i="34" s="1"/>
  <c r="H122" i="28"/>
  <c r="H120" i="34" s="1"/>
  <c r="F122" i="28"/>
  <c r="F120" i="34" s="1"/>
  <c r="E90" i="28"/>
  <c r="E89" i="34" s="1"/>
  <c r="D90" i="28"/>
  <c r="D89" i="34" s="1"/>
  <c r="J123" i="28"/>
  <c r="J121" i="34" s="1"/>
  <c r="I91" i="28"/>
  <c r="I90" i="34" s="1"/>
  <c r="H91" i="28"/>
  <c r="H90" i="34" s="1"/>
  <c r="F91" i="28"/>
  <c r="F90" i="34" s="1"/>
  <c r="E123" i="28"/>
  <c r="D91" i="28"/>
  <c r="D90" i="34" s="1"/>
  <c r="F251" i="29"/>
  <c r="F140" i="28" s="1"/>
  <c r="F138" i="34" s="1"/>
  <c r="J251" i="29"/>
  <c r="J140" i="28" s="1"/>
  <c r="J138" i="34" s="1"/>
  <c r="E251" i="29"/>
  <c r="E140" i="28" s="1"/>
  <c r="E138" i="34" s="1"/>
  <c r="A220" i="29"/>
  <c r="A221" i="29" s="1"/>
  <c r="A223" i="29" s="1"/>
  <c r="A224" i="29" s="1"/>
  <c r="A225" i="29" s="1"/>
  <c r="A226" i="29" s="1"/>
  <c r="A227" i="29" s="1"/>
  <c r="A228" i="29" s="1"/>
  <c r="A229" i="29" s="1"/>
  <c r="A230" i="29" s="1"/>
  <c r="A232" i="29" s="1"/>
  <c r="A233" i="29" s="1"/>
  <c r="A234" i="29" s="1"/>
  <c r="A235" i="29" s="1"/>
  <c r="A236" i="29" s="1"/>
  <c r="A237" i="29" s="1"/>
  <c r="A238" i="29" s="1"/>
  <c r="A239" i="29" s="1"/>
  <c r="A241" i="29" s="1"/>
  <c r="A242" i="29" s="1"/>
  <c r="A243" i="29" s="1"/>
  <c r="A244" i="29" s="1"/>
  <c r="A245" i="29" s="1"/>
  <c r="K152" i="29"/>
  <c r="K114" i="28" s="1"/>
  <c r="K112" i="34" s="1"/>
  <c r="J176" i="29"/>
  <c r="H176" i="29"/>
  <c r="J174" i="29"/>
  <c r="J133" i="28" s="1"/>
  <c r="J131" i="34" s="1"/>
  <c r="F174" i="29"/>
  <c r="F133" i="28" s="1"/>
  <c r="F131" i="34" s="1"/>
  <c r="J153" i="29"/>
  <c r="J115" i="28" s="1"/>
  <c r="J113" i="34" s="1"/>
  <c r="B133" i="29"/>
  <c r="B132" i="29"/>
  <c r="B131" i="29"/>
  <c r="J61" i="28"/>
  <c r="J61" i="34" s="1"/>
  <c r="AI61" i="34" s="1"/>
  <c r="J131" i="29"/>
  <c r="J124" i="29" s="1"/>
  <c r="G52" i="28"/>
  <c r="G52" i="34" s="1"/>
  <c r="K9" i="29"/>
  <c r="H9" i="29"/>
  <c r="K123" i="28"/>
  <c r="K121" i="34" s="1"/>
  <c r="J145" i="28"/>
  <c r="J143" i="34" s="1"/>
  <c r="G145" i="28"/>
  <c r="G143" i="34" s="1"/>
  <c r="F145" i="28"/>
  <c r="F143" i="34" s="1"/>
  <c r="E145" i="28"/>
  <c r="E143" i="34" s="1"/>
  <c r="F141" i="28"/>
  <c r="F139" i="34" s="1"/>
  <c r="G139" i="28"/>
  <c r="G137" i="34" s="1"/>
  <c r="G123" i="28"/>
  <c r="G121" i="34" s="1"/>
  <c r="K122" i="28"/>
  <c r="K120" i="34" s="1"/>
  <c r="G122" i="28"/>
  <c r="G120" i="34" s="1"/>
  <c r="D122" i="28"/>
  <c r="K110" i="28"/>
  <c r="K108" i="34" s="1"/>
  <c r="J110" i="28"/>
  <c r="J108" i="34" s="1"/>
  <c r="I110" i="28"/>
  <c r="I108" i="34" s="1"/>
  <c r="H110" i="28"/>
  <c r="H108" i="34" s="1"/>
  <c r="G110" i="28"/>
  <c r="G108" i="34" s="1"/>
  <c r="F110" i="28"/>
  <c r="F108" i="34" s="1"/>
  <c r="E110" i="28"/>
  <c r="E108" i="34" s="1"/>
  <c r="D110" i="28"/>
  <c r="D108" i="34" s="1"/>
  <c r="C93" i="28"/>
  <c r="J91" i="28"/>
  <c r="J90" i="34" s="1"/>
  <c r="G91" i="28"/>
  <c r="G90" i="34" s="1"/>
  <c r="C91" i="28"/>
  <c r="K90" i="28"/>
  <c r="K89" i="34" s="1"/>
  <c r="G90" i="28"/>
  <c r="G89" i="34" s="1"/>
  <c r="C90" i="28"/>
  <c r="C88" i="28"/>
  <c r="C87" i="28"/>
  <c r="D85" i="28"/>
  <c r="D85" i="34" s="1"/>
  <c r="C85" i="28"/>
  <c r="D84" i="28"/>
  <c r="D84" i="34" s="1"/>
  <c r="C84" i="28"/>
  <c r="C83" i="28"/>
  <c r="K82" i="28"/>
  <c r="K82" i="34" s="1"/>
  <c r="G82" i="28"/>
  <c r="G82" i="34" s="1"/>
  <c r="D82" i="28"/>
  <c r="D82" i="34" s="1"/>
  <c r="C81" i="28"/>
  <c r="G65" i="28"/>
  <c r="G65" i="34" s="1"/>
  <c r="AF65" i="34" s="1"/>
  <c r="H64" i="28"/>
  <c r="H64" i="34" s="1"/>
  <c r="AG64" i="34" s="1"/>
  <c r="I63" i="28"/>
  <c r="I63" i="34" s="1"/>
  <c r="AH63" i="34" s="1"/>
  <c r="H56" i="28"/>
  <c r="H56" i="34" s="1"/>
  <c r="H2" i="28"/>
  <c r="E153" i="31" l="1"/>
  <c r="E151" i="37" s="1"/>
  <c r="E155" i="31"/>
  <c r="J155" i="31"/>
  <c r="AK63" i="34"/>
  <c r="D128" i="28"/>
  <c r="D126" i="34" s="1"/>
  <c r="D120" i="34"/>
  <c r="G87" i="26"/>
  <c r="G67" i="34"/>
  <c r="E129" i="28"/>
  <c r="E127" i="34" s="1"/>
  <c r="E121" i="34"/>
  <c r="E127" i="26"/>
  <c r="E37" i="34"/>
  <c r="AK60" i="34"/>
  <c r="AK62" i="34"/>
  <c r="F153" i="31"/>
  <c r="F151" i="37" s="1"/>
  <c r="E136" i="31"/>
  <c r="E134" i="37" s="1"/>
  <c r="AK64" i="34"/>
  <c r="AK65" i="34"/>
  <c r="K87" i="26"/>
  <c r="K67" i="34"/>
  <c r="D32" i="28"/>
  <c r="D32" i="34" s="1"/>
  <c r="D26" i="34"/>
  <c r="AK61" i="34"/>
  <c r="D136" i="31"/>
  <c r="D134" i="37" s="1"/>
  <c r="I98" i="31"/>
  <c r="AI30" i="37"/>
  <c r="AH30" i="37"/>
  <c r="AF30" i="37"/>
  <c r="M97" i="31"/>
  <c r="M96" i="37" s="1"/>
  <c r="E14" i="37"/>
  <c r="E13" i="27"/>
  <c r="L95" i="37"/>
  <c r="D30" i="33"/>
  <c r="D30" i="37"/>
  <c r="E5" i="27"/>
  <c r="L87" i="37"/>
  <c r="E30" i="33"/>
  <c r="AE30" i="33" s="1"/>
  <c r="E30" i="37"/>
  <c r="E3" i="27"/>
  <c r="L85" i="37"/>
  <c r="E12" i="27"/>
  <c r="L94" i="37"/>
  <c r="L28" i="33"/>
  <c r="L28" i="37"/>
  <c r="AK30" i="37"/>
  <c r="K155" i="31"/>
  <c r="K149" i="37"/>
  <c r="E6" i="27"/>
  <c r="L88" i="37"/>
  <c r="E11" i="27"/>
  <c r="L93" i="37"/>
  <c r="E4" i="27"/>
  <c r="L86" i="37"/>
  <c r="E14" i="27"/>
  <c r="L96" i="37"/>
  <c r="E7" i="27"/>
  <c r="L89" i="37"/>
  <c r="AJ30" i="37"/>
  <c r="AG30" i="37"/>
  <c r="L48" i="33"/>
  <c r="AL48" i="33" s="1"/>
  <c r="L48" i="37"/>
  <c r="AL48" i="37" s="1"/>
  <c r="D145" i="26"/>
  <c r="L164" i="26"/>
  <c r="F128" i="28"/>
  <c r="F126" i="34" s="1"/>
  <c r="K129" i="28"/>
  <c r="K127" i="34" s="1"/>
  <c r="J129" i="28"/>
  <c r="J127" i="34" s="1"/>
  <c r="L163" i="26"/>
  <c r="G128" i="28"/>
  <c r="G126" i="34" s="1"/>
  <c r="K128" i="28"/>
  <c r="K126" i="34" s="1"/>
  <c r="G129" i="28"/>
  <c r="G127" i="34" s="1"/>
  <c r="H128" i="28"/>
  <c r="H126" i="34" s="1"/>
  <c r="D80" i="31"/>
  <c r="D80" i="37" s="1"/>
  <c r="D86" i="27"/>
  <c r="D153" i="31"/>
  <c r="D151" i="37" s="1"/>
  <c r="F153" i="37" s="1"/>
  <c r="I99" i="31"/>
  <c r="I97" i="37" s="1"/>
  <c r="E98" i="31"/>
  <c r="D155" i="31"/>
  <c r="E80" i="31"/>
  <c r="E80" i="37" s="1"/>
  <c r="E86" i="27"/>
  <c r="D98" i="31"/>
  <c r="G155" i="31"/>
  <c r="F155" i="31"/>
  <c r="D58" i="31"/>
  <c r="H80" i="26"/>
  <c r="F80" i="26"/>
  <c r="J80" i="26"/>
  <c r="D56" i="26"/>
  <c r="D45" i="26"/>
  <c r="K80" i="26"/>
  <c r="N128" i="31"/>
  <c r="N126" i="37" s="1"/>
  <c r="I153" i="31"/>
  <c r="I151" i="37" s="1"/>
  <c r="H153" i="31"/>
  <c r="H151" i="37" s="1"/>
  <c r="G136" i="31"/>
  <c r="H155" i="31"/>
  <c r="D38" i="31"/>
  <c r="D38" i="37" s="1"/>
  <c r="AD38" i="37" s="1"/>
  <c r="J136" i="31"/>
  <c r="I155" i="31"/>
  <c r="J153" i="31"/>
  <c r="J151" i="37" s="1"/>
  <c r="K153" i="31"/>
  <c r="K151" i="37" s="1"/>
  <c r="I80" i="26"/>
  <c r="G80" i="26"/>
  <c r="H136" i="31"/>
  <c r="K136" i="31"/>
  <c r="F136" i="31"/>
  <c r="L134" i="31"/>
  <c r="L132" i="37" s="1"/>
  <c r="L135" i="31"/>
  <c r="L133" i="37" s="1"/>
  <c r="D38" i="33"/>
  <c r="AD38" i="33" s="1"/>
  <c r="AL48" i="31"/>
  <c r="G80" i="31"/>
  <c r="G80" i="37" s="1"/>
  <c r="H80" i="31"/>
  <c r="H80" i="37" s="1"/>
  <c r="F80" i="31"/>
  <c r="F80" i="37" s="1"/>
  <c r="F86" i="27"/>
  <c r="J80" i="31"/>
  <c r="J80" i="37" s="1"/>
  <c r="AD30" i="31"/>
  <c r="I80" i="31"/>
  <c r="I80" i="37" s="1"/>
  <c r="K80" i="31"/>
  <c r="K80" i="37" s="1"/>
  <c r="AK38" i="21"/>
  <c r="AI38" i="21"/>
  <c r="AJ38" i="21"/>
  <c r="AH38" i="21"/>
  <c r="AL35" i="21"/>
  <c r="AE38" i="21"/>
  <c r="AG38" i="21"/>
  <c r="AL30" i="21"/>
  <c r="AL37" i="21"/>
  <c r="AF38" i="21"/>
  <c r="AJ35" i="31"/>
  <c r="J35" i="33"/>
  <c r="AJ35" i="33" s="1"/>
  <c r="AH35" i="31"/>
  <c r="H35" i="33"/>
  <c r="AH35" i="33" s="1"/>
  <c r="AI37" i="31"/>
  <c r="I37" i="33"/>
  <c r="AI37" i="33" s="1"/>
  <c r="AF35" i="31"/>
  <c r="F35" i="33"/>
  <c r="AF35" i="33" s="1"/>
  <c r="H36" i="33"/>
  <c r="AJ37" i="31"/>
  <c r="J37" i="33"/>
  <c r="AJ37" i="33" s="1"/>
  <c r="I30" i="33"/>
  <c r="AL40" i="31"/>
  <c r="L40" i="33"/>
  <c r="AL40" i="33" s="1"/>
  <c r="H30" i="33"/>
  <c r="AH37" i="31"/>
  <c r="H37" i="33"/>
  <c r="AH37" i="33" s="1"/>
  <c r="AK37" i="31"/>
  <c r="K37" i="33"/>
  <c r="AK37" i="33" s="1"/>
  <c r="J36" i="33"/>
  <c r="AL29" i="31"/>
  <c r="L29" i="33"/>
  <c r="AL29" i="33" s="1"/>
  <c r="F30" i="33"/>
  <c r="AL27" i="31"/>
  <c r="L27" i="33"/>
  <c r="AL27" i="33" s="1"/>
  <c r="AE37" i="33"/>
  <c r="AD42" i="33"/>
  <c r="AG37" i="31"/>
  <c r="G37" i="33"/>
  <c r="AG37" i="33" s="1"/>
  <c r="AE35" i="31"/>
  <c r="E35" i="33"/>
  <c r="J30" i="33"/>
  <c r="L36" i="31"/>
  <c r="D36" i="33"/>
  <c r="G30" i="33"/>
  <c r="K30" i="33"/>
  <c r="AF37" i="31"/>
  <c r="F37" i="33"/>
  <c r="AF37" i="33" s="1"/>
  <c r="F36" i="33"/>
  <c r="AD30" i="33"/>
  <c r="L38" i="21"/>
  <c r="AD38" i="21"/>
  <c r="L30" i="31"/>
  <c r="L30" i="37" s="1"/>
  <c r="AL30" i="37" s="1"/>
  <c r="L35" i="31"/>
  <c r="L35" i="37" s="1"/>
  <c r="AL35" i="37" s="1"/>
  <c r="L42" i="31"/>
  <c r="L42" i="37" s="1"/>
  <c r="AL42" i="37" s="1"/>
  <c r="AM48" i="37" s="1"/>
  <c r="AJ30" i="31"/>
  <c r="J38" i="31"/>
  <c r="AG30" i="31"/>
  <c r="G38" i="31"/>
  <c r="F38" i="31"/>
  <c r="AF30" i="31"/>
  <c r="L37" i="31"/>
  <c r="L37" i="37" s="1"/>
  <c r="AL37" i="37" s="1"/>
  <c r="E38" i="31"/>
  <c r="E38" i="37" s="1"/>
  <c r="AE38" i="37" s="1"/>
  <c r="AE30" i="31"/>
  <c r="I38" i="31"/>
  <c r="AI30" i="31"/>
  <c r="AH30" i="31"/>
  <c r="H38" i="31"/>
  <c r="AK30" i="31"/>
  <c r="K38" i="31"/>
  <c r="L130" i="31"/>
  <c r="L128" i="37" s="1"/>
  <c r="N129" i="31"/>
  <c r="N127" i="37" s="1"/>
  <c r="E52" i="31"/>
  <c r="E52" i="37" s="1"/>
  <c r="D139" i="32"/>
  <c r="D109" i="31"/>
  <c r="D107" i="37" s="1"/>
  <c r="D162" i="32"/>
  <c r="K130" i="28"/>
  <c r="K128" i="34" s="1"/>
  <c r="G130" i="28"/>
  <c r="G128" i="34" s="1"/>
  <c r="K73" i="28"/>
  <c r="K73" i="34" s="1"/>
  <c r="AJ73" i="34" s="1"/>
  <c r="H26" i="28"/>
  <c r="H26" i="34" s="1"/>
  <c r="J43" i="28"/>
  <c r="J43" i="34" s="1"/>
  <c r="K23" i="29"/>
  <c r="K81" i="28" s="1"/>
  <c r="K81" i="34" s="1"/>
  <c r="E56" i="28"/>
  <c r="E56" i="34" s="1"/>
  <c r="D130" i="29"/>
  <c r="D97" i="28" s="1"/>
  <c r="D95" i="34" s="1"/>
  <c r="F144" i="28"/>
  <c r="J144" i="28"/>
  <c r="D131" i="29"/>
  <c r="D43" i="28" s="1"/>
  <c r="D43" i="34" s="1"/>
  <c r="K104" i="28"/>
  <c r="K102" i="34" s="1"/>
  <c r="G104" i="28"/>
  <c r="G102" i="34" s="1"/>
  <c r="K26" i="28"/>
  <c r="F27" i="28"/>
  <c r="F27" i="34" s="1"/>
  <c r="H130" i="29"/>
  <c r="H97" i="28" s="1"/>
  <c r="H95" i="34" s="1"/>
  <c r="D66" i="28"/>
  <c r="D66" i="34" s="1"/>
  <c r="AC66" i="34" s="1"/>
  <c r="H66" i="28"/>
  <c r="H66" i="34" s="1"/>
  <c r="AG66" i="34" s="1"/>
  <c r="I72" i="28"/>
  <c r="I72" i="34" s="1"/>
  <c r="AH72" i="34" s="1"/>
  <c r="G132" i="29"/>
  <c r="G99" i="28" s="1"/>
  <c r="G97" i="34" s="1"/>
  <c r="G144" i="28"/>
  <c r="G142" i="34" s="1"/>
  <c r="K144" i="28"/>
  <c r="K142" i="34" s="1"/>
  <c r="E144" i="28"/>
  <c r="E142" i="34" s="1"/>
  <c r="K56" i="28"/>
  <c r="K56" i="34" s="1"/>
  <c r="G23" i="29"/>
  <c r="G81" i="28" s="1"/>
  <c r="G81" i="34" s="1"/>
  <c r="K84" i="28"/>
  <c r="K84" i="34" s="1"/>
  <c r="J165" i="29"/>
  <c r="J44" i="28" s="1"/>
  <c r="J44" i="34" s="1"/>
  <c r="H165" i="29"/>
  <c r="H44" i="28" s="1"/>
  <c r="H44" i="34" s="1"/>
  <c r="E66" i="28"/>
  <c r="E66" i="34" s="1"/>
  <c r="AD66" i="34" s="1"/>
  <c r="I66" i="28"/>
  <c r="I66" i="34" s="1"/>
  <c r="AH66" i="34" s="1"/>
  <c r="D104" i="28"/>
  <c r="D102" i="34" s="1"/>
  <c r="D67" i="28"/>
  <c r="G56" i="28"/>
  <c r="G56" i="34" s="1"/>
  <c r="E85" i="28"/>
  <c r="E85" i="34" s="1"/>
  <c r="G27" i="28"/>
  <c r="G26" i="28"/>
  <c r="G26" i="34" s="1"/>
  <c r="K27" i="28"/>
  <c r="K27" i="34" s="1"/>
  <c r="D56" i="28"/>
  <c r="D56" i="34" s="1"/>
  <c r="D73" i="28"/>
  <c r="D73" i="34" s="1"/>
  <c r="AC73" i="34" s="1"/>
  <c r="J26" i="28"/>
  <c r="J26" i="34" s="1"/>
  <c r="F26" i="28"/>
  <c r="H107" i="28"/>
  <c r="J72" i="28"/>
  <c r="J72" i="34" s="1"/>
  <c r="AI72" i="34" s="1"/>
  <c r="G131" i="29"/>
  <c r="D144" i="28"/>
  <c r="D142" i="34" s="1"/>
  <c r="H144" i="28"/>
  <c r="H144" i="29"/>
  <c r="H146" i="29" s="1"/>
  <c r="J27" i="28"/>
  <c r="F72" i="28"/>
  <c r="F72" i="34" s="1"/>
  <c r="AE72" i="34" s="1"/>
  <c r="D27" i="28"/>
  <c r="D27" i="34" s="1"/>
  <c r="H27" i="28"/>
  <c r="H27" i="34" s="1"/>
  <c r="L26" i="29"/>
  <c r="G72" i="28"/>
  <c r="G72" i="34" s="1"/>
  <c r="AF72" i="34" s="1"/>
  <c r="K72" i="28"/>
  <c r="K72" i="34" s="1"/>
  <c r="AJ72" i="34" s="1"/>
  <c r="I56" i="28"/>
  <c r="I56" i="34" s="1"/>
  <c r="I144" i="28"/>
  <c r="I142" i="34" s="1"/>
  <c r="E8" i="31"/>
  <c r="E8" i="37" s="1"/>
  <c r="M85" i="31"/>
  <c r="M85" i="37" s="1"/>
  <c r="E15" i="31"/>
  <c r="E15" i="37" s="1"/>
  <c r="E161" i="32"/>
  <c r="E138" i="32"/>
  <c r="E106" i="31"/>
  <c r="E104" i="37" s="1"/>
  <c r="K134" i="28"/>
  <c r="K132" i="34" s="1"/>
  <c r="J127" i="26"/>
  <c r="E57" i="28"/>
  <c r="I57" i="28"/>
  <c r="J51" i="28"/>
  <c r="J51" i="34" s="1"/>
  <c r="D108" i="28"/>
  <c r="D106" i="34" s="1"/>
  <c r="I134" i="28"/>
  <c r="I132" i="34" s="1"/>
  <c r="H127" i="26"/>
  <c r="K57" i="28"/>
  <c r="J108" i="28"/>
  <c r="J106" i="34" s="1"/>
  <c r="F57" i="28"/>
  <c r="K124" i="28"/>
  <c r="K122" i="34" s="1"/>
  <c r="F134" i="28"/>
  <c r="F132" i="34" s="1"/>
  <c r="J134" i="28"/>
  <c r="J132" i="34" s="1"/>
  <c r="J67" i="28"/>
  <c r="J67" i="34" s="1"/>
  <c r="F123" i="28"/>
  <c r="F121" i="34" s="1"/>
  <c r="H23" i="29"/>
  <c r="H81" i="28" s="1"/>
  <c r="H81" i="34" s="1"/>
  <c r="D144" i="29"/>
  <c r="D146" i="29" s="1"/>
  <c r="K131" i="29"/>
  <c r="L15" i="29"/>
  <c r="E27" i="28"/>
  <c r="I38" i="28"/>
  <c r="I38" i="34" s="1"/>
  <c r="D38" i="28"/>
  <c r="D38" i="34" s="1"/>
  <c r="H38" i="28"/>
  <c r="H38" i="34" s="1"/>
  <c r="G130" i="29"/>
  <c r="G97" i="28" s="1"/>
  <c r="G95" i="34" s="1"/>
  <c r="K130" i="29"/>
  <c r="K97" i="28" s="1"/>
  <c r="K95" i="34" s="1"/>
  <c r="G66" i="28"/>
  <c r="G66" i="34" s="1"/>
  <c r="AF66" i="34" s="1"/>
  <c r="K66" i="28"/>
  <c r="K66" i="34" s="1"/>
  <c r="AJ66" i="34" s="1"/>
  <c r="J66" i="28"/>
  <c r="J66" i="34" s="1"/>
  <c r="AI66" i="34" s="1"/>
  <c r="E72" i="28"/>
  <c r="E72" i="34" s="1"/>
  <c r="AD72" i="34" s="1"/>
  <c r="G149" i="29"/>
  <c r="G68" i="28" s="1"/>
  <c r="G68" i="34" s="1"/>
  <c r="AF68" i="34" s="1"/>
  <c r="K149" i="29"/>
  <c r="K68" i="28" s="1"/>
  <c r="K68" i="34" s="1"/>
  <c r="AJ68" i="34" s="1"/>
  <c r="H72" i="28"/>
  <c r="H72" i="34" s="1"/>
  <c r="AG72" i="34" s="1"/>
  <c r="F132" i="29"/>
  <c r="F99" i="28" s="1"/>
  <c r="F97" i="34" s="1"/>
  <c r="J57" i="28"/>
  <c r="F67" i="28"/>
  <c r="H90" i="28"/>
  <c r="H89" i="34" s="1"/>
  <c r="J132" i="29"/>
  <c r="J99" i="28" s="1"/>
  <c r="J97" i="34" s="1"/>
  <c r="F56" i="28"/>
  <c r="F56" i="34" s="1"/>
  <c r="J56" i="28"/>
  <c r="J56" i="34" s="1"/>
  <c r="F124" i="29"/>
  <c r="F98" i="28"/>
  <c r="F96" i="34" s="1"/>
  <c r="F43" i="28"/>
  <c r="F43" i="34" s="1"/>
  <c r="H57" i="28"/>
  <c r="I51" i="28"/>
  <c r="I51" i="34" s="1"/>
  <c r="D57" i="28"/>
  <c r="E51" i="28"/>
  <c r="E51" i="34" s="1"/>
  <c r="E38" i="28"/>
  <c r="E38" i="34" s="1"/>
  <c r="L62" i="28"/>
  <c r="L62" i="34" s="1"/>
  <c r="I27" i="28"/>
  <c r="F53" i="28"/>
  <c r="F53" i="34" s="1"/>
  <c r="I67" i="28"/>
  <c r="I67" i="34" s="1"/>
  <c r="E84" i="28"/>
  <c r="E84" i="34" s="1"/>
  <c r="L88" i="28"/>
  <c r="L87" i="34" s="1"/>
  <c r="J98" i="28"/>
  <c r="J96" i="34" s="1"/>
  <c r="K107" i="28"/>
  <c r="K105" i="34" s="1"/>
  <c r="I123" i="28"/>
  <c r="I121" i="34" s="1"/>
  <c r="E134" i="28"/>
  <c r="E132" i="34" s="1"/>
  <c r="E122" i="28"/>
  <c r="F38" i="28"/>
  <c r="F38" i="34" s="1"/>
  <c r="F165" i="29"/>
  <c r="F44" i="28" s="1"/>
  <c r="F44" i="34" s="1"/>
  <c r="K146" i="29"/>
  <c r="E26" i="28"/>
  <c r="I26" i="28"/>
  <c r="E67" i="28"/>
  <c r="G73" i="28"/>
  <c r="G73" i="34" s="1"/>
  <c r="AF73" i="34" s="1"/>
  <c r="L82" i="28"/>
  <c r="L82" i="34" s="1"/>
  <c r="G134" i="28"/>
  <c r="G132" i="34" s="1"/>
  <c r="G38" i="28"/>
  <c r="G38" i="34" s="1"/>
  <c r="G107" i="28"/>
  <c r="G105" i="34" s="1"/>
  <c r="L133" i="28"/>
  <c r="L131" i="34" s="1"/>
  <c r="J38" i="28"/>
  <c r="J38" i="34" s="1"/>
  <c r="G146" i="29"/>
  <c r="K38" i="28"/>
  <c r="K38" i="34" s="1"/>
  <c r="H51" i="28"/>
  <c r="H51" i="34" s="1"/>
  <c r="G57" i="28"/>
  <c r="L63" i="28"/>
  <c r="L63" i="34" s="1"/>
  <c r="L37" i="28"/>
  <c r="L37" i="34" s="1"/>
  <c r="E98" i="28"/>
  <c r="E96" i="34" s="1"/>
  <c r="E43" i="28"/>
  <c r="E43" i="34" s="1"/>
  <c r="D132" i="29"/>
  <c r="D99" i="28" s="1"/>
  <c r="D97" i="34" s="1"/>
  <c r="D165" i="29"/>
  <c r="D44" i="28" s="1"/>
  <c r="D54" i="28"/>
  <c r="D54" i="34" s="1"/>
  <c r="F144" i="29"/>
  <c r="F146" i="29" s="1"/>
  <c r="F73" i="28"/>
  <c r="F73" i="34" s="1"/>
  <c r="AE73" i="34" s="1"/>
  <c r="F107" i="28"/>
  <c r="F105" i="34" s="1"/>
  <c r="E124" i="29"/>
  <c r="F51" i="28"/>
  <c r="F51" i="34" s="1"/>
  <c r="K51" i="28"/>
  <c r="K51" i="34" s="1"/>
  <c r="I53" i="28"/>
  <c r="I53" i="34" s="1"/>
  <c r="L61" i="28"/>
  <c r="L61" i="34" s="1"/>
  <c r="H67" i="28"/>
  <c r="H67" i="34" s="1"/>
  <c r="G9" i="29"/>
  <c r="G51" i="28"/>
  <c r="G51" i="34" s="1"/>
  <c r="E53" i="28"/>
  <c r="E53" i="34" s="1"/>
  <c r="G54" i="28"/>
  <c r="G54" i="34" s="1"/>
  <c r="D72" i="28"/>
  <c r="D72" i="34" s="1"/>
  <c r="AC72" i="34" s="1"/>
  <c r="K91" i="28"/>
  <c r="K90" i="34" s="1"/>
  <c r="G124" i="28"/>
  <c r="G122" i="34" s="1"/>
  <c r="F90" i="28"/>
  <c r="F89" i="34" s="1"/>
  <c r="J122" i="28"/>
  <c r="J120" i="34" s="1"/>
  <c r="J90" i="28"/>
  <c r="J89" i="34" s="1"/>
  <c r="I122" i="28"/>
  <c r="I120" i="34" s="1"/>
  <c r="I85" i="28"/>
  <c r="I85" i="34" s="1"/>
  <c r="E130" i="29"/>
  <c r="I130" i="29"/>
  <c r="L36" i="28"/>
  <c r="L36" i="34" s="1"/>
  <c r="L64" i="28"/>
  <c r="L64" i="34" s="1"/>
  <c r="I124" i="29"/>
  <c r="I98" i="28"/>
  <c r="I96" i="34" s="1"/>
  <c r="I43" i="28"/>
  <c r="I43" i="34" s="1"/>
  <c r="H132" i="29"/>
  <c r="H99" i="28" s="1"/>
  <c r="H97" i="34" s="1"/>
  <c r="H54" i="28"/>
  <c r="H54" i="34" s="1"/>
  <c r="L60" i="28"/>
  <c r="L60" i="34" s="1"/>
  <c r="J144" i="29"/>
  <c r="J146" i="29" s="1"/>
  <c r="J73" i="28"/>
  <c r="J73" i="34" s="1"/>
  <c r="AI73" i="34" s="1"/>
  <c r="L13" i="29"/>
  <c r="F85" i="28"/>
  <c r="F85" i="34" s="1"/>
  <c r="J85" i="28"/>
  <c r="J85" i="34" s="1"/>
  <c r="F84" i="28"/>
  <c r="F84" i="34" s="1"/>
  <c r="J84" i="28"/>
  <c r="J84" i="34" s="1"/>
  <c r="H131" i="29"/>
  <c r="H53" i="28"/>
  <c r="H53" i="34" s="1"/>
  <c r="K165" i="29"/>
  <c r="K44" i="28" s="1"/>
  <c r="K44" i="34" s="1"/>
  <c r="K132" i="29"/>
  <c r="K99" i="28" s="1"/>
  <c r="K97" i="34" s="1"/>
  <c r="L65" i="28"/>
  <c r="L65" i="34" s="1"/>
  <c r="E144" i="29"/>
  <c r="E146" i="29" s="1"/>
  <c r="E107" i="28"/>
  <c r="E105" i="34" s="1"/>
  <c r="E73" i="28"/>
  <c r="E73" i="34" s="1"/>
  <c r="AD73" i="34" s="1"/>
  <c r="I107" i="28"/>
  <c r="I105" i="34" s="1"/>
  <c r="I144" i="29"/>
  <c r="I149" i="29" s="1"/>
  <c r="I68" i="28" s="1"/>
  <c r="I68" i="34" s="1"/>
  <c r="AH68" i="34" s="1"/>
  <c r="I73" i="28"/>
  <c r="I73" i="34" s="1"/>
  <c r="AH73" i="34" s="1"/>
  <c r="F130" i="29"/>
  <c r="J130" i="29"/>
  <c r="G165" i="29"/>
  <c r="G44" i="28" s="1"/>
  <c r="G44" i="34" s="1"/>
  <c r="H134" i="28"/>
  <c r="H132" i="34" s="1"/>
  <c r="E91" i="28"/>
  <c r="E90" i="34" s="1"/>
  <c r="D9" i="29"/>
  <c r="D123" i="28"/>
  <c r="H123" i="28"/>
  <c r="H121" i="34" s="1"/>
  <c r="L7" i="29"/>
  <c r="L8" i="29"/>
  <c r="F23" i="29"/>
  <c r="J23" i="29"/>
  <c r="J81" i="28" s="1"/>
  <c r="J81" i="34" s="1"/>
  <c r="E132" i="29"/>
  <c r="E99" i="28" s="1"/>
  <c r="E97" i="34" s="1"/>
  <c r="I132" i="29"/>
  <c r="I99" i="28" s="1"/>
  <c r="I97" i="34" s="1"/>
  <c r="D134" i="28"/>
  <c r="D132" i="34" s="1"/>
  <c r="L132" i="28"/>
  <c r="L130" i="34" s="1"/>
  <c r="E9" i="29"/>
  <c r="I9" i="29"/>
  <c r="L17" i="29"/>
  <c r="L20" i="29"/>
  <c r="L21" i="29"/>
  <c r="F9" i="29"/>
  <c r="J9" i="29"/>
  <c r="E23" i="29"/>
  <c r="I23" i="29"/>
  <c r="I81" i="28" s="1"/>
  <c r="I81" i="34" s="1"/>
  <c r="L16" i="29"/>
  <c r="D23" i="29"/>
  <c r="D149" i="29"/>
  <c r="D68" i="28" s="1"/>
  <c r="D68" i="34" s="1"/>
  <c r="AC68" i="34" s="1"/>
  <c r="E165" i="29"/>
  <c r="E44" i="28" s="1"/>
  <c r="I165" i="29"/>
  <c r="I44" i="28" s="1"/>
  <c r="I44" i="34" s="1"/>
  <c r="J87" i="27" l="1"/>
  <c r="E128" i="26"/>
  <c r="E44" i="34"/>
  <c r="AK72" i="34"/>
  <c r="E87" i="26"/>
  <c r="E67" i="34"/>
  <c r="E33" i="28"/>
  <c r="E33" i="34" s="1"/>
  <c r="E27" i="34"/>
  <c r="AK73" i="34"/>
  <c r="G33" i="28"/>
  <c r="G33" i="34" s="1"/>
  <c r="G27" i="34"/>
  <c r="I32" i="28"/>
  <c r="I32" i="34" s="1"/>
  <c r="I26" i="34"/>
  <c r="K32" i="28"/>
  <c r="K32" i="34" s="1"/>
  <c r="K26" i="34"/>
  <c r="D129" i="28"/>
  <c r="D127" i="34" s="1"/>
  <c r="D121" i="34"/>
  <c r="E32" i="28"/>
  <c r="E32" i="34" s="1"/>
  <c r="E26" i="34"/>
  <c r="E128" i="28"/>
  <c r="E126" i="34" s="1"/>
  <c r="E120" i="34"/>
  <c r="F32" i="28"/>
  <c r="F32" i="34" s="1"/>
  <c r="F26" i="34"/>
  <c r="AK66" i="34"/>
  <c r="F146" i="28"/>
  <c r="F144" i="34" s="1"/>
  <c r="F142" i="34"/>
  <c r="F87" i="26"/>
  <c r="F67" i="34"/>
  <c r="H146" i="28"/>
  <c r="H144" i="34" s="1"/>
  <c r="H142" i="34"/>
  <c r="H108" i="28"/>
  <c r="H106" i="34" s="1"/>
  <c r="H105" i="34"/>
  <c r="J146" i="28"/>
  <c r="J144" i="34" s="1"/>
  <c r="J142" i="34"/>
  <c r="D128" i="26"/>
  <c r="D44" i="34"/>
  <c r="I33" i="28"/>
  <c r="I33" i="34" s="1"/>
  <c r="I27" i="34"/>
  <c r="J33" i="28"/>
  <c r="J33" i="34" s="1"/>
  <c r="J27" i="34"/>
  <c r="D87" i="26"/>
  <c r="D67" i="34"/>
  <c r="AD38" i="31"/>
  <c r="G90" i="31"/>
  <c r="G38" i="37"/>
  <c r="AG38" i="37" s="1"/>
  <c r="L36" i="33"/>
  <c r="L36" i="37"/>
  <c r="F98" i="31"/>
  <c r="F134" i="37"/>
  <c r="J98" i="31"/>
  <c r="J99" i="31" s="1"/>
  <c r="J97" i="37" s="1"/>
  <c r="J134" i="37"/>
  <c r="AE30" i="37"/>
  <c r="AD30" i="37"/>
  <c r="I90" i="31"/>
  <c r="I38" i="37"/>
  <c r="AI38" i="37" s="1"/>
  <c r="J90" i="31"/>
  <c r="J38" i="37"/>
  <c r="AJ38" i="37" s="1"/>
  <c r="H98" i="31"/>
  <c r="H99" i="31" s="1"/>
  <c r="H97" i="37" s="1"/>
  <c r="H134" i="37"/>
  <c r="K90" i="31"/>
  <c r="K38" i="37"/>
  <c r="AK38" i="37" s="1"/>
  <c r="K98" i="31"/>
  <c r="K99" i="31" s="1"/>
  <c r="K97" i="37" s="1"/>
  <c r="K134" i="37"/>
  <c r="H90" i="31"/>
  <c r="H91" i="31" s="1"/>
  <c r="H90" i="37" s="1"/>
  <c r="H38" i="37"/>
  <c r="AH38" i="37" s="1"/>
  <c r="F90" i="31"/>
  <c r="F91" i="31" s="1"/>
  <c r="F90" i="37" s="1"/>
  <c r="F38" i="37"/>
  <c r="AF38" i="37" s="1"/>
  <c r="G98" i="31"/>
  <c r="G134" i="37"/>
  <c r="F82" i="37"/>
  <c r="J128" i="28"/>
  <c r="J126" i="34" s="1"/>
  <c r="I128" i="28"/>
  <c r="L128" i="28" s="1"/>
  <c r="L126" i="34" s="1"/>
  <c r="I129" i="28"/>
  <c r="I127" i="34" s="1"/>
  <c r="E146" i="28"/>
  <c r="E144" i="34" s="1"/>
  <c r="H129" i="28"/>
  <c r="H127" i="34" s="1"/>
  <c r="F129" i="28"/>
  <c r="D146" i="28"/>
  <c r="D144" i="34" s="1"/>
  <c r="E19" i="28"/>
  <c r="E19" i="34" s="1"/>
  <c r="X19" i="34" s="1"/>
  <c r="D99" i="31"/>
  <c r="D97" i="37" s="1"/>
  <c r="F99" i="31"/>
  <c r="F97" i="37" s="1"/>
  <c r="E99" i="31"/>
  <c r="E97" i="37" s="1"/>
  <c r="G99" i="31"/>
  <c r="G97" i="37" s="1"/>
  <c r="E82" i="31"/>
  <c r="D82" i="31"/>
  <c r="AJ30" i="33"/>
  <c r="AK30" i="33"/>
  <c r="D90" i="31"/>
  <c r="L90" i="31" s="1"/>
  <c r="E8" i="27" s="1"/>
  <c r="E9" i="27" s="1"/>
  <c r="E90" i="31"/>
  <c r="E91" i="31" s="1"/>
  <c r="E90" i="37" s="1"/>
  <c r="AF30" i="33"/>
  <c r="AH30" i="33"/>
  <c r="AI30" i="33"/>
  <c r="E56" i="31"/>
  <c r="E56" i="37" s="1"/>
  <c r="AG30" i="33"/>
  <c r="K127" i="26"/>
  <c r="F127" i="26"/>
  <c r="I127" i="26"/>
  <c r="G127" i="26"/>
  <c r="J128" i="26"/>
  <c r="H128" i="26"/>
  <c r="E4" i="26"/>
  <c r="E4" i="28"/>
  <c r="E18" i="26"/>
  <c r="E10" i="28"/>
  <c r="L136" i="31"/>
  <c r="K146" i="28"/>
  <c r="K144" i="34" s="1"/>
  <c r="K92" i="28"/>
  <c r="G92" i="28"/>
  <c r="K91" i="31"/>
  <c r="K90" i="37" s="1"/>
  <c r="G91" i="31"/>
  <c r="G90" i="37" s="1"/>
  <c r="J91" i="31"/>
  <c r="J90" i="37" s="1"/>
  <c r="M91" i="31"/>
  <c r="M90" i="37" s="1"/>
  <c r="M90" i="31"/>
  <c r="I91" i="31"/>
  <c r="I90" i="37" s="1"/>
  <c r="I82" i="31"/>
  <c r="K82" i="31"/>
  <c r="J82" i="31"/>
  <c r="N80" i="31"/>
  <c r="F82" i="31"/>
  <c r="H82" i="31"/>
  <c r="G82" i="31"/>
  <c r="AL38" i="21"/>
  <c r="AE38" i="31"/>
  <c r="E38" i="33"/>
  <c r="AF38" i="31"/>
  <c r="F38" i="33"/>
  <c r="AF38" i="33" s="1"/>
  <c r="AK38" i="31"/>
  <c r="K38" i="33"/>
  <c r="AK38" i="33" s="1"/>
  <c r="AG38" i="31"/>
  <c r="G38" i="33"/>
  <c r="AG38" i="33" s="1"/>
  <c r="AE35" i="33"/>
  <c r="AI38" i="31"/>
  <c r="I38" i="33"/>
  <c r="AI38" i="33" s="1"/>
  <c r="AL37" i="31"/>
  <c r="L37" i="33"/>
  <c r="AL37" i="33" s="1"/>
  <c r="AL42" i="31"/>
  <c r="AM48" i="31" s="1"/>
  <c r="L42" i="33"/>
  <c r="AL42" i="33" s="1"/>
  <c r="AM48" i="33" s="1"/>
  <c r="AL30" i="31"/>
  <c r="L30" i="33"/>
  <c r="AL30" i="33" s="1"/>
  <c r="AH38" i="31"/>
  <c r="H38" i="33"/>
  <c r="AH38" i="33" s="1"/>
  <c r="AJ38" i="31"/>
  <c r="J38" i="33"/>
  <c r="AJ38" i="33" s="1"/>
  <c r="AL35" i="31"/>
  <c r="L35" i="33"/>
  <c r="AL35" i="33" s="1"/>
  <c r="L38" i="31"/>
  <c r="L38" i="37" s="1"/>
  <c r="AL38" i="37" s="1"/>
  <c r="E130" i="28"/>
  <c r="E128" i="34" s="1"/>
  <c r="J130" i="28"/>
  <c r="J128" i="34" s="1"/>
  <c r="H130" i="28"/>
  <c r="H128" i="34" s="1"/>
  <c r="K33" i="28"/>
  <c r="K33" i="34" s="1"/>
  <c r="I34" i="28"/>
  <c r="I34" i="34" s="1"/>
  <c r="L83" i="28"/>
  <c r="L83" i="34" s="1"/>
  <c r="H33" i="28"/>
  <c r="H33" i="34" s="1"/>
  <c r="G32" i="28"/>
  <c r="G32" i="34" s="1"/>
  <c r="F33" i="28"/>
  <c r="F33" i="34" s="1"/>
  <c r="D28" i="28"/>
  <c r="D28" i="34" s="1"/>
  <c r="D33" i="28"/>
  <c r="D33" i="34" s="1"/>
  <c r="J32" i="28"/>
  <c r="J32" i="34" s="1"/>
  <c r="H32" i="28"/>
  <c r="H32" i="34" s="1"/>
  <c r="I146" i="28"/>
  <c r="I144" i="34" s="1"/>
  <c r="D42" i="28"/>
  <c r="D42" i="34" s="1"/>
  <c r="K28" i="28"/>
  <c r="K28" i="34" s="1"/>
  <c r="D158" i="29"/>
  <c r="H158" i="29"/>
  <c r="J28" i="28"/>
  <c r="J28" i="34" s="1"/>
  <c r="G146" i="28"/>
  <c r="G144" i="34" s="1"/>
  <c r="K158" i="29"/>
  <c r="F149" i="29"/>
  <c r="F68" i="28" s="1"/>
  <c r="F68" i="34" s="1"/>
  <c r="AE68" i="34" s="1"/>
  <c r="H149" i="29"/>
  <c r="H68" i="28" s="1"/>
  <c r="H68" i="34" s="1"/>
  <c r="AG68" i="34" s="1"/>
  <c r="G158" i="29"/>
  <c r="H28" i="28"/>
  <c r="H28" i="34" s="1"/>
  <c r="G28" i="28"/>
  <c r="G28" i="34" s="1"/>
  <c r="D98" i="28"/>
  <c r="D96" i="34" s="1"/>
  <c r="D124" i="29"/>
  <c r="K69" i="28"/>
  <c r="G124" i="29"/>
  <c r="G98" i="28"/>
  <c r="G96" i="34" s="1"/>
  <c r="G43" i="28"/>
  <c r="G43" i="34" s="1"/>
  <c r="F28" i="28"/>
  <c r="F28" i="34" s="1"/>
  <c r="K74" i="28"/>
  <c r="K74" i="34" s="1"/>
  <c r="AJ74" i="34" s="1"/>
  <c r="F135" i="32"/>
  <c r="E162" i="32"/>
  <c r="E109" i="31"/>
  <c r="E107" i="37" s="1"/>
  <c r="E139" i="32"/>
  <c r="M99" i="31"/>
  <c r="M97" i="37" s="1"/>
  <c r="E17" i="31"/>
  <c r="L73" i="28"/>
  <c r="L73" i="34" s="1"/>
  <c r="I124" i="28"/>
  <c r="I122" i="34" s="1"/>
  <c r="F74" i="28"/>
  <c r="F74" i="34" s="1"/>
  <c r="AE74" i="34" s="1"/>
  <c r="G108" i="28"/>
  <c r="G106" i="34" s="1"/>
  <c r="K108" i="28"/>
  <c r="K106" i="34" s="1"/>
  <c r="K124" i="29"/>
  <c r="K43" i="28"/>
  <c r="K43" i="34" s="1"/>
  <c r="K98" i="28"/>
  <c r="K96" i="34" s="1"/>
  <c r="I128" i="26"/>
  <c r="G133" i="29"/>
  <c r="D133" i="29"/>
  <c r="D159" i="29" s="1"/>
  <c r="H124" i="28"/>
  <c r="H122" i="34" s="1"/>
  <c r="G128" i="26"/>
  <c r="I74" i="28"/>
  <c r="I74" i="34" s="1"/>
  <c r="AH74" i="34" s="1"/>
  <c r="E108" i="28"/>
  <c r="E106" i="34" s="1"/>
  <c r="K128" i="26"/>
  <c r="J74" i="28"/>
  <c r="J74" i="34" s="1"/>
  <c r="AI74" i="34" s="1"/>
  <c r="G69" i="28"/>
  <c r="G69" i="34" s="1"/>
  <c r="L27" i="28"/>
  <c r="L27" i="34" s="1"/>
  <c r="J149" i="29"/>
  <c r="J68" i="28" s="1"/>
  <c r="J68" i="34" s="1"/>
  <c r="AI68" i="34" s="1"/>
  <c r="H87" i="26"/>
  <c r="L38" i="28"/>
  <c r="L38" i="34" s="1"/>
  <c r="I28" i="28"/>
  <c r="I28" i="34" s="1"/>
  <c r="G74" i="28"/>
  <c r="G74" i="34" s="1"/>
  <c r="AF74" i="34" s="1"/>
  <c r="E124" i="28"/>
  <c r="E122" i="34" s="1"/>
  <c r="I87" i="26"/>
  <c r="H74" i="28"/>
  <c r="H74" i="34" s="1"/>
  <c r="J87" i="26"/>
  <c r="E149" i="29"/>
  <c r="E68" i="28" s="1"/>
  <c r="E68" i="34" s="1"/>
  <c r="AD68" i="34" s="1"/>
  <c r="I108" i="28"/>
  <c r="I106" i="34" s="1"/>
  <c r="J124" i="28"/>
  <c r="J122" i="34" s="1"/>
  <c r="F108" i="28"/>
  <c r="F106" i="34" s="1"/>
  <c r="L66" i="28"/>
  <c r="L66" i="34" s="1"/>
  <c r="E28" i="28"/>
  <c r="E28" i="34" s="1"/>
  <c r="F128" i="26"/>
  <c r="F124" i="28"/>
  <c r="F122" i="34" s="1"/>
  <c r="L134" i="28"/>
  <c r="L132" i="34" s="1"/>
  <c r="L91" i="28"/>
  <c r="L90" i="34" s="1"/>
  <c r="L81" i="28"/>
  <c r="L81" i="34" s="1"/>
  <c r="E74" i="28"/>
  <c r="E74" i="34" s="1"/>
  <c r="AD74" i="34" s="1"/>
  <c r="L67" i="28"/>
  <c r="L67" i="34" s="1"/>
  <c r="L26" i="28"/>
  <c r="L26" i="34" s="1"/>
  <c r="K133" i="29"/>
  <c r="K100" i="28" s="1"/>
  <c r="I69" i="28"/>
  <c r="I69" i="34" s="1"/>
  <c r="L84" i="28"/>
  <c r="L84" i="34" s="1"/>
  <c r="L85" i="28"/>
  <c r="D69" i="28"/>
  <c r="L122" i="28"/>
  <c r="L120" i="34" s="1"/>
  <c r="L123" i="28"/>
  <c r="L121" i="34" s="1"/>
  <c r="D124" i="28"/>
  <c r="D122" i="34" s="1"/>
  <c r="F158" i="29"/>
  <c r="F133" i="29"/>
  <c r="F97" i="28"/>
  <c r="F95" i="34" s="1"/>
  <c r="H124" i="29"/>
  <c r="H98" i="28"/>
  <c r="H96" i="34" s="1"/>
  <c r="H43" i="28"/>
  <c r="H43" i="34" s="1"/>
  <c r="I97" i="28"/>
  <c r="I95" i="34" s="1"/>
  <c r="I133" i="29"/>
  <c r="I158" i="29"/>
  <c r="M82" i="28"/>
  <c r="M82" i="34" s="1"/>
  <c r="L9" i="29"/>
  <c r="E158" i="29"/>
  <c r="E133" i="29"/>
  <c r="E97" i="28"/>
  <c r="E95" i="34" s="1"/>
  <c r="L90" i="28"/>
  <c r="H133" i="29"/>
  <c r="L23" i="29"/>
  <c r="I146" i="29"/>
  <c r="J158" i="29"/>
  <c r="J97" i="28"/>
  <c r="J95" i="34" s="1"/>
  <c r="J133" i="29"/>
  <c r="D74" i="28"/>
  <c r="D74" i="34" s="1"/>
  <c r="L72" i="28"/>
  <c r="L72" i="34" s="1"/>
  <c r="D130" i="28" l="1"/>
  <c r="D128" i="34" s="1"/>
  <c r="E34" i="28"/>
  <c r="E34" i="34" s="1"/>
  <c r="E58" i="31"/>
  <c r="L129" i="28"/>
  <c r="L127" i="34" s="1"/>
  <c r="F127" i="34"/>
  <c r="D85" i="26"/>
  <c r="D89" i="26" s="1"/>
  <c r="D97" i="26" s="1"/>
  <c r="D69" i="34"/>
  <c r="E20" i="28"/>
  <c r="E20" i="34" s="1"/>
  <c r="X20" i="34" s="1"/>
  <c r="K98" i="34"/>
  <c r="AG74" i="34"/>
  <c r="N82" i="28"/>
  <c r="N82" i="34" s="1"/>
  <c r="E4" i="34"/>
  <c r="G146" i="34"/>
  <c r="E12" i="28"/>
  <c r="L89" i="34"/>
  <c r="E7" i="28"/>
  <c r="N85" i="28" s="1"/>
  <c r="N85" i="34" s="1"/>
  <c r="L85" i="34"/>
  <c r="G76" i="34"/>
  <c r="AC74" i="34"/>
  <c r="AK74" i="34" s="1"/>
  <c r="K85" i="26"/>
  <c r="K89" i="26" s="1"/>
  <c r="K69" i="34"/>
  <c r="F130" i="28"/>
  <c r="F128" i="34" s="1"/>
  <c r="M88" i="28"/>
  <c r="M87" i="34" s="1"/>
  <c r="E10" i="34"/>
  <c r="X10" i="34" s="1"/>
  <c r="I130" i="28"/>
  <c r="I128" i="34" s="1"/>
  <c r="I126" i="34"/>
  <c r="AK68" i="34"/>
  <c r="L98" i="31"/>
  <c r="L99" i="31" s="1"/>
  <c r="L134" i="37"/>
  <c r="M101" i="31"/>
  <c r="M99" i="37" s="1"/>
  <c r="E17" i="37"/>
  <c r="L162" i="26"/>
  <c r="E15" i="27"/>
  <c r="E16" i="27" s="1"/>
  <c r="E18" i="27" s="1"/>
  <c r="D91" i="31"/>
  <c r="D90" i="37" s="1"/>
  <c r="F52" i="31"/>
  <c r="F52" i="37" s="1"/>
  <c r="M128" i="26"/>
  <c r="E6" i="26"/>
  <c r="E6" i="28"/>
  <c r="N84" i="28" s="1"/>
  <c r="N84" i="34" s="1"/>
  <c r="L158" i="29"/>
  <c r="E3" i="26"/>
  <c r="E3" i="28"/>
  <c r="E3" i="34" s="1"/>
  <c r="X3" i="34" s="1"/>
  <c r="N88" i="28"/>
  <c r="N87" i="34" s="1"/>
  <c r="D46" i="28"/>
  <c r="D46" i="34" s="1"/>
  <c r="M125" i="26"/>
  <c r="E5" i="26"/>
  <c r="E5" i="28"/>
  <c r="E92" i="28"/>
  <c r="E39" i="28"/>
  <c r="E12" i="26"/>
  <c r="E13" i="28"/>
  <c r="E13" i="34" s="1"/>
  <c r="X13" i="34" s="1"/>
  <c r="I92" i="28"/>
  <c r="K93" i="28"/>
  <c r="K91" i="34" s="1"/>
  <c r="E11" i="26"/>
  <c r="H92" i="28"/>
  <c r="J92" i="28"/>
  <c r="G93" i="28"/>
  <c r="G91" i="34" s="1"/>
  <c r="D92" i="28"/>
  <c r="I101" i="31"/>
  <c r="I99" i="37" s="1"/>
  <c r="E101" i="31"/>
  <c r="E99" i="37" s="1"/>
  <c r="L91" i="31"/>
  <c r="L90" i="37" s="1"/>
  <c r="H101" i="31"/>
  <c r="H99" i="37" s="1"/>
  <c r="K101" i="31"/>
  <c r="K99" i="37" s="1"/>
  <c r="J101" i="31"/>
  <c r="J99" i="37" s="1"/>
  <c r="G101" i="31"/>
  <c r="G99" i="37" s="1"/>
  <c r="F101" i="31"/>
  <c r="F99" i="37" s="1"/>
  <c r="AL38" i="31"/>
  <c r="L38" i="33"/>
  <c r="AL38" i="33" s="1"/>
  <c r="AE38" i="33"/>
  <c r="E7" i="26"/>
  <c r="H69" i="28"/>
  <c r="I86" i="28"/>
  <c r="E86" i="28"/>
  <c r="F34" i="28"/>
  <c r="L130" i="28"/>
  <c r="L128" i="34" s="1"/>
  <c r="K34" i="28"/>
  <c r="J34" i="28"/>
  <c r="H34" i="28"/>
  <c r="G34" i="28"/>
  <c r="L32" i="28"/>
  <c r="L32" i="34" s="1"/>
  <c r="L33" i="28"/>
  <c r="L33" i="34" s="1"/>
  <c r="D34" i="28"/>
  <c r="D34" i="34" s="1"/>
  <c r="I39" i="28"/>
  <c r="F69" i="28"/>
  <c r="G100" i="28"/>
  <c r="G98" i="34" s="1"/>
  <c r="G159" i="29"/>
  <c r="D100" i="28"/>
  <c r="D98" i="34" s="1"/>
  <c r="L28" i="28"/>
  <c r="L28" i="34" s="1"/>
  <c r="F138" i="32"/>
  <c r="F106" i="31"/>
  <c r="F104" i="37" s="1"/>
  <c r="F161" i="32"/>
  <c r="E21" i="26"/>
  <c r="E69" i="28"/>
  <c r="K159" i="29"/>
  <c r="L68" i="28"/>
  <c r="L68" i="34" s="1"/>
  <c r="L74" i="28"/>
  <c r="L74" i="34" s="1"/>
  <c r="L124" i="28"/>
  <c r="L122" i="34" s="1"/>
  <c r="J69" i="28"/>
  <c r="J69" i="34" s="1"/>
  <c r="G85" i="26"/>
  <c r="G89" i="26" s="1"/>
  <c r="G97" i="26" s="1"/>
  <c r="I85" i="26"/>
  <c r="I89" i="26" s="1"/>
  <c r="I97" i="26" s="1"/>
  <c r="N90" i="28"/>
  <c r="N89" i="34" s="1"/>
  <c r="N74" i="28"/>
  <c r="J159" i="29"/>
  <c r="J100" i="28"/>
  <c r="J98" i="34" s="1"/>
  <c r="N91" i="28"/>
  <c r="N90" i="34" s="1"/>
  <c r="M91" i="28"/>
  <c r="M90" i="34" s="1"/>
  <c r="H100" i="28"/>
  <c r="H98" i="34" s="1"/>
  <c r="H159" i="29"/>
  <c r="F159" i="29"/>
  <c r="F100" i="28"/>
  <c r="F98" i="34" s="1"/>
  <c r="E159" i="29"/>
  <c r="E100" i="28"/>
  <c r="E98" i="34" s="1"/>
  <c r="I100" i="28"/>
  <c r="I98" i="34" s="1"/>
  <c r="I159" i="29"/>
  <c r="H128" i="11"/>
  <c r="D128" i="11"/>
  <c r="E128" i="11"/>
  <c r="I128" i="11"/>
  <c r="F128" i="11"/>
  <c r="G128" i="11"/>
  <c r="K128" i="11"/>
  <c r="J127" i="22"/>
  <c r="F127" i="22"/>
  <c r="E127" i="22"/>
  <c r="I127" i="22"/>
  <c r="G127" i="22"/>
  <c r="K127" i="22"/>
  <c r="D127" i="22"/>
  <c r="H127" i="22"/>
  <c r="F92" i="28" l="1"/>
  <c r="D47" i="28"/>
  <c r="L97" i="37"/>
  <c r="N99" i="31"/>
  <c r="N97" i="37" s="1"/>
  <c r="F85" i="26"/>
  <c r="F89" i="26" s="1"/>
  <c r="F97" i="26" s="1"/>
  <c r="F69" i="34"/>
  <c r="K86" i="28"/>
  <c r="K87" i="28" s="1"/>
  <c r="K86" i="34" s="1"/>
  <c r="K34" i="34"/>
  <c r="M83" i="28"/>
  <c r="M83" i="34" s="1"/>
  <c r="E5" i="34"/>
  <c r="X5" i="34" s="1"/>
  <c r="M84" i="28"/>
  <c r="M84" i="34" s="1"/>
  <c r="E6" i="34"/>
  <c r="X6" i="34" s="1"/>
  <c r="H85" i="26"/>
  <c r="H89" i="26" s="1"/>
  <c r="H97" i="26" s="1"/>
  <c r="H69" i="34"/>
  <c r="M90" i="28"/>
  <c r="M89" i="34" s="1"/>
  <c r="E12" i="34"/>
  <c r="X12" i="34" s="1"/>
  <c r="E85" i="26"/>
  <c r="E89" i="26" s="1"/>
  <c r="E69" i="34"/>
  <c r="H86" i="28"/>
  <c r="H87" i="28" s="1"/>
  <c r="H86" i="34" s="1"/>
  <c r="H34" i="34"/>
  <c r="F39" i="28"/>
  <c r="F34" i="34"/>
  <c r="G86" i="28"/>
  <c r="G87" i="28" s="1"/>
  <c r="G86" i="34" s="1"/>
  <c r="G34" i="34"/>
  <c r="J86" i="28"/>
  <c r="J87" i="28" s="1"/>
  <c r="J86" i="34" s="1"/>
  <c r="J34" i="34"/>
  <c r="E7" i="34"/>
  <c r="X7" i="34" s="1"/>
  <c r="M85" i="28"/>
  <c r="M85" i="34" s="1"/>
  <c r="F56" i="31"/>
  <c r="F56" i="37" s="1"/>
  <c r="D101" i="31"/>
  <c r="D99" i="37" s="1"/>
  <c r="F93" i="28"/>
  <c r="F91" i="34" s="1"/>
  <c r="N83" i="28"/>
  <c r="N83" i="34" s="1"/>
  <c r="M81" i="28"/>
  <c r="M81" i="34" s="1"/>
  <c r="N81" i="28"/>
  <c r="N81" i="34" s="1"/>
  <c r="E93" i="28"/>
  <c r="E91" i="34" s="1"/>
  <c r="E42" i="28"/>
  <c r="E42" i="34" s="1"/>
  <c r="D86" i="28"/>
  <c r="D87" i="28" s="1"/>
  <c r="D86" i="34" s="1"/>
  <c r="L92" i="28"/>
  <c r="E13" i="26"/>
  <c r="E14" i="26" s="1"/>
  <c r="D93" i="28"/>
  <c r="D91" i="34" s="1"/>
  <c r="H93" i="28"/>
  <c r="H91" i="34" s="1"/>
  <c r="J93" i="28"/>
  <c r="J91" i="34" s="1"/>
  <c r="I93" i="28"/>
  <c r="I91" i="34" s="1"/>
  <c r="L101" i="31"/>
  <c r="L99" i="37" s="1"/>
  <c r="E87" i="28"/>
  <c r="E86" i="34" s="1"/>
  <c r="F86" i="28"/>
  <c r="I87" i="28"/>
  <c r="I86" i="34" s="1"/>
  <c r="K39" i="28"/>
  <c r="L34" i="28"/>
  <c r="L34" i="34" s="1"/>
  <c r="D39" i="28"/>
  <c r="G39" i="28"/>
  <c r="H39" i="28"/>
  <c r="J39" i="28"/>
  <c r="L159" i="29"/>
  <c r="F162" i="32"/>
  <c r="G135" i="32"/>
  <c r="F109" i="31"/>
  <c r="F107" i="37" s="1"/>
  <c r="F139" i="32"/>
  <c r="L69" i="28"/>
  <c r="L69" i="34" s="1"/>
  <c r="J85" i="26"/>
  <c r="J89" i="26" s="1"/>
  <c r="J128" i="11"/>
  <c r="L86" i="28" l="1"/>
  <c r="F58" i="31"/>
  <c r="G52" i="31"/>
  <c r="G52" i="37" s="1"/>
  <c r="L93" i="28"/>
  <c r="L91" i="34" s="1"/>
  <c r="E14" i="28"/>
  <c r="E14" i="34" s="1"/>
  <c r="E46" i="28"/>
  <c r="E46" i="34" s="1"/>
  <c r="E8" i="26"/>
  <c r="E9" i="26" s="1"/>
  <c r="E16" i="26" s="1"/>
  <c r="E8" i="28"/>
  <c r="E8" i="34" s="1"/>
  <c r="E20" i="27"/>
  <c r="N101" i="31"/>
  <c r="N99" i="37" s="1"/>
  <c r="F87" i="28"/>
  <c r="F86" i="34" s="1"/>
  <c r="L39" i="28"/>
  <c r="G138" i="32"/>
  <c r="G106" i="31"/>
  <c r="G104" i="37" s="1"/>
  <c r="G161" i="32"/>
  <c r="G56" i="31" l="1"/>
  <c r="G56" i="37" s="1"/>
  <c r="E14" i="30"/>
  <c r="E15" i="28"/>
  <c r="E15" i="34" s="1"/>
  <c r="X15" i="34" s="1"/>
  <c r="E8" i="30"/>
  <c r="E9" i="28"/>
  <c r="E9" i="34" s="1"/>
  <c r="X9" i="34" s="1"/>
  <c r="F42" i="28"/>
  <c r="F42" i="34" s="1"/>
  <c r="E47" i="28"/>
  <c r="L87" i="28"/>
  <c r="L86" i="34" s="1"/>
  <c r="H135" i="32"/>
  <c r="G162" i="32"/>
  <c r="G109" i="31"/>
  <c r="G107" i="37" s="1"/>
  <c r="G139" i="32"/>
  <c r="G58" i="31" l="1"/>
  <c r="H52" i="31"/>
  <c r="H52" i="37" s="1"/>
  <c r="F46" i="28"/>
  <c r="F46" i="34" s="1"/>
  <c r="M93" i="28"/>
  <c r="M91" i="34" s="1"/>
  <c r="N93" i="28"/>
  <c r="N91" i="34" s="1"/>
  <c r="E17" i="28"/>
  <c r="E17" i="34" s="1"/>
  <c r="X17" i="34" s="1"/>
  <c r="M87" i="28"/>
  <c r="M86" i="34" s="1"/>
  <c r="N87" i="28"/>
  <c r="N86" i="34" s="1"/>
  <c r="H106" i="31"/>
  <c r="H104" i="37" s="1"/>
  <c r="H161" i="32"/>
  <c r="H138" i="32"/>
  <c r="H2" i="27"/>
  <c r="H56" i="31" l="1"/>
  <c r="H56" i="37" s="1"/>
  <c r="G42" i="28"/>
  <c r="G42" i="34" s="1"/>
  <c r="F47" i="28"/>
  <c r="H162" i="32"/>
  <c r="H109" i="31"/>
  <c r="H107" i="37" s="1"/>
  <c r="I135" i="32"/>
  <c r="H139" i="32"/>
  <c r="H2" i="26"/>
  <c r="K143" i="1"/>
  <c r="J143" i="1"/>
  <c r="I143" i="1"/>
  <c r="H143" i="1"/>
  <c r="G143" i="1"/>
  <c r="F143" i="1"/>
  <c r="E143" i="1"/>
  <c r="D143" i="1"/>
  <c r="A220" i="19"/>
  <c r="A221" i="19" s="1"/>
  <c r="A223" i="19" s="1"/>
  <c r="A224" i="19" s="1"/>
  <c r="A225" i="19" s="1"/>
  <c r="A226" i="19" s="1"/>
  <c r="A227" i="19" s="1"/>
  <c r="A228" i="19" s="1"/>
  <c r="A229" i="19" s="1"/>
  <c r="A230" i="19" s="1"/>
  <c r="A232" i="19" s="1"/>
  <c r="A233" i="19" s="1"/>
  <c r="A234" i="19" s="1"/>
  <c r="A235" i="19" s="1"/>
  <c r="A236" i="19" s="1"/>
  <c r="A237" i="19" s="1"/>
  <c r="A238" i="19" s="1"/>
  <c r="A239" i="19" s="1"/>
  <c r="A241" i="19" s="1"/>
  <c r="A242" i="19" s="1"/>
  <c r="A243" i="19" s="1"/>
  <c r="A244" i="19" s="1"/>
  <c r="A245" i="19" s="1"/>
  <c r="E143" i="18"/>
  <c r="F143" i="18"/>
  <c r="F143" i="30" s="1"/>
  <c r="G143" i="18"/>
  <c r="G143" i="30" s="1"/>
  <c r="H143" i="18"/>
  <c r="H143" i="30" s="1"/>
  <c r="I143" i="18"/>
  <c r="I143" i="30" s="1"/>
  <c r="J143" i="18"/>
  <c r="J143" i="30" s="1"/>
  <c r="K143" i="18"/>
  <c r="K143" i="30" s="1"/>
  <c r="D143" i="18"/>
  <c r="D143" i="30" s="1"/>
  <c r="H58" i="31" l="1"/>
  <c r="I52" i="31"/>
  <c r="I52" i="37" s="1"/>
  <c r="G46" i="28"/>
  <c r="G46" i="34" s="1"/>
  <c r="I161" i="32"/>
  <c r="I138" i="32"/>
  <c r="I106" i="31"/>
  <c r="I104" i="37" s="1"/>
  <c r="E143" i="30"/>
  <c r="E143" i="20"/>
  <c r="F143" i="20"/>
  <c r="I143" i="20"/>
  <c r="J143" i="20"/>
  <c r="G143" i="20"/>
  <c r="K143" i="20"/>
  <c r="D143" i="20"/>
  <c r="H143" i="20"/>
  <c r="I56" i="31" l="1"/>
  <c r="I56" i="37" s="1"/>
  <c r="G47" i="28"/>
  <c r="H42" i="28"/>
  <c r="H42" i="34" s="1"/>
  <c r="I162" i="32"/>
  <c r="J135" i="32"/>
  <c r="I109" i="31"/>
  <c r="I107" i="37" s="1"/>
  <c r="I139" i="32"/>
  <c r="I58" i="31" l="1"/>
  <c r="J52" i="31"/>
  <c r="J52" i="37" s="1"/>
  <c r="H46" i="28"/>
  <c r="H46" i="34" s="1"/>
  <c r="J161" i="32"/>
  <c r="J138" i="32"/>
  <c r="J106" i="31"/>
  <c r="J104" i="37" s="1"/>
  <c r="J56" i="31" l="1"/>
  <c r="J56" i="37" s="1"/>
  <c r="H47" i="28"/>
  <c r="I42" i="28"/>
  <c r="I42" i="34" s="1"/>
  <c r="K135" i="32"/>
  <c r="J162" i="32"/>
  <c r="J109" i="31"/>
  <c r="J107" i="37" s="1"/>
  <c r="J139" i="32"/>
  <c r="K52" i="31" l="1"/>
  <c r="K52" i="37" s="1"/>
  <c r="J58" i="31"/>
  <c r="I46" i="28"/>
  <c r="I46" i="34" s="1"/>
  <c r="K138" i="32"/>
  <c r="K161" i="32"/>
  <c r="K106" i="31"/>
  <c r="K104" i="37" s="1"/>
  <c r="K56" i="31" l="1"/>
  <c r="K56" i="37" s="1"/>
  <c r="J42" i="28"/>
  <c r="J42" i="34" s="1"/>
  <c r="I47" i="28"/>
  <c r="K109" i="31"/>
  <c r="K162" i="32"/>
  <c r="K139" i="32"/>
  <c r="L161" i="32"/>
  <c r="E23" i="27" l="1"/>
  <c r="K107" i="37"/>
  <c r="K58" i="31"/>
  <c r="N56" i="31"/>
  <c r="J46" i="28"/>
  <c r="J46" i="34" s="1"/>
  <c r="L162" i="32"/>
  <c r="E20" i="31"/>
  <c r="E20" i="37" s="1"/>
  <c r="J47" i="28" l="1"/>
  <c r="K42" i="28"/>
  <c r="K42" i="34" s="1"/>
  <c r="H2" i="24"/>
  <c r="K46" i="28" l="1"/>
  <c r="K46" i="34" s="1"/>
  <c r="K120" i="21"/>
  <c r="K120" i="33" s="1"/>
  <c r="J120" i="21"/>
  <c r="J120" i="33" s="1"/>
  <c r="H120" i="21"/>
  <c r="H120" i="33" s="1"/>
  <c r="G120" i="21"/>
  <c r="G120" i="33" s="1"/>
  <c r="F120" i="21"/>
  <c r="F120" i="33" s="1"/>
  <c r="J119" i="21"/>
  <c r="J119" i="33" s="1"/>
  <c r="I119" i="21"/>
  <c r="I119" i="33" s="1"/>
  <c r="G119" i="21"/>
  <c r="G119" i="33" s="1"/>
  <c r="F119" i="21"/>
  <c r="F119" i="33" s="1"/>
  <c r="E119" i="21"/>
  <c r="E119" i="33" s="1"/>
  <c r="J118" i="21"/>
  <c r="J118" i="33" s="1"/>
  <c r="I118" i="21"/>
  <c r="I118" i="33" s="1"/>
  <c r="H118" i="21"/>
  <c r="H118" i="33" s="1"/>
  <c r="F118" i="21"/>
  <c r="F118" i="33" s="1"/>
  <c r="E118" i="21"/>
  <c r="E118" i="33" s="1"/>
  <c r="K117" i="21"/>
  <c r="K117" i="33" s="1"/>
  <c r="I117" i="21"/>
  <c r="I117" i="33" s="1"/>
  <c r="H117" i="21"/>
  <c r="H117" i="33" s="1"/>
  <c r="G117" i="21"/>
  <c r="G117" i="33" s="1"/>
  <c r="E117" i="21"/>
  <c r="E117" i="33" s="1"/>
  <c r="K55" i="21"/>
  <c r="K55" i="33" s="1"/>
  <c r="J55" i="21"/>
  <c r="J55" i="33" s="1"/>
  <c r="I166" i="22"/>
  <c r="I54" i="21" s="1"/>
  <c r="I54" i="33" s="1"/>
  <c r="H166" i="22"/>
  <c r="H54" i="21" s="1"/>
  <c r="H54" i="33" s="1"/>
  <c r="G55" i="21"/>
  <c r="G55" i="33" s="1"/>
  <c r="F55" i="21"/>
  <c r="F55" i="33" s="1"/>
  <c r="K150" i="21"/>
  <c r="K150" i="33" s="1"/>
  <c r="J150" i="21"/>
  <c r="J150" i="33" s="1"/>
  <c r="H150" i="21"/>
  <c r="H150" i="33" s="1"/>
  <c r="G150" i="21"/>
  <c r="G150" i="33" s="1"/>
  <c r="F150" i="21"/>
  <c r="F150" i="33" s="1"/>
  <c r="D150" i="21"/>
  <c r="D150" i="33" s="1"/>
  <c r="K146" i="21"/>
  <c r="K146" i="33" s="1"/>
  <c r="J146" i="21"/>
  <c r="J146" i="33" s="1"/>
  <c r="H146" i="21"/>
  <c r="H146" i="33" s="1"/>
  <c r="G146" i="21"/>
  <c r="G146" i="33" s="1"/>
  <c r="F146" i="21"/>
  <c r="F146" i="33" s="1"/>
  <c r="D146" i="21"/>
  <c r="D146" i="33" s="1"/>
  <c r="J148" i="21"/>
  <c r="J148" i="33" s="1"/>
  <c r="I148" i="21"/>
  <c r="I148" i="33" s="1"/>
  <c r="H148" i="21"/>
  <c r="H148" i="33" s="1"/>
  <c r="F148" i="21"/>
  <c r="F148" i="33" s="1"/>
  <c r="E148" i="21"/>
  <c r="E148" i="33" s="1"/>
  <c r="D148" i="21"/>
  <c r="D148" i="33" s="1"/>
  <c r="K145" i="21"/>
  <c r="K145" i="33" s="1"/>
  <c r="J145" i="21"/>
  <c r="J145" i="33" s="1"/>
  <c r="H145" i="21"/>
  <c r="H145" i="33" s="1"/>
  <c r="G145" i="21"/>
  <c r="G145" i="33" s="1"/>
  <c r="F145" i="21"/>
  <c r="F145" i="33" s="1"/>
  <c r="D145" i="21"/>
  <c r="D145" i="33" s="1"/>
  <c r="J144" i="21"/>
  <c r="J144" i="33" s="1"/>
  <c r="I144" i="21"/>
  <c r="I144" i="33" s="1"/>
  <c r="H144" i="21"/>
  <c r="H144" i="33" s="1"/>
  <c r="F144" i="21"/>
  <c r="F144" i="33" s="1"/>
  <c r="E144" i="21"/>
  <c r="E144" i="33" s="1"/>
  <c r="D144" i="21"/>
  <c r="D144" i="33" s="1"/>
  <c r="K147" i="21"/>
  <c r="K147" i="33" s="1"/>
  <c r="G147" i="21"/>
  <c r="G147" i="33" s="1"/>
  <c r="I147" i="21"/>
  <c r="I147" i="33" s="1"/>
  <c r="E147" i="21"/>
  <c r="E147" i="33" s="1"/>
  <c r="K143" i="21"/>
  <c r="K143" i="33" s="1"/>
  <c r="J143" i="21"/>
  <c r="J143" i="33" s="1"/>
  <c r="H143" i="21"/>
  <c r="H143" i="33" s="1"/>
  <c r="G143" i="21"/>
  <c r="G143" i="33" s="1"/>
  <c r="F143" i="21"/>
  <c r="F143" i="33" s="1"/>
  <c r="D143" i="21"/>
  <c r="D143" i="33" s="1"/>
  <c r="J142" i="21"/>
  <c r="J142" i="33" s="1"/>
  <c r="I142" i="21"/>
  <c r="I142" i="33" s="1"/>
  <c r="H142" i="21"/>
  <c r="H142" i="33" s="1"/>
  <c r="F142" i="21"/>
  <c r="F142" i="33" s="1"/>
  <c r="E142" i="21"/>
  <c r="E142" i="33" s="1"/>
  <c r="D142" i="21"/>
  <c r="D142" i="33" s="1"/>
  <c r="J179" i="22"/>
  <c r="I179" i="22"/>
  <c r="H179" i="22"/>
  <c r="F179" i="22"/>
  <c r="E179" i="22"/>
  <c r="D179" i="22"/>
  <c r="K178" i="22"/>
  <c r="K136" i="21" s="1"/>
  <c r="K136" i="33" s="1"/>
  <c r="J178" i="22"/>
  <c r="J136" i="21" s="1"/>
  <c r="J136" i="33" s="1"/>
  <c r="H178" i="22"/>
  <c r="H136" i="21" s="1"/>
  <c r="H136" i="33" s="1"/>
  <c r="G178" i="22"/>
  <c r="G136" i="21" s="1"/>
  <c r="G136" i="33" s="1"/>
  <c r="F178" i="22"/>
  <c r="F136" i="21" s="1"/>
  <c r="F136" i="33" s="1"/>
  <c r="D178" i="22"/>
  <c r="D136" i="21" s="1"/>
  <c r="D136" i="33" s="1"/>
  <c r="J177" i="22"/>
  <c r="J137" i="21" s="1"/>
  <c r="J137" i="33" s="1"/>
  <c r="I177" i="22"/>
  <c r="I137" i="21" s="1"/>
  <c r="H177" i="22"/>
  <c r="H137" i="21" s="1"/>
  <c r="H137" i="33" s="1"/>
  <c r="F177" i="22"/>
  <c r="F137" i="21" s="1"/>
  <c r="E177" i="22"/>
  <c r="E137" i="21" s="1"/>
  <c r="E137" i="33" s="1"/>
  <c r="D177" i="22"/>
  <c r="D137" i="21" s="1"/>
  <c r="D137" i="33" s="1"/>
  <c r="D55" i="21"/>
  <c r="D55" i="33" s="1"/>
  <c r="D119" i="21"/>
  <c r="D119" i="33" s="1"/>
  <c r="D118" i="21"/>
  <c r="D118" i="33" s="1"/>
  <c r="D117" i="21"/>
  <c r="D117" i="33" s="1"/>
  <c r="D136" i="22"/>
  <c r="D135" i="22"/>
  <c r="D105" i="21" s="1"/>
  <c r="D105" i="33" s="1"/>
  <c r="D134" i="22"/>
  <c r="D52" i="21" s="1"/>
  <c r="D52" i="33" s="1"/>
  <c r="D91" i="21"/>
  <c r="D91" i="33" s="1"/>
  <c r="D87" i="21"/>
  <c r="D87" i="33" s="1"/>
  <c r="D85" i="21"/>
  <c r="D85" i="33" s="1"/>
  <c r="D95" i="21"/>
  <c r="D95" i="33" s="1"/>
  <c r="I150" i="21"/>
  <c r="I150" i="33" s="1"/>
  <c r="E150" i="21"/>
  <c r="E150" i="33" s="1"/>
  <c r="I146" i="21"/>
  <c r="I146" i="33" s="1"/>
  <c r="E146" i="21"/>
  <c r="E146" i="33" s="1"/>
  <c r="K148" i="21"/>
  <c r="K148" i="33" s="1"/>
  <c r="G148" i="21"/>
  <c r="G148" i="33" s="1"/>
  <c r="I145" i="21"/>
  <c r="I145" i="33" s="1"/>
  <c r="E145" i="21"/>
  <c r="E145" i="33" s="1"/>
  <c r="K144" i="21"/>
  <c r="K144" i="33" s="1"/>
  <c r="G144" i="21"/>
  <c r="G144" i="33" s="1"/>
  <c r="I143" i="21"/>
  <c r="I143" i="33" s="1"/>
  <c r="E143" i="21"/>
  <c r="E143" i="33" s="1"/>
  <c r="K142" i="21"/>
  <c r="K142" i="33" s="1"/>
  <c r="G142" i="21"/>
  <c r="G142" i="33" s="1"/>
  <c r="I178" i="22"/>
  <c r="I136" i="21" s="1"/>
  <c r="I136" i="33" s="1"/>
  <c r="E178" i="22"/>
  <c r="E136" i="21" s="1"/>
  <c r="E136" i="33" s="1"/>
  <c r="K177" i="22"/>
  <c r="K137" i="21" s="1"/>
  <c r="K137" i="33" s="1"/>
  <c r="G177" i="22"/>
  <c r="G137" i="21" s="1"/>
  <c r="G137" i="33" s="1"/>
  <c r="K179" i="22"/>
  <c r="G179" i="22"/>
  <c r="A178" i="22"/>
  <c r="A179" i="22" s="1"/>
  <c r="K118" i="21"/>
  <c r="K118" i="33" s="1"/>
  <c r="J117" i="21"/>
  <c r="J117" i="33" s="1"/>
  <c r="F117" i="21"/>
  <c r="F117" i="33" s="1"/>
  <c r="K142" i="22"/>
  <c r="K144" i="22" s="1"/>
  <c r="I142" i="22"/>
  <c r="I144" i="22" s="1"/>
  <c r="I72" i="21" s="1"/>
  <c r="H142" i="22"/>
  <c r="H144" i="22" s="1"/>
  <c r="H72" i="21" s="1"/>
  <c r="G142" i="22"/>
  <c r="E142" i="22"/>
  <c r="E144" i="22" s="1"/>
  <c r="E72" i="21" s="1"/>
  <c r="B137" i="22"/>
  <c r="K136" i="22"/>
  <c r="H136" i="22"/>
  <c r="H106" i="21" s="1"/>
  <c r="H106" i="33" s="1"/>
  <c r="G136" i="22"/>
  <c r="B136" i="22"/>
  <c r="H135" i="22"/>
  <c r="E135" i="22"/>
  <c r="E53" i="21" s="1"/>
  <c r="E53" i="33" s="1"/>
  <c r="B135" i="22"/>
  <c r="F132" i="22"/>
  <c r="F66" i="21" s="1"/>
  <c r="K132" i="22"/>
  <c r="K66" i="21" s="1"/>
  <c r="I132" i="22"/>
  <c r="I66" i="21" s="1"/>
  <c r="I66" i="33" s="1"/>
  <c r="H132" i="22"/>
  <c r="H66" i="21" s="1"/>
  <c r="G132" i="22"/>
  <c r="G66" i="21" s="1"/>
  <c r="I135" i="22"/>
  <c r="I53" i="21" s="1"/>
  <c r="I53" i="33" s="1"/>
  <c r="J111" i="21"/>
  <c r="J111" i="33" s="1"/>
  <c r="F111" i="21"/>
  <c r="F111" i="33" s="1"/>
  <c r="H79" i="21"/>
  <c r="G79" i="21"/>
  <c r="D79" i="21"/>
  <c r="D79" i="33" s="1"/>
  <c r="J75" i="21"/>
  <c r="F75" i="21"/>
  <c r="F75" i="33" s="1"/>
  <c r="I74" i="21"/>
  <c r="E74" i="21"/>
  <c r="D74" i="21"/>
  <c r="D74" i="33" s="1"/>
  <c r="J73" i="21"/>
  <c r="I73" i="21"/>
  <c r="F73" i="21"/>
  <c r="E73" i="21"/>
  <c r="E73" i="33" s="1"/>
  <c r="J76" i="21"/>
  <c r="K76" i="21"/>
  <c r="G76" i="21"/>
  <c r="H71" i="21"/>
  <c r="D71" i="21"/>
  <c r="D71" i="33" s="1"/>
  <c r="I70" i="21"/>
  <c r="I70" i="33" s="1"/>
  <c r="E70" i="21"/>
  <c r="E70" i="33" s="1"/>
  <c r="K135" i="22"/>
  <c r="K53" i="21" s="1"/>
  <c r="K53" i="33" s="1"/>
  <c r="G135" i="22"/>
  <c r="G53" i="21" s="1"/>
  <c r="G53" i="33" s="1"/>
  <c r="H62" i="21"/>
  <c r="D62" i="21"/>
  <c r="D62" i="33" s="1"/>
  <c r="I61" i="21"/>
  <c r="E61" i="21"/>
  <c r="I87" i="21"/>
  <c r="I87" i="33" s="1"/>
  <c r="E23" i="22"/>
  <c r="J86" i="21"/>
  <c r="J86" i="33" s="1"/>
  <c r="E95" i="21"/>
  <c r="E95" i="33" s="1"/>
  <c r="J9" i="22"/>
  <c r="E9" i="22"/>
  <c r="K127" i="21"/>
  <c r="H127" i="21"/>
  <c r="G127" i="21"/>
  <c r="J126" i="21"/>
  <c r="I126" i="21"/>
  <c r="H126" i="21"/>
  <c r="H132" i="21" s="1"/>
  <c r="H132" i="33" s="1"/>
  <c r="F126" i="21"/>
  <c r="E126" i="21"/>
  <c r="I120" i="21"/>
  <c r="I120" i="33" s="1"/>
  <c r="E120" i="21"/>
  <c r="E120" i="33" s="1"/>
  <c r="D120" i="21"/>
  <c r="D120" i="33" s="1"/>
  <c r="H119" i="21"/>
  <c r="H119" i="33" s="1"/>
  <c r="K111" i="21"/>
  <c r="K111" i="33" s="1"/>
  <c r="I111" i="21"/>
  <c r="I111" i="33" s="1"/>
  <c r="H111" i="21"/>
  <c r="H111" i="33" s="1"/>
  <c r="G111" i="21"/>
  <c r="G111" i="33" s="1"/>
  <c r="E111" i="21"/>
  <c r="E111" i="33" s="1"/>
  <c r="D111" i="21"/>
  <c r="D111" i="33" s="1"/>
  <c r="M98" i="21"/>
  <c r="N98" i="21" s="1"/>
  <c r="K96" i="21"/>
  <c r="K96" i="33" s="1"/>
  <c r="J96" i="21"/>
  <c r="J96" i="33" s="1"/>
  <c r="H96" i="21"/>
  <c r="H96" i="33" s="1"/>
  <c r="G96" i="21"/>
  <c r="G96" i="33" s="1"/>
  <c r="F96" i="21"/>
  <c r="F96" i="33" s="1"/>
  <c r="K95" i="21"/>
  <c r="K95" i="33" s="1"/>
  <c r="J95" i="21"/>
  <c r="J95" i="33" s="1"/>
  <c r="H95" i="21"/>
  <c r="H95" i="33" s="1"/>
  <c r="G95" i="21"/>
  <c r="G95" i="33" s="1"/>
  <c r="J94" i="21"/>
  <c r="J94" i="33" s="1"/>
  <c r="I94" i="21"/>
  <c r="I94" i="33" s="1"/>
  <c r="H94" i="21"/>
  <c r="H94" i="33" s="1"/>
  <c r="F94" i="21"/>
  <c r="F94" i="33" s="1"/>
  <c r="E94" i="21"/>
  <c r="E94" i="33" s="1"/>
  <c r="D94" i="21"/>
  <c r="D94" i="33" s="1"/>
  <c r="K93" i="21"/>
  <c r="K93" i="33" s="1"/>
  <c r="J93" i="21"/>
  <c r="J93" i="33" s="1"/>
  <c r="I93" i="21"/>
  <c r="I93" i="33" s="1"/>
  <c r="G93" i="21"/>
  <c r="G93" i="33" s="1"/>
  <c r="F93" i="21"/>
  <c r="F93" i="33" s="1"/>
  <c r="E93" i="21"/>
  <c r="E93" i="33" s="1"/>
  <c r="M92" i="21"/>
  <c r="N92" i="21" s="1"/>
  <c r="J91" i="21"/>
  <c r="J91" i="33" s="1"/>
  <c r="I91" i="21"/>
  <c r="I91" i="33" s="1"/>
  <c r="H91" i="21"/>
  <c r="H91" i="33" s="1"/>
  <c r="F91" i="21"/>
  <c r="F91" i="33" s="1"/>
  <c r="E91" i="21"/>
  <c r="E91" i="33" s="1"/>
  <c r="J89" i="21"/>
  <c r="J89" i="33" s="1"/>
  <c r="I89" i="21"/>
  <c r="I89" i="33" s="1"/>
  <c r="H89" i="21"/>
  <c r="F89" i="21"/>
  <c r="E89" i="21"/>
  <c r="E89" i="33" s="1"/>
  <c r="K88" i="21"/>
  <c r="K88" i="33" s="1"/>
  <c r="J88" i="21"/>
  <c r="J88" i="33" s="1"/>
  <c r="I88" i="21"/>
  <c r="I88" i="33" s="1"/>
  <c r="G88" i="21"/>
  <c r="F88" i="21"/>
  <c r="F88" i="33" s="1"/>
  <c r="E88" i="21"/>
  <c r="E88" i="33" s="1"/>
  <c r="K87" i="21"/>
  <c r="K87" i="33" s="1"/>
  <c r="J87" i="21"/>
  <c r="H87" i="21"/>
  <c r="H87" i="33" s="1"/>
  <c r="G87" i="21"/>
  <c r="G87" i="33" s="1"/>
  <c r="F87" i="21"/>
  <c r="K86" i="21"/>
  <c r="K86" i="33" s="1"/>
  <c r="I86" i="21"/>
  <c r="I86" i="33" s="1"/>
  <c r="H86" i="21"/>
  <c r="H86" i="33" s="1"/>
  <c r="G86" i="21"/>
  <c r="G86" i="33" s="1"/>
  <c r="E86" i="21"/>
  <c r="E86" i="33" s="1"/>
  <c r="K85" i="21"/>
  <c r="J85" i="21"/>
  <c r="J85" i="33" s="1"/>
  <c r="I85" i="21"/>
  <c r="I85" i="33" s="1"/>
  <c r="H85" i="21"/>
  <c r="H85" i="33" s="1"/>
  <c r="G85" i="21"/>
  <c r="G85" i="33" s="1"/>
  <c r="F85" i="21"/>
  <c r="F85" i="33" s="1"/>
  <c r="E85" i="21"/>
  <c r="E85" i="33" s="1"/>
  <c r="K79" i="21"/>
  <c r="J79" i="21"/>
  <c r="I79" i="21"/>
  <c r="F79" i="21"/>
  <c r="E79" i="21"/>
  <c r="I76" i="21"/>
  <c r="H76" i="21"/>
  <c r="F76" i="21"/>
  <c r="E76" i="21"/>
  <c r="D76" i="21"/>
  <c r="D76" i="33" s="1"/>
  <c r="K75" i="21"/>
  <c r="K75" i="33" s="1"/>
  <c r="I75" i="21"/>
  <c r="H75" i="21"/>
  <c r="G75" i="21"/>
  <c r="E75" i="21"/>
  <c r="E75" i="33" s="1"/>
  <c r="D75" i="21"/>
  <c r="D75" i="33" s="1"/>
  <c r="K74" i="21"/>
  <c r="J74" i="21"/>
  <c r="H74" i="21"/>
  <c r="G74" i="21"/>
  <c r="F74" i="21"/>
  <c r="K73" i="21"/>
  <c r="K73" i="33" s="1"/>
  <c r="H73" i="21"/>
  <c r="G73" i="21"/>
  <c r="D73" i="21"/>
  <c r="D73" i="33" s="1"/>
  <c r="K71" i="21"/>
  <c r="K71" i="33" s="1"/>
  <c r="J71" i="21"/>
  <c r="I71" i="21"/>
  <c r="G71" i="21"/>
  <c r="F71" i="21"/>
  <c r="F71" i="33" s="1"/>
  <c r="E71" i="21"/>
  <c r="K70" i="21"/>
  <c r="K70" i="33" s="1"/>
  <c r="J70" i="21"/>
  <c r="J70" i="33" s="1"/>
  <c r="H70" i="21"/>
  <c r="H70" i="33" s="1"/>
  <c r="G70" i="21"/>
  <c r="F70" i="21"/>
  <c r="D70" i="21"/>
  <c r="D70" i="33" s="1"/>
  <c r="K64" i="21"/>
  <c r="J64" i="21"/>
  <c r="H64" i="21"/>
  <c r="G64" i="21"/>
  <c r="F64" i="21"/>
  <c r="D64" i="21"/>
  <c r="D64" i="33" s="1"/>
  <c r="K63" i="21"/>
  <c r="I63" i="21"/>
  <c r="H63" i="21"/>
  <c r="G63" i="21"/>
  <c r="E63" i="21"/>
  <c r="D63" i="21"/>
  <c r="D63" i="33" s="1"/>
  <c r="K62" i="21"/>
  <c r="J62" i="21"/>
  <c r="I62" i="21"/>
  <c r="I62" i="33" s="1"/>
  <c r="G62" i="21"/>
  <c r="F62" i="21"/>
  <c r="F62" i="33" s="1"/>
  <c r="E62" i="21"/>
  <c r="E62" i="33" s="1"/>
  <c r="K61" i="21"/>
  <c r="K61" i="33" s="1"/>
  <c r="J61" i="21"/>
  <c r="J61" i="33" s="1"/>
  <c r="H61" i="21"/>
  <c r="G61" i="21"/>
  <c r="G61" i="33" s="1"/>
  <c r="F61" i="21"/>
  <c r="D61" i="21"/>
  <c r="D61" i="33" s="1"/>
  <c r="I55" i="21"/>
  <c r="I55" i="33" s="1"/>
  <c r="E55" i="21"/>
  <c r="E55" i="33" s="1"/>
  <c r="H2" i="21"/>
  <c r="K47" i="28" l="1"/>
  <c r="N46" i="28"/>
  <c r="H127" i="33"/>
  <c r="H133" i="21"/>
  <c r="I126" i="33"/>
  <c r="I132" i="21"/>
  <c r="I132" i="33" s="1"/>
  <c r="K127" i="33"/>
  <c r="K133" i="21"/>
  <c r="K133" i="33" s="1"/>
  <c r="E126" i="33"/>
  <c r="E132" i="21"/>
  <c r="J126" i="33"/>
  <c r="J132" i="21"/>
  <c r="J132" i="33" s="1"/>
  <c r="F126" i="33"/>
  <c r="F132" i="21"/>
  <c r="F132" i="33" s="1"/>
  <c r="G127" i="33"/>
  <c r="G133" i="21"/>
  <c r="G133" i="33" s="1"/>
  <c r="G70" i="33"/>
  <c r="J71" i="33"/>
  <c r="H73" i="33"/>
  <c r="H74" i="33"/>
  <c r="H76" i="33"/>
  <c r="H89" i="33"/>
  <c r="G66" i="33"/>
  <c r="G62" i="33"/>
  <c r="I63" i="33"/>
  <c r="G64" i="33"/>
  <c r="G71" i="33"/>
  <c r="F74" i="33"/>
  <c r="F61" i="33"/>
  <c r="E63" i="33"/>
  <c r="K63" i="33"/>
  <c r="H64" i="33"/>
  <c r="F70" i="33"/>
  <c r="I71" i="33"/>
  <c r="G73" i="33"/>
  <c r="G74" i="33"/>
  <c r="I75" i="33"/>
  <c r="F76" i="33"/>
  <c r="F79" i="33"/>
  <c r="F87" i="33"/>
  <c r="F89" i="33"/>
  <c r="H126" i="33"/>
  <c r="H62" i="33"/>
  <c r="K76" i="33"/>
  <c r="I73" i="33"/>
  <c r="I74" i="33"/>
  <c r="G79" i="33"/>
  <c r="K66" i="33"/>
  <c r="H72" i="33"/>
  <c r="F137" i="33"/>
  <c r="G63" i="33"/>
  <c r="E71" i="33"/>
  <c r="J73" i="33"/>
  <c r="F66" i="33"/>
  <c r="K62" i="33"/>
  <c r="H63" i="33"/>
  <c r="F64" i="33"/>
  <c r="K64" i="33"/>
  <c r="J74" i="33"/>
  <c r="G75" i="33"/>
  <c r="I76" i="33"/>
  <c r="J79" i="33"/>
  <c r="K85" i="33"/>
  <c r="I61" i="33"/>
  <c r="H71" i="33"/>
  <c r="J75" i="33"/>
  <c r="H66" i="33"/>
  <c r="E72" i="33"/>
  <c r="I137" i="33"/>
  <c r="J62" i="33"/>
  <c r="J64" i="33"/>
  <c r="I79" i="33"/>
  <c r="E61" i="33"/>
  <c r="J76" i="33"/>
  <c r="H79" i="33"/>
  <c r="I72" i="33"/>
  <c r="H61" i="33"/>
  <c r="K74" i="33"/>
  <c r="H75" i="33"/>
  <c r="E76" i="33"/>
  <c r="E79" i="33"/>
  <c r="K79" i="33"/>
  <c r="J87" i="33"/>
  <c r="G88" i="33"/>
  <c r="G76" i="33"/>
  <c r="F73" i="33"/>
  <c r="E74" i="33"/>
  <c r="H147" i="21"/>
  <c r="H147" i="33" s="1"/>
  <c r="F147" i="21"/>
  <c r="F149" i="21" s="1"/>
  <c r="F149" i="33" s="1"/>
  <c r="G173" i="22"/>
  <c r="G112" i="21" s="1"/>
  <c r="H55" i="21"/>
  <c r="D173" i="22"/>
  <c r="D112" i="21" s="1"/>
  <c r="D112" i="33" s="1"/>
  <c r="G166" i="22"/>
  <c r="G54" i="21" s="1"/>
  <c r="G54" i="33" s="1"/>
  <c r="H105" i="21"/>
  <c r="H105" i="33" s="1"/>
  <c r="D127" i="21"/>
  <c r="K152" i="22"/>
  <c r="K77" i="21" s="1"/>
  <c r="J147" i="21"/>
  <c r="J147" i="33" s="1"/>
  <c r="G152" i="22"/>
  <c r="G77" i="21" s="1"/>
  <c r="I105" i="21"/>
  <c r="I105" i="33" s="1"/>
  <c r="K166" i="22"/>
  <c r="K54" i="21" s="1"/>
  <c r="K54" i="33" s="1"/>
  <c r="F138" i="21"/>
  <c r="F138" i="33" s="1"/>
  <c r="H65" i="21"/>
  <c r="H128" i="21"/>
  <c r="H128" i="33" s="1"/>
  <c r="D147" i="21"/>
  <c r="D147" i="33" s="1"/>
  <c r="D89" i="21"/>
  <c r="D89" i="33" s="1"/>
  <c r="D96" i="21"/>
  <c r="D96" i="33" s="1"/>
  <c r="I138" i="21"/>
  <c r="I138" i="33" s="1"/>
  <c r="I173" i="22"/>
  <c r="I112" i="21" s="1"/>
  <c r="I112" i="33" s="1"/>
  <c r="H152" i="22"/>
  <c r="H77" i="21" s="1"/>
  <c r="E152" i="22"/>
  <c r="E77" i="21" s="1"/>
  <c r="E77" i="33" s="1"/>
  <c r="I152" i="22"/>
  <c r="I77" i="21" s="1"/>
  <c r="I77" i="33" s="1"/>
  <c r="D65" i="21"/>
  <c r="D65" i="33" s="1"/>
  <c r="K65" i="21"/>
  <c r="K105" i="21"/>
  <c r="K105" i="33" s="1"/>
  <c r="H53" i="21"/>
  <c r="H53" i="33" s="1"/>
  <c r="G106" i="21"/>
  <c r="G106" i="33" s="1"/>
  <c r="D53" i="21"/>
  <c r="D53" i="33" s="1"/>
  <c r="D86" i="21"/>
  <c r="D86" i="33" s="1"/>
  <c r="H149" i="22"/>
  <c r="D166" i="22"/>
  <c r="D54" i="21" s="1"/>
  <c r="D54" i="33" s="1"/>
  <c r="J138" i="21"/>
  <c r="J138" i="33" s="1"/>
  <c r="K173" i="22"/>
  <c r="K112" i="21" s="1"/>
  <c r="K112" i="33" s="1"/>
  <c r="H173" i="22"/>
  <c r="H112" i="21" s="1"/>
  <c r="H112" i="33" s="1"/>
  <c r="E173" i="22"/>
  <c r="E112" i="21" s="1"/>
  <c r="E112" i="33" s="1"/>
  <c r="F142" i="22"/>
  <c r="F144" i="22" s="1"/>
  <c r="F72" i="21" s="1"/>
  <c r="J142" i="22"/>
  <c r="J144" i="22" s="1"/>
  <c r="J149" i="22" s="1"/>
  <c r="H138" i="21"/>
  <c r="H138" i="33" s="1"/>
  <c r="L16" i="22"/>
  <c r="E4" i="21" s="1"/>
  <c r="G144" i="22"/>
  <c r="G149" i="22" s="1"/>
  <c r="F173" i="22"/>
  <c r="F112" i="21" s="1"/>
  <c r="F112" i="33" s="1"/>
  <c r="J173" i="22"/>
  <c r="J112" i="21" s="1"/>
  <c r="J112" i="33" s="1"/>
  <c r="F152" i="22"/>
  <c r="F77" i="21" s="1"/>
  <c r="J152" i="22"/>
  <c r="J77" i="21" s="1"/>
  <c r="E149" i="22"/>
  <c r="I149" i="22"/>
  <c r="E105" i="21"/>
  <c r="E105" i="33" s="1"/>
  <c r="K149" i="21"/>
  <c r="K149" i="33" s="1"/>
  <c r="E138" i="21"/>
  <c r="E138" i="33" s="1"/>
  <c r="G149" i="21"/>
  <c r="G149" i="33" s="1"/>
  <c r="D106" i="21"/>
  <c r="D106" i="33" s="1"/>
  <c r="D152" i="22"/>
  <c r="D77" i="21" s="1"/>
  <c r="D77" i="33" s="1"/>
  <c r="D142" i="22"/>
  <c r="D144" i="22" s="1"/>
  <c r="D149" i="22" s="1"/>
  <c r="D104" i="21"/>
  <c r="D104" i="33" s="1"/>
  <c r="D132" i="22"/>
  <c r="D66" i="21" s="1"/>
  <c r="D66" i="33" s="1"/>
  <c r="I90" i="21"/>
  <c r="I90" i="33" s="1"/>
  <c r="I149" i="21"/>
  <c r="I149" i="33" s="1"/>
  <c r="K91" i="21"/>
  <c r="K91" i="33" s="1"/>
  <c r="E87" i="21"/>
  <c r="G89" i="21"/>
  <c r="K89" i="21"/>
  <c r="D138" i="21"/>
  <c r="D138" i="33" s="1"/>
  <c r="L136" i="21"/>
  <c r="L136" i="33" s="1"/>
  <c r="F95" i="21"/>
  <c r="F95" i="33" s="1"/>
  <c r="I23" i="22"/>
  <c r="G91" i="21"/>
  <c r="G91" i="33" s="1"/>
  <c r="G65" i="21"/>
  <c r="J23" i="22"/>
  <c r="K72" i="21"/>
  <c r="K149" i="22"/>
  <c r="G138" i="21"/>
  <c r="G138" i="33" s="1"/>
  <c r="L85" i="21"/>
  <c r="L85" i="33" s="1"/>
  <c r="F135" i="22"/>
  <c r="F63" i="21"/>
  <c r="J135" i="22"/>
  <c r="J63" i="21"/>
  <c r="E136" i="22"/>
  <c r="E106" i="21" s="1"/>
  <c r="E106" i="33" s="1"/>
  <c r="E166" i="22"/>
  <c r="E54" i="21" s="1"/>
  <c r="E54" i="33" s="1"/>
  <c r="E64" i="21"/>
  <c r="E64" i="33" s="1"/>
  <c r="I136" i="22"/>
  <c r="I106" i="21" s="1"/>
  <c r="I106" i="33" s="1"/>
  <c r="I64" i="21"/>
  <c r="E132" i="22"/>
  <c r="E66" i="21" s="1"/>
  <c r="G118" i="21"/>
  <c r="G118" i="33" s="1"/>
  <c r="G105" i="21"/>
  <c r="G105" i="33" s="1"/>
  <c r="K119" i="21"/>
  <c r="K119" i="33" s="1"/>
  <c r="K106" i="21"/>
  <c r="K106" i="33" s="1"/>
  <c r="J97" i="21"/>
  <c r="J97" i="33" s="1"/>
  <c r="L137" i="21"/>
  <c r="L137" i="33" s="1"/>
  <c r="E149" i="21"/>
  <c r="E149" i="33" s="1"/>
  <c r="F9" i="22"/>
  <c r="F127" i="21"/>
  <c r="F133" i="21" s="1"/>
  <c r="F133" i="33" s="1"/>
  <c r="J127" i="21"/>
  <c r="D126" i="21"/>
  <c r="D93" i="21"/>
  <c r="D93" i="33" s="1"/>
  <c r="H93" i="21"/>
  <c r="L8" i="22"/>
  <c r="E11" i="21" s="1"/>
  <c r="E11" i="33" s="1"/>
  <c r="G126" i="21"/>
  <c r="G132" i="21" s="1"/>
  <c r="G94" i="21"/>
  <c r="K126" i="21"/>
  <c r="K132" i="21" s="1"/>
  <c r="K94" i="21"/>
  <c r="I95" i="21"/>
  <c r="I95" i="33" s="1"/>
  <c r="J90" i="21"/>
  <c r="J90" i="33" s="1"/>
  <c r="E127" i="21"/>
  <c r="E133" i="21" s="1"/>
  <c r="E96" i="21"/>
  <c r="I9" i="22"/>
  <c r="I127" i="21"/>
  <c r="I133" i="21" s="1"/>
  <c r="I133" i="33" s="1"/>
  <c r="I96" i="21"/>
  <c r="I96" i="33" s="1"/>
  <c r="F23" i="22"/>
  <c r="K138" i="21"/>
  <c r="K138" i="33" s="1"/>
  <c r="D23" i="22"/>
  <c r="H23" i="22"/>
  <c r="L15" i="22"/>
  <c r="E3" i="21" s="1"/>
  <c r="D88" i="21"/>
  <c r="D88" i="33" s="1"/>
  <c r="H88" i="21"/>
  <c r="L21" i="22"/>
  <c r="E6" i="21" s="1"/>
  <c r="E6" i="33" s="1"/>
  <c r="D160" i="22"/>
  <c r="D137" i="22"/>
  <c r="F136" i="22"/>
  <c r="F106" i="21" s="1"/>
  <c r="F106" i="33" s="1"/>
  <c r="F166" i="22"/>
  <c r="F54" i="21" s="1"/>
  <c r="F54" i="33" s="1"/>
  <c r="J136" i="22"/>
  <c r="J106" i="21" s="1"/>
  <c r="J106" i="33" s="1"/>
  <c r="J166" i="22"/>
  <c r="J54" i="21" s="1"/>
  <c r="J54" i="33" s="1"/>
  <c r="J132" i="22"/>
  <c r="F86" i="21"/>
  <c r="G9" i="22"/>
  <c r="K9" i="22"/>
  <c r="L12" i="22"/>
  <c r="E12" i="21" s="1"/>
  <c r="E12" i="33" s="1"/>
  <c r="L17" i="22"/>
  <c r="E7" i="21" s="1"/>
  <c r="E7" i="33" s="1"/>
  <c r="L26" i="22"/>
  <c r="E9" i="21" s="1"/>
  <c r="E9" i="33" s="1"/>
  <c r="D9" i="22"/>
  <c r="H9" i="22"/>
  <c r="L13" i="22"/>
  <c r="E13" i="21" s="1"/>
  <c r="E13" i="33" s="1"/>
  <c r="G23" i="22"/>
  <c r="K23" i="22"/>
  <c r="L20" i="22"/>
  <c r="E5" i="21" s="1"/>
  <c r="E5" i="33" s="1"/>
  <c r="L7" i="22"/>
  <c r="E132" i="33" l="1"/>
  <c r="H149" i="21"/>
  <c r="H149" i="33" s="1"/>
  <c r="G134" i="21"/>
  <c r="G134" i="33" s="1"/>
  <c r="G132" i="33"/>
  <c r="H134" i="21"/>
  <c r="H134" i="33" s="1"/>
  <c r="H133" i="33"/>
  <c r="E133" i="33"/>
  <c r="K134" i="21"/>
  <c r="K134" i="33" s="1"/>
  <c r="K132" i="33"/>
  <c r="D126" i="33"/>
  <c r="D132" i="21"/>
  <c r="D132" i="33" s="1"/>
  <c r="J127" i="33"/>
  <c r="J133" i="21"/>
  <c r="J133" i="33" s="1"/>
  <c r="D127" i="33"/>
  <c r="D133" i="21"/>
  <c r="F134" i="21"/>
  <c r="F134" i="33" s="1"/>
  <c r="E134" i="21"/>
  <c r="I134" i="21"/>
  <c r="I134" i="33" s="1"/>
  <c r="D149" i="21"/>
  <c r="D149" i="33" s="1"/>
  <c r="I64" i="33"/>
  <c r="F86" i="33"/>
  <c r="K126" i="33"/>
  <c r="H93" i="33"/>
  <c r="J63" i="33"/>
  <c r="G65" i="33"/>
  <c r="K89" i="33"/>
  <c r="J77" i="33"/>
  <c r="H65" i="33"/>
  <c r="K77" i="33"/>
  <c r="K65" i="33"/>
  <c r="F147" i="33"/>
  <c r="E96" i="33"/>
  <c r="G94" i="33"/>
  <c r="K72" i="33"/>
  <c r="G89" i="33"/>
  <c r="F77" i="33"/>
  <c r="F72" i="33"/>
  <c r="H77" i="33"/>
  <c r="G77" i="33"/>
  <c r="H55" i="33"/>
  <c r="I127" i="33"/>
  <c r="F127" i="33"/>
  <c r="H88" i="33"/>
  <c r="E127" i="33"/>
  <c r="K94" i="33"/>
  <c r="G126" i="33"/>
  <c r="E64" i="27"/>
  <c r="E65" i="27" s="1"/>
  <c r="E66" i="33"/>
  <c r="F63" i="33"/>
  <c r="E87" i="33"/>
  <c r="E4" i="33"/>
  <c r="G112" i="33"/>
  <c r="H78" i="21"/>
  <c r="H80" i="21" s="1"/>
  <c r="I153" i="21"/>
  <c r="G153" i="21"/>
  <c r="E153" i="21"/>
  <c r="F153" i="21"/>
  <c r="I78" i="21"/>
  <c r="L87" i="21"/>
  <c r="L87" i="33" s="1"/>
  <c r="K153" i="21"/>
  <c r="E78" i="21"/>
  <c r="J149" i="21"/>
  <c r="F128" i="21"/>
  <c r="F128" i="33" s="1"/>
  <c r="E151" i="21"/>
  <c r="I151" i="21"/>
  <c r="F151" i="21"/>
  <c r="M86" i="21"/>
  <c r="M86" i="33" s="1"/>
  <c r="L86" i="21"/>
  <c r="E97" i="21"/>
  <c r="E97" i="33" s="1"/>
  <c r="J128" i="21"/>
  <c r="J128" i="33" s="1"/>
  <c r="K128" i="21"/>
  <c r="K128" i="33" s="1"/>
  <c r="H97" i="21"/>
  <c r="H97" i="33" s="1"/>
  <c r="K151" i="21"/>
  <c r="E128" i="21"/>
  <c r="E128" i="33" s="1"/>
  <c r="G97" i="21"/>
  <c r="G97" i="33" s="1"/>
  <c r="G151" i="21"/>
  <c r="D56" i="21"/>
  <c r="I128" i="21"/>
  <c r="I128" i="33" s="1"/>
  <c r="K97" i="21"/>
  <c r="K97" i="33" s="1"/>
  <c r="G128" i="21"/>
  <c r="G128" i="33" s="1"/>
  <c r="F97" i="21"/>
  <c r="F97" i="33" s="1"/>
  <c r="I97" i="21"/>
  <c r="I97" i="33" s="1"/>
  <c r="L127" i="21"/>
  <c r="L127" i="33" s="1"/>
  <c r="E90" i="21"/>
  <c r="L91" i="21"/>
  <c r="L91" i="33" s="1"/>
  <c r="I65" i="21"/>
  <c r="F65" i="21"/>
  <c r="F149" i="22"/>
  <c r="G72" i="21"/>
  <c r="G72" i="33" s="1"/>
  <c r="J72" i="21"/>
  <c r="J72" i="33" s="1"/>
  <c r="F78" i="21"/>
  <c r="D72" i="21"/>
  <c r="D72" i="33" s="1"/>
  <c r="L9" i="22"/>
  <c r="E14" i="21"/>
  <c r="E14" i="33" s="1"/>
  <c r="L95" i="21"/>
  <c r="L95" i="33" s="1"/>
  <c r="M94" i="21"/>
  <c r="M94" i="33" s="1"/>
  <c r="E65" i="21"/>
  <c r="M95" i="21"/>
  <c r="M95" i="33" s="1"/>
  <c r="J66" i="21"/>
  <c r="D161" i="22"/>
  <c r="E134" i="22"/>
  <c r="D107" i="21"/>
  <c r="D107" i="33" s="1"/>
  <c r="L23" i="22"/>
  <c r="E3" i="33"/>
  <c r="L93" i="21"/>
  <c r="L93" i="33" s="1"/>
  <c r="D97" i="21"/>
  <c r="D97" i="33" s="1"/>
  <c r="J99" i="21"/>
  <c r="J99" i="33" s="1"/>
  <c r="D138" i="22"/>
  <c r="K90" i="21"/>
  <c r="G90" i="21"/>
  <c r="L88" i="21"/>
  <c r="L88" i="33" s="1"/>
  <c r="D90" i="21"/>
  <c r="D90" i="33" s="1"/>
  <c r="M87" i="21"/>
  <c r="M91" i="21"/>
  <c r="M91" i="33" s="1"/>
  <c r="M88" i="21"/>
  <c r="J105" i="21"/>
  <c r="J105" i="33" s="1"/>
  <c r="J53" i="21"/>
  <c r="J53" i="33" s="1"/>
  <c r="L138" i="21"/>
  <c r="L138" i="33" s="1"/>
  <c r="L94" i="21"/>
  <c r="L94" i="33" s="1"/>
  <c r="J65" i="21"/>
  <c r="M89" i="21"/>
  <c r="M89" i="33" s="1"/>
  <c r="E19" i="21"/>
  <c r="F90" i="21"/>
  <c r="M93" i="21"/>
  <c r="D128" i="21"/>
  <c r="D128" i="33" s="1"/>
  <c r="L126" i="21"/>
  <c r="F105" i="21"/>
  <c r="F105" i="33" s="1"/>
  <c r="F53" i="21"/>
  <c r="F53" i="33" s="1"/>
  <c r="H90" i="21"/>
  <c r="H90" i="33" s="1"/>
  <c r="L89" i="21"/>
  <c r="L89" i="33" s="1"/>
  <c r="L96" i="21"/>
  <c r="L96" i="33" s="1"/>
  <c r="K78" i="21"/>
  <c r="H153" i="21" l="1"/>
  <c r="H151" i="21"/>
  <c r="H151" i="33" s="1"/>
  <c r="D151" i="21"/>
  <c r="D151" i="33" s="1"/>
  <c r="D153" i="21"/>
  <c r="L133" i="21"/>
  <c r="L133" i="33" s="1"/>
  <c r="D133" i="33"/>
  <c r="J134" i="21"/>
  <c r="J134" i="33" s="1"/>
  <c r="E134" i="33"/>
  <c r="L132" i="21"/>
  <c r="L132" i="33" s="1"/>
  <c r="D134" i="21"/>
  <c r="E52" i="21"/>
  <c r="E56" i="21" s="1"/>
  <c r="D56" i="33"/>
  <c r="M93" i="33"/>
  <c r="H80" i="33"/>
  <c r="F78" i="33"/>
  <c r="F65" i="33"/>
  <c r="E90" i="33"/>
  <c r="K151" i="33"/>
  <c r="F90" i="33"/>
  <c r="E65" i="33"/>
  <c r="I65" i="33"/>
  <c r="F151" i="33"/>
  <c r="L126" i="33"/>
  <c r="J65" i="33"/>
  <c r="J66" i="33"/>
  <c r="I151" i="33"/>
  <c r="E78" i="33"/>
  <c r="H78" i="33"/>
  <c r="M87" i="33"/>
  <c r="L86" i="33"/>
  <c r="K90" i="33"/>
  <c r="G151" i="33"/>
  <c r="E151" i="33"/>
  <c r="K78" i="33"/>
  <c r="I78" i="33"/>
  <c r="E19" i="33"/>
  <c r="M88" i="33"/>
  <c r="G90" i="33"/>
  <c r="J151" i="21"/>
  <c r="J149" i="33"/>
  <c r="E80" i="21"/>
  <c r="I80" i="21"/>
  <c r="J153" i="21"/>
  <c r="J78" i="21"/>
  <c r="G78" i="21"/>
  <c r="L128" i="21"/>
  <c r="L128" i="33" s="1"/>
  <c r="F99" i="21"/>
  <c r="F99" i="33" s="1"/>
  <c r="N88" i="21"/>
  <c r="N88" i="33" s="1"/>
  <c r="N87" i="21"/>
  <c r="N87" i="33" s="1"/>
  <c r="K99" i="21"/>
  <c r="K99" i="33" s="1"/>
  <c r="E15" i="21"/>
  <c r="E15" i="33" s="1"/>
  <c r="G99" i="21"/>
  <c r="G99" i="33" s="1"/>
  <c r="E99" i="21"/>
  <c r="E99" i="33" s="1"/>
  <c r="N93" i="21"/>
  <c r="N93" i="33" s="1"/>
  <c r="I99" i="21"/>
  <c r="I99" i="33" s="1"/>
  <c r="N126" i="21"/>
  <c r="N126" i="33" s="1"/>
  <c r="H99" i="21"/>
  <c r="H99" i="33" s="1"/>
  <c r="D58" i="21"/>
  <c r="N86" i="21"/>
  <c r="N86" i="33" s="1"/>
  <c r="N127" i="21"/>
  <c r="N127" i="33" s="1"/>
  <c r="N91" i="21"/>
  <c r="N91" i="33" s="1"/>
  <c r="F80" i="21"/>
  <c r="D78" i="21"/>
  <c r="D78" i="33" s="1"/>
  <c r="N89" i="21"/>
  <c r="N89" i="33" s="1"/>
  <c r="N94" i="21"/>
  <c r="N94" i="33" s="1"/>
  <c r="D99" i="21"/>
  <c r="D99" i="33" s="1"/>
  <c r="L97" i="21"/>
  <c r="L97" i="33" s="1"/>
  <c r="E160" i="22"/>
  <c r="E137" i="22"/>
  <c r="E104" i="21"/>
  <c r="E104" i="33" s="1"/>
  <c r="M96" i="21"/>
  <c r="M85" i="21"/>
  <c r="E8" i="21"/>
  <c r="E8" i="33" s="1"/>
  <c r="K80" i="21"/>
  <c r="L90" i="21"/>
  <c r="L90" i="33" s="1"/>
  <c r="N95" i="21"/>
  <c r="N95" i="33" s="1"/>
  <c r="H82" i="21"/>
  <c r="L134" i="21" l="1"/>
  <c r="L134" i="33" s="1"/>
  <c r="D134" i="33"/>
  <c r="E80" i="33"/>
  <c r="J78" i="33"/>
  <c r="M85" i="33"/>
  <c r="E56" i="33"/>
  <c r="K80" i="33"/>
  <c r="J151" i="33"/>
  <c r="M96" i="33"/>
  <c r="F80" i="33"/>
  <c r="G78" i="33"/>
  <c r="I80" i="33"/>
  <c r="F153" i="33"/>
  <c r="E52" i="33"/>
  <c r="I82" i="21"/>
  <c r="E82" i="21"/>
  <c r="G80" i="21"/>
  <c r="J80" i="21"/>
  <c r="M97" i="21"/>
  <c r="F52" i="21"/>
  <c r="E58" i="21"/>
  <c r="N85" i="21"/>
  <c r="N85" i="33" s="1"/>
  <c r="L99" i="21"/>
  <c r="L99" i="33" s="1"/>
  <c r="N96" i="21"/>
  <c r="N96" i="33" s="1"/>
  <c r="F82" i="21"/>
  <c r="D80" i="21"/>
  <c r="D80" i="33" s="1"/>
  <c r="K82" i="21"/>
  <c r="M90" i="21"/>
  <c r="E17" i="21"/>
  <c r="E17" i="33" s="1"/>
  <c r="E161" i="22"/>
  <c r="F134" i="22"/>
  <c r="E107" i="21"/>
  <c r="E107" i="33" s="1"/>
  <c r="E138" i="22"/>
  <c r="F82" i="33" l="1"/>
  <c r="N97" i="21"/>
  <c r="N97" i="33" s="1"/>
  <c r="M97" i="33"/>
  <c r="J80" i="33"/>
  <c r="G80" i="33"/>
  <c r="M90" i="33"/>
  <c r="F52" i="33"/>
  <c r="J82" i="21"/>
  <c r="G82" i="21"/>
  <c r="F56" i="21"/>
  <c r="N80" i="21"/>
  <c r="N90" i="21"/>
  <c r="N90" i="33" s="1"/>
  <c r="D82" i="21"/>
  <c r="M99" i="21"/>
  <c r="F160" i="22"/>
  <c r="F137" i="22"/>
  <c r="F104" i="21"/>
  <c r="F104" i="33" s="1"/>
  <c r="M99" i="33" l="1"/>
  <c r="F56" i="33"/>
  <c r="N99" i="21"/>
  <c r="N99" i="33" s="1"/>
  <c r="G52" i="21"/>
  <c r="F58" i="21"/>
  <c r="G134" i="22"/>
  <c r="F161" i="22"/>
  <c r="F107" i="21"/>
  <c r="F107" i="33" s="1"/>
  <c r="F138" i="22"/>
  <c r="G52" i="33" l="1"/>
  <c r="G56" i="21"/>
  <c r="G160" i="22"/>
  <c r="G137" i="22"/>
  <c r="G104" i="21"/>
  <c r="G104" i="33" s="1"/>
  <c r="G56" i="33" l="1"/>
  <c r="G58" i="21"/>
  <c r="H52" i="21"/>
  <c r="H134" i="22"/>
  <c r="G161" i="22"/>
  <c r="G138" i="22"/>
  <c r="G107" i="21"/>
  <c r="G107" i="33" s="1"/>
  <c r="H52" i="33" l="1"/>
  <c r="H56" i="21"/>
  <c r="H160" i="22"/>
  <c r="H137" i="22"/>
  <c r="H104" i="21"/>
  <c r="H104" i="33" s="1"/>
  <c r="H56" i="33" l="1"/>
  <c r="H58" i="21"/>
  <c r="I52" i="21"/>
  <c r="H161" i="22"/>
  <c r="I134" i="22"/>
  <c r="H107" i="21"/>
  <c r="H107" i="33" s="1"/>
  <c r="H138" i="22"/>
  <c r="I52" i="33" l="1"/>
  <c r="I56" i="21"/>
  <c r="I160" i="22"/>
  <c r="I137" i="22"/>
  <c r="I104" i="21"/>
  <c r="I104" i="33" s="1"/>
  <c r="I56" i="33" l="1"/>
  <c r="J52" i="21"/>
  <c r="I58" i="21"/>
  <c r="J134" i="22"/>
  <c r="I161" i="22"/>
  <c r="I107" i="21"/>
  <c r="I107" i="33" s="1"/>
  <c r="I138" i="22"/>
  <c r="J52" i="33" l="1"/>
  <c r="J56" i="21"/>
  <c r="J104" i="21"/>
  <c r="J104" i="33" s="1"/>
  <c r="J160" i="22"/>
  <c r="J137" i="22"/>
  <c r="J56" i="33" l="1"/>
  <c r="J58" i="21"/>
  <c r="K52" i="21"/>
  <c r="K134" i="22"/>
  <c r="J107" i="21"/>
  <c r="J107" i="33" s="1"/>
  <c r="J161" i="22"/>
  <c r="J138" i="22"/>
  <c r="K52" i="33" l="1"/>
  <c r="K56" i="21"/>
  <c r="K160" i="22"/>
  <c r="K104" i="21"/>
  <c r="K104" i="33" s="1"/>
  <c r="K137" i="22"/>
  <c r="K56" i="33" l="1"/>
  <c r="K58" i="21"/>
  <c r="N56" i="21"/>
  <c r="K161" i="22"/>
  <c r="K138" i="22"/>
  <c r="K107" i="21"/>
  <c r="K107" i="33" s="1"/>
  <c r="L160" i="22"/>
  <c r="L161" i="22" l="1"/>
  <c r="E20" i="21"/>
  <c r="E20" i="33" l="1"/>
  <c r="J89" i="18"/>
  <c r="J89" i="30" s="1"/>
  <c r="I89" i="18"/>
  <c r="I89" i="30" s="1"/>
  <c r="G89" i="18"/>
  <c r="G89" i="30" s="1"/>
  <c r="K90" i="18"/>
  <c r="K90" i="30" s="1"/>
  <c r="E90" i="18"/>
  <c r="K85" i="18"/>
  <c r="K85" i="30" s="1"/>
  <c r="J85" i="18"/>
  <c r="J85" i="30" s="1"/>
  <c r="I85" i="18"/>
  <c r="I85" i="30" s="1"/>
  <c r="E85" i="18"/>
  <c r="K82" i="18"/>
  <c r="K82" i="30" s="1"/>
  <c r="G82" i="18"/>
  <c r="G82" i="30" s="1"/>
  <c r="F82" i="18"/>
  <c r="F82" i="30" s="1"/>
  <c r="E82" i="18"/>
  <c r="K81" i="18"/>
  <c r="K81" i="30" s="1"/>
  <c r="I81" i="18"/>
  <c r="I81" i="30" s="1"/>
  <c r="G81" i="18"/>
  <c r="G81" i="30" s="1"/>
  <c r="K121" i="18"/>
  <c r="H120" i="18"/>
  <c r="G120" i="18"/>
  <c r="K84" i="18"/>
  <c r="K84" i="30" s="1"/>
  <c r="J27" i="18"/>
  <c r="F27" i="18"/>
  <c r="I83" i="18"/>
  <c r="I83" i="30" s="1"/>
  <c r="H83" i="18"/>
  <c r="H83" i="30" s="1"/>
  <c r="E83" i="18"/>
  <c r="I87" i="18"/>
  <c r="I87" i="30" s="1"/>
  <c r="H87" i="18"/>
  <c r="H87" i="30" s="1"/>
  <c r="E87" i="18"/>
  <c r="J56" i="18"/>
  <c r="J56" i="30" s="1"/>
  <c r="J45" i="18"/>
  <c r="J45" i="30" s="1"/>
  <c r="H45" i="18"/>
  <c r="H45" i="30" s="1"/>
  <c r="F45" i="18"/>
  <c r="F45" i="30" s="1"/>
  <c r="E45" i="18"/>
  <c r="I251" i="19"/>
  <c r="I138" i="18" s="1"/>
  <c r="I138" i="30" s="1"/>
  <c r="E251" i="19"/>
  <c r="E138" i="18" s="1"/>
  <c r="D140" i="19"/>
  <c r="D62" i="18" s="1"/>
  <c r="D62" i="30" s="1"/>
  <c r="D56" i="18"/>
  <c r="D56" i="30" s="1"/>
  <c r="D85" i="18"/>
  <c r="D37" i="18"/>
  <c r="K103" i="20"/>
  <c r="J103" i="20"/>
  <c r="I103" i="20"/>
  <c r="H103" i="20"/>
  <c r="G103" i="20"/>
  <c r="F103" i="20"/>
  <c r="E103" i="20"/>
  <c r="D103" i="20"/>
  <c r="C91" i="20"/>
  <c r="C90" i="20"/>
  <c r="C89" i="20"/>
  <c r="C87" i="20"/>
  <c r="C86" i="20"/>
  <c r="C85" i="20"/>
  <c r="C84" i="20"/>
  <c r="C83" i="20"/>
  <c r="C81" i="20"/>
  <c r="X18" i="20"/>
  <c r="W18" i="20"/>
  <c r="X16" i="20"/>
  <c r="W16" i="20"/>
  <c r="X11" i="20"/>
  <c r="W11" i="20"/>
  <c r="H2" i="20"/>
  <c r="J105" i="18"/>
  <c r="J105" i="30" s="1"/>
  <c r="H144" i="19"/>
  <c r="F105" i="18"/>
  <c r="F105" i="30" s="1"/>
  <c r="D73" i="18"/>
  <c r="D73" i="30" s="1"/>
  <c r="J102" i="18"/>
  <c r="J102" i="30" s="1"/>
  <c r="H67" i="18"/>
  <c r="H67" i="30" s="1"/>
  <c r="F67" i="18"/>
  <c r="F67" i="30" s="1"/>
  <c r="E102" i="18"/>
  <c r="D67" i="18"/>
  <c r="D67" i="30" s="1"/>
  <c r="K65" i="18"/>
  <c r="K65" i="30" s="1"/>
  <c r="AJ65" i="30" s="1"/>
  <c r="J65" i="18"/>
  <c r="J65" i="30" s="1"/>
  <c r="AI65" i="30" s="1"/>
  <c r="H65" i="18"/>
  <c r="H65" i="30" s="1"/>
  <c r="AG65" i="30" s="1"/>
  <c r="G65" i="18"/>
  <c r="G65" i="30" s="1"/>
  <c r="AF65" i="30" s="1"/>
  <c r="F65" i="18"/>
  <c r="F65" i="30" s="1"/>
  <c r="AE65" i="30" s="1"/>
  <c r="D65" i="18"/>
  <c r="D65" i="30" s="1"/>
  <c r="K64" i="18"/>
  <c r="K64" i="30" s="1"/>
  <c r="AJ64" i="30" s="1"/>
  <c r="J64" i="18"/>
  <c r="J64" i="30" s="1"/>
  <c r="AI64" i="30" s="1"/>
  <c r="I64" i="18"/>
  <c r="I64" i="30" s="1"/>
  <c r="AH64" i="30" s="1"/>
  <c r="H64" i="18"/>
  <c r="H64" i="30" s="1"/>
  <c r="AG64" i="30" s="1"/>
  <c r="G64" i="18"/>
  <c r="G64" i="30" s="1"/>
  <c r="AF64" i="30" s="1"/>
  <c r="F64" i="18"/>
  <c r="F64" i="30" s="1"/>
  <c r="AE64" i="30" s="1"/>
  <c r="E64" i="18"/>
  <c r="D64" i="18"/>
  <c r="D64" i="30" s="1"/>
  <c r="K63" i="18"/>
  <c r="K63" i="30" s="1"/>
  <c r="AJ63" i="30" s="1"/>
  <c r="J63" i="18"/>
  <c r="J63" i="30" s="1"/>
  <c r="AI63" i="30" s="1"/>
  <c r="I63" i="18"/>
  <c r="I63" i="30" s="1"/>
  <c r="AH63" i="30" s="1"/>
  <c r="H63" i="18"/>
  <c r="H63" i="30" s="1"/>
  <c r="AG63" i="30" s="1"/>
  <c r="G63" i="18"/>
  <c r="G63" i="30" s="1"/>
  <c r="AF63" i="30" s="1"/>
  <c r="F63" i="18"/>
  <c r="F63" i="30" s="1"/>
  <c r="AE63" i="30" s="1"/>
  <c r="E63" i="18"/>
  <c r="D63" i="18"/>
  <c r="D63" i="30" s="1"/>
  <c r="I61" i="18"/>
  <c r="I61" i="30" s="1"/>
  <c r="AH61" i="30" s="1"/>
  <c r="H61" i="18"/>
  <c r="H61" i="30" s="1"/>
  <c r="AG61" i="30" s="1"/>
  <c r="F61" i="18"/>
  <c r="F61" i="30" s="1"/>
  <c r="AE61" i="30" s="1"/>
  <c r="E61" i="18"/>
  <c r="D61" i="18"/>
  <c r="D61" i="30" s="1"/>
  <c r="K60" i="18"/>
  <c r="K60" i="30" s="1"/>
  <c r="AJ60" i="30" s="1"/>
  <c r="J60" i="18"/>
  <c r="J60" i="30" s="1"/>
  <c r="AI60" i="30" s="1"/>
  <c r="I60" i="18"/>
  <c r="I60" i="30" s="1"/>
  <c r="AH60" i="30" s="1"/>
  <c r="H60" i="18"/>
  <c r="H60" i="30" s="1"/>
  <c r="AG60" i="30" s="1"/>
  <c r="G60" i="18"/>
  <c r="G60" i="30" s="1"/>
  <c r="AF60" i="30" s="1"/>
  <c r="F60" i="18"/>
  <c r="F60" i="30" s="1"/>
  <c r="AE60" i="30" s="1"/>
  <c r="E60" i="18"/>
  <c r="D60" i="18"/>
  <c r="D60" i="30" s="1"/>
  <c r="J55" i="18"/>
  <c r="J55" i="30" s="1"/>
  <c r="I55" i="18"/>
  <c r="I55" i="30" s="1"/>
  <c r="H55" i="18"/>
  <c r="H55" i="30" s="1"/>
  <c r="F55" i="18"/>
  <c r="F55" i="30" s="1"/>
  <c r="E55" i="18"/>
  <c r="D55" i="18"/>
  <c r="D55" i="30" s="1"/>
  <c r="K54" i="18"/>
  <c r="K54" i="30" s="1"/>
  <c r="J54" i="18"/>
  <c r="J54" i="30" s="1"/>
  <c r="I54" i="18"/>
  <c r="I54" i="30" s="1"/>
  <c r="F54" i="18"/>
  <c r="F54" i="30" s="1"/>
  <c r="E165" i="19"/>
  <c r="E44" i="18" s="1"/>
  <c r="K53" i="18"/>
  <c r="K53" i="30" s="1"/>
  <c r="I53" i="18"/>
  <c r="I53" i="30" s="1"/>
  <c r="H131" i="19"/>
  <c r="G131" i="19"/>
  <c r="G43" i="18" s="1"/>
  <c r="G43" i="30" s="1"/>
  <c r="E131" i="19"/>
  <c r="D53" i="18"/>
  <c r="D53" i="30" s="1"/>
  <c r="K130" i="19"/>
  <c r="I130" i="19"/>
  <c r="G130" i="19"/>
  <c r="J52" i="18"/>
  <c r="J52" i="30" s="1"/>
  <c r="I52" i="18"/>
  <c r="I52" i="30" s="1"/>
  <c r="H52" i="18"/>
  <c r="H52" i="30" s="1"/>
  <c r="F52" i="18"/>
  <c r="F52" i="30" s="1"/>
  <c r="E52" i="18"/>
  <c r="D52" i="18"/>
  <c r="D52" i="30" s="1"/>
  <c r="D51" i="18"/>
  <c r="D51" i="30" s="1"/>
  <c r="J36" i="18"/>
  <c r="J36" i="30" s="1"/>
  <c r="I36" i="18"/>
  <c r="I36" i="30" s="1"/>
  <c r="H36" i="18"/>
  <c r="H36" i="30" s="1"/>
  <c r="E36" i="18"/>
  <c r="D36" i="18"/>
  <c r="K37" i="18"/>
  <c r="K37" i="30" s="1"/>
  <c r="J37" i="18"/>
  <c r="J37" i="30" s="1"/>
  <c r="I37" i="18"/>
  <c r="I37" i="30" s="1"/>
  <c r="G37" i="18"/>
  <c r="G37" i="30" s="1"/>
  <c r="F37" i="18"/>
  <c r="F37" i="30" s="1"/>
  <c r="E37" i="18"/>
  <c r="K141" i="18"/>
  <c r="K141" i="30" s="1"/>
  <c r="J141" i="18"/>
  <c r="J141" i="30" s="1"/>
  <c r="I141" i="18"/>
  <c r="I141" i="30" s="1"/>
  <c r="H141" i="18"/>
  <c r="H141" i="30" s="1"/>
  <c r="G141" i="18"/>
  <c r="G141" i="30" s="1"/>
  <c r="F141" i="18"/>
  <c r="F141" i="30" s="1"/>
  <c r="E141" i="18"/>
  <c r="D141" i="18"/>
  <c r="D141" i="30" s="1"/>
  <c r="K140" i="18"/>
  <c r="K140" i="30" s="1"/>
  <c r="J140" i="18"/>
  <c r="J140" i="30" s="1"/>
  <c r="I140" i="18"/>
  <c r="I140" i="30" s="1"/>
  <c r="H140" i="18"/>
  <c r="H140" i="30" s="1"/>
  <c r="G140" i="18"/>
  <c r="G140" i="30" s="1"/>
  <c r="F140" i="18"/>
  <c r="F140" i="30" s="1"/>
  <c r="E140" i="18"/>
  <c r="D140" i="18"/>
  <c r="D140" i="30" s="1"/>
  <c r="K139" i="18"/>
  <c r="K139" i="30" s="1"/>
  <c r="J139" i="18"/>
  <c r="J139" i="30" s="1"/>
  <c r="I139" i="18"/>
  <c r="I139" i="30" s="1"/>
  <c r="H139" i="18"/>
  <c r="H139" i="30" s="1"/>
  <c r="G139" i="18"/>
  <c r="G139" i="30" s="1"/>
  <c r="F139" i="18"/>
  <c r="F139" i="30" s="1"/>
  <c r="E139" i="18"/>
  <c r="D139" i="18"/>
  <c r="D139" i="30" s="1"/>
  <c r="K137" i="18"/>
  <c r="K137" i="30" s="1"/>
  <c r="J137" i="18"/>
  <c r="J137" i="30" s="1"/>
  <c r="I137" i="18"/>
  <c r="I137" i="30" s="1"/>
  <c r="H137" i="18"/>
  <c r="H137" i="30" s="1"/>
  <c r="G137" i="18"/>
  <c r="G137" i="30" s="1"/>
  <c r="F137" i="18"/>
  <c r="F137" i="30" s="1"/>
  <c r="E137" i="18"/>
  <c r="D137" i="18"/>
  <c r="D137" i="30" s="1"/>
  <c r="K136" i="18"/>
  <c r="K136" i="30" s="1"/>
  <c r="J136" i="18"/>
  <c r="J136" i="30" s="1"/>
  <c r="I136" i="18"/>
  <c r="I136" i="30" s="1"/>
  <c r="H136" i="18"/>
  <c r="H136" i="30" s="1"/>
  <c r="G136" i="18"/>
  <c r="G136" i="30" s="1"/>
  <c r="F136" i="18"/>
  <c r="F136" i="30" s="1"/>
  <c r="E136" i="18"/>
  <c r="D136" i="18"/>
  <c r="D136" i="30" s="1"/>
  <c r="K155" i="19"/>
  <c r="K115" i="18" s="1"/>
  <c r="K115" i="30" s="1"/>
  <c r="J155" i="19"/>
  <c r="J115" i="18" s="1"/>
  <c r="J115" i="30" s="1"/>
  <c r="I155" i="19"/>
  <c r="I115" i="18" s="1"/>
  <c r="I115" i="30" s="1"/>
  <c r="H155" i="19"/>
  <c r="H115" i="18" s="1"/>
  <c r="H115" i="30" s="1"/>
  <c r="G155" i="19"/>
  <c r="G115" i="18" s="1"/>
  <c r="G115" i="30" s="1"/>
  <c r="F155" i="19"/>
  <c r="F115" i="18" s="1"/>
  <c r="F115" i="30" s="1"/>
  <c r="E155" i="19"/>
  <c r="E115" i="18" s="1"/>
  <c r="K154" i="19"/>
  <c r="K114" i="18" s="1"/>
  <c r="K114" i="30" s="1"/>
  <c r="J154" i="19"/>
  <c r="J114" i="18" s="1"/>
  <c r="J114" i="30" s="1"/>
  <c r="I154" i="19"/>
  <c r="I114" i="18" s="1"/>
  <c r="I114" i="30" s="1"/>
  <c r="H154" i="19"/>
  <c r="H114" i="18" s="1"/>
  <c r="H114" i="30" s="1"/>
  <c r="F154" i="19"/>
  <c r="F114" i="18" s="1"/>
  <c r="F114" i="30" s="1"/>
  <c r="E154" i="19"/>
  <c r="E114" i="18" s="1"/>
  <c r="D154" i="19"/>
  <c r="D114" i="18" s="1"/>
  <c r="D114" i="30" s="1"/>
  <c r="K153" i="19"/>
  <c r="J153" i="19"/>
  <c r="J113" i="18" s="1"/>
  <c r="J113" i="30" s="1"/>
  <c r="I153" i="19"/>
  <c r="I113" i="18" s="1"/>
  <c r="I113" i="30" s="1"/>
  <c r="H153" i="19"/>
  <c r="H113" i="18" s="1"/>
  <c r="H113" i="30" s="1"/>
  <c r="G153" i="19"/>
  <c r="G113" i="18" s="1"/>
  <c r="G113" i="30" s="1"/>
  <c r="F153" i="19"/>
  <c r="F113" i="18" s="1"/>
  <c r="F113" i="30" s="1"/>
  <c r="E153" i="19"/>
  <c r="E113" i="18" s="1"/>
  <c r="K152" i="19"/>
  <c r="K112" i="18" s="1"/>
  <c r="K112" i="30" s="1"/>
  <c r="J152" i="19"/>
  <c r="J112" i="18" s="1"/>
  <c r="J112" i="30" s="1"/>
  <c r="I152" i="19"/>
  <c r="I112" i="18" s="1"/>
  <c r="I112" i="30" s="1"/>
  <c r="H152" i="19"/>
  <c r="H112" i="18" s="1"/>
  <c r="H112" i="30" s="1"/>
  <c r="G152" i="19"/>
  <c r="G112" i="18" s="1"/>
  <c r="G112" i="30" s="1"/>
  <c r="F152" i="19"/>
  <c r="F112" i="18" s="1"/>
  <c r="F112" i="30" s="1"/>
  <c r="E152" i="19"/>
  <c r="E112" i="18" s="1"/>
  <c r="D152" i="19"/>
  <c r="D112" i="18" s="1"/>
  <c r="D112" i="30" s="1"/>
  <c r="K176" i="19"/>
  <c r="J176" i="19"/>
  <c r="I176" i="19"/>
  <c r="H176" i="19"/>
  <c r="G176" i="19"/>
  <c r="F176" i="19"/>
  <c r="E176" i="19"/>
  <c r="D176" i="19"/>
  <c r="K175" i="19"/>
  <c r="K130" i="18" s="1"/>
  <c r="K130" i="30" s="1"/>
  <c r="J175" i="19"/>
  <c r="J130" i="18" s="1"/>
  <c r="J130" i="30" s="1"/>
  <c r="I175" i="19"/>
  <c r="I130" i="18" s="1"/>
  <c r="I130" i="30" s="1"/>
  <c r="H175" i="19"/>
  <c r="H130" i="18" s="1"/>
  <c r="H130" i="30" s="1"/>
  <c r="G175" i="19"/>
  <c r="G130" i="18" s="1"/>
  <c r="G130" i="30" s="1"/>
  <c r="F175" i="19"/>
  <c r="F130" i="18" s="1"/>
  <c r="F130" i="30" s="1"/>
  <c r="E175" i="19"/>
  <c r="E130" i="18" s="1"/>
  <c r="D175" i="19"/>
  <c r="D130" i="18" s="1"/>
  <c r="D130" i="30" s="1"/>
  <c r="K174" i="19"/>
  <c r="K131" i="18" s="1"/>
  <c r="K131" i="30" s="1"/>
  <c r="J174" i="19"/>
  <c r="J131" i="18" s="1"/>
  <c r="J131" i="30" s="1"/>
  <c r="I174" i="19"/>
  <c r="I131" i="18" s="1"/>
  <c r="I131" i="30" s="1"/>
  <c r="H174" i="19"/>
  <c r="H131" i="18" s="1"/>
  <c r="H131" i="30" s="1"/>
  <c r="G174" i="19"/>
  <c r="G131" i="18" s="1"/>
  <c r="G131" i="30" s="1"/>
  <c r="F174" i="19"/>
  <c r="F131" i="18" s="1"/>
  <c r="F131" i="30" s="1"/>
  <c r="E174" i="19"/>
  <c r="E131" i="18" s="1"/>
  <c r="D174" i="19"/>
  <c r="D131" i="18" s="1"/>
  <c r="D131" i="30" s="1"/>
  <c r="J251" i="19"/>
  <c r="J138" i="18" s="1"/>
  <c r="J138" i="30" s="1"/>
  <c r="D155" i="19"/>
  <c r="D115" i="18" s="1"/>
  <c r="D115" i="30" s="1"/>
  <c r="G154" i="19"/>
  <c r="G114" i="18" s="1"/>
  <c r="G114" i="30" s="1"/>
  <c r="D153" i="19"/>
  <c r="D113" i="18" s="1"/>
  <c r="D113" i="30" s="1"/>
  <c r="B133" i="19"/>
  <c r="E132" i="19"/>
  <c r="B132" i="19"/>
  <c r="D131" i="19"/>
  <c r="B131" i="19"/>
  <c r="I132" i="19"/>
  <c r="H132" i="19"/>
  <c r="I131" i="19"/>
  <c r="I124" i="19" s="1"/>
  <c r="H37" i="18"/>
  <c r="H37" i="30" s="1"/>
  <c r="H9" i="19"/>
  <c r="G121" i="18"/>
  <c r="K108" i="18"/>
  <c r="K108" i="30" s="1"/>
  <c r="J108" i="18"/>
  <c r="J108" i="30" s="1"/>
  <c r="I108" i="18"/>
  <c r="I108" i="30" s="1"/>
  <c r="H108" i="18"/>
  <c r="H108" i="30" s="1"/>
  <c r="G108" i="18"/>
  <c r="G108" i="30" s="1"/>
  <c r="F108" i="18"/>
  <c r="F108" i="30" s="1"/>
  <c r="E108" i="18"/>
  <c r="D108" i="18"/>
  <c r="D108" i="30" s="1"/>
  <c r="K102" i="18"/>
  <c r="K102" i="30" s="1"/>
  <c r="H102" i="18"/>
  <c r="H102" i="30" s="1"/>
  <c r="D102" i="18"/>
  <c r="D102" i="30" s="1"/>
  <c r="C91" i="18"/>
  <c r="G90" i="18"/>
  <c r="G90" i="30" s="1"/>
  <c r="C90" i="18"/>
  <c r="E89" i="18"/>
  <c r="C89" i="18"/>
  <c r="K87" i="18"/>
  <c r="K87" i="30" s="1"/>
  <c r="G87" i="18"/>
  <c r="G87" i="30" s="1"/>
  <c r="D87" i="18"/>
  <c r="C87" i="18"/>
  <c r="C86" i="18"/>
  <c r="G85" i="18"/>
  <c r="G85" i="30" s="1"/>
  <c r="C85" i="18"/>
  <c r="H84" i="18"/>
  <c r="H84" i="30" s="1"/>
  <c r="F84" i="18"/>
  <c r="F84" i="30" s="1"/>
  <c r="D84" i="18"/>
  <c r="C84" i="18"/>
  <c r="K83" i="18"/>
  <c r="K83" i="30" s="1"/>
  <c r="G83" i="18"/>
  <c r="G83" i="30" s="1"/>
  <c r="D83" i="18"/>
  <c r="C83" i="18"/>
  <c r="J82" i="18"/>
  <c r="J82" i="30" s="1"/>
  <c r="I82" i="18"/>
  <c r="I82" i="30" s="1"/>
  <c r="E81" i="18"/>
  <c r="C81" i="18"/>
  <c r="J73" i="18"/>
  <c r="J73" i="30" s="1"/>
  <c r="AI73" i="30" s="1"/>
  <c r="F73" i="18"/>
  <c r="F73" i="30" s="1"/>
  <c r="AE73" i="30" s="1"/>
  <c r="I65" i="18"/>
  <c r="I65" i="30" s="1"/>
  <c r="AH65" i="30" s="1"/>
  <c r="E65" i="18"/>
  <c r="K61" i="18"/>
  <c r="K61" i="30" s="1"/>
  <c r="AJ61" i="30" s="1"/>
  <c r="J61" i="18"/>
  <c r="J61" i="30" s="1"/>
  <c r="AI61" i="30" s="1"/>
  <c r="G61" i="18"/>
  <c r="G61" i="30" s="1"/>
  <c r="AF61" i="30" s="1"/>
  <c r="F56" i="18"/>
  <c r="F56" i="30" s="1"/>
  <c r="K55" i="18"/>
  <c r="K55" i="30" s="1"/>
  <c r="G55" i="18"/>
  <c r="G55" i="30" s="1"/>
  <c r="H54" i="18"/>
  <c r="H54" i="30" s="1"/>
  <c r="G54" i="18"/>
  <c r="G54" i="30" s="1"/>
  <c r="D54" i="18"/>
  <c r="D54" i="30" s="1"/>
  <c r="K52" i="18"/>
  <c r="K52" i="30" s="1"/>
  <c r="G52" i="18"/>
  <c r="G52" i="30" s="1"/>
  <c r="K45" i="18"/>
  <c r="K45" i="30" s="1"/>
  <c r="G45" i="18"/>
  <c r="G45" i="30" s="1"/>
  <c r="D45" i="18"/>
  <c r="D45" i="30" s="1"/>
  <c r="K36" i="18"/>
  <c r="K36" i="30" s="1"/>
  <c r="G36" i="18"/>
  <c r="G36" i="30" s="1"/>
  <c r="F36" i="18"/>
  <c r="F36" i="30" s="1"/>
  <c r="H2" i="18"/>
  <c r="D85" i="30" l="1"/>
  <c r="D87" i="30"/>
  <c r="D83" i="30"/>
  <c r="D84" i="30"/>
  <c r="G120" i="30"/>
  <c r="G126" i="18"/>
  <c r="G126" i="30" s="1"/>
  <c r="G121" i="30"/>
  <c r="G127" i="18"/>
  <c r="G127" i="30" s="1"/>
  <c r="H120" i="30"/>
  <c r="H126" i="18"/>
  <c r="H126" i="30" s="1"/>
  <c r="K121" i="30"/>
  <c r="K127" i="18"/>
  <c r="K127" i="30" s="1"/>
  <c r="F27" i="30"/>
  <c r="F33" i="18"/>
  <c r="F33" i="30" s="1"/>
  <c r="J27" i="30"/>
  <c r="J33" i="18"/>
  <c r="J33" i="30" s="1"/>
  <c r="D36" i="30"/>
  <c r="D37" i="30"/>
  <c r="E136" i="30"/>
  <c r="E108" i="30"/>
  <c r="AC62" i="30"/>
  <c r="AC60" i="30"/>
  <c r="AC61" i="30"/>
  <c r="AC73" i="30"/>
  <c r="AC63" i="30"/>
  <c r="AC65" i="30"/>
  <c r="E130" i="30"/>
  <c r="E113" i="30"/>
  <c r="E115" i="30"/>
  <c r="E137" i="30"/>
  <c r="E140" i="30"/>
  <c r="E141" i="30"/>
  <c r="E37" i="30"/>
  <c r="E44" i="30"/>
  <c r="E60" i="30"/>
  <c r="E63" i="30"/>
  <c r="AC64" i="30"/>
  <c r="E102" i="30"/>
  <c r="D72" i="18"/>
  <c r="D72" i="30" s="1"/>
  <c r="H72" i="18"/>
  <c r="H72" i="30" s="1"/>
  <c r="AG72" i="30" s="1"/>
  <c r="E45" i="30"/>
  <c r="E83" i="30"/>
  <c r="E36" i="30"/>
  <c r="E52" i="30"/>
  <c r="E55" i="30"/>
  <c r="E61" i="30"/>
  <c r="E64" i="30"/>
  <c r="E72" i="18"/>
  <c r="E97" i="26" s="1"/>
  <c r="J98" i="26" s="1"/>
  <c r="I72" i="18"/>
  <c r="I72" i="30" s="1"/>
  <c r="AH72" i="30" s="1"/>
  <c r="E138" i="30"/>
  <c r="E87" i="30"/>
  <c r="E90" i="30"/>
  <c r="E65" i="30"/>
  <c r="E89" i="30"/>
  <c r="E131" i="30"/>
  <c r="E112" i="30"/>
  <c r="E114" i="30"/>
  <c r="E139" i="30"/>
  <c r="E66" i="18"/>
  <c r="I66" i="18"/>
  <c r="I66" i="30" s="1"/>
  <c r="AH66" i="30" s="1"/>
  <c r="F72" i="18"/>
  <c r="F72" i="30" s="1"/>
  <c r="AE72" i="30" s="1"/>
  <c r="J72" i="18"/>
  <c r="J72" i="30" s="1"/>
  <c r="AI72" i="30" s="1"/>
  <c r="E85" i="30"/>
  <c r="E81" i="30"/>
  <c r="G72" i="18"/>
  <c r="G72" i="30" s="1"/>
  <c r="AF72" i="30" s="1"/>
  <c r="K72" i="18"/>
  <c r="K72" i="30" s="1"/>
  <c r="AJ72" i="30" s="1"/>
  <c r="E82" i="30"/>
  <c r="D105" i="18"/>
  <c r="G53" i="18"/>
  <c r="G53" i="30" s="1"/>
  <c r="F140" i="19"/>
  <c r="F62" i="18" s="1"/>
  <c r="F62" i="30" s="1"/>
  <c r="AE62" i="30" s="1"/>
  <c r="E26" i="18"/>
  <c r="E32" i="18" s="1"/>
  <c r="J140" i="19"/>
  <c r="J62" i="18" s="1"/>
  <c r="J62" i="30" s="1"/>
  <c r="AI62" i="30" s="1"/>
  <c r="J132" i="19"/>
  <c r="J97" i="18" s="1"/>
  <c r="J97" i="30" s="1"/>
  <c r="D120" i="18"/>
  <c r="D251" i="19"/>
  <c r="D138" i="18" s="1"/>
  <c r="D138" i="30" s="1"/>
  <c r="G251" i="19"/>
  <c r="G138" i="18" s="1"/>
  <c r="G138" i="30" s="1"/>
  <c r="H251" i="19"/>
  <c r="H138" i="18" s="1"/>
  <c r="H138" i="30" s="1"/>
  <c r="E140" i="19"/>
  <c r="E62" i="18" s="1"/>
  <c r="I140" i="19"/>
  <c r="I62" i="18" s="1"/>
  <c r="I62" i="30" s="1"/>
  <c r="AH62" i="30" s="1"/>
  <c r="G27" i="18"/>
  <c r="J84" i="18"/>
  <c r="J84" i="30" s="1"/>
  <c r="I120" i="18"/>
  <c r="H27" i="18"/>
  <c r="E56" i="18"/>
  <c r="K27" i="18"/>
  <c r="D142" i="18"/>
  <c r="D142" i="30" s="1"/>
  <c r="H142" i="18"/>
  <c r="H142" i="30" s="1"/>
  <c r="I121" i="18"/>
  <c r="G102" i="18"/>
  <c r="G102" i="30" s="1"/>
  <c r="E54" i="18"/>
  <c r="E67" i="18"/>
  <c r="H85" i="18"/>
  <c r="H85" i="30" s="1"/>
  <c r="I90" i="18"/>
  <c r="I90" i="30" s="1"/>
  <c r="I9" i="19"/>
  <c r="E142" i="18"/>
  <c r="I142" i="18"/>
  <c r="I142" i="30" s="1"/>
  <c r="J26" i="18"/>
  <c r="F89" i="18"/>
  <c r="F89" i="30" s="1"/>
  <c r="E121" i="18"/>
  <c r="E153" i="26" s="1"/>
  <c r="D144" i="19"/>
  <c r="D146" i="19" s="1"/>
  <c r="D27" i="18"/>
  <c r="J51" i="18"/>
  <c r="J51" i="30" s="1"/>
  <c r="J67" i="18"/>
  <c r="J67" i="30" s="1"/>
  <c r="J81" i="18"/>
  <c r="J81" i="30" s="1"/>
  <c r="F102" i="18"/>
  <c r="F102" i="30" s="1"/>
  <c r="E9" i="19"/>
  <c r="K131" i="19"/>
  <c r="K43" i="18" s="1"/>
  <c r="K43" i="30" s="1"/>
  <c r="G142" i="18"/>
  <c r="G142" i="30" s="1"/>
  <c r="K142" i="18"/>
  <c r="K142" i="30" s="1"/>
  <c r="G95" i="18"/>
  <c r="G95" i="30" s="1"/>
  <c r="G66" i="18"/>
  <c r="G66" i="30" s="1"/>
  <c r="AF66" i="30" s="1"/>
  <c r="K66" i="18"/>
  <c r="K66" i="30" s="1"/>
  <c r="AJ66" i="30" s="1"/>
  <c r="F66" i="18"/>
  <c r="F66" i="30" s="1"/>
  <c r="AE66" i="30" s="1"/>
  <c r="J66" i="18"/>
  <c r="J66" i="30" s="1"/>
  <c r="AI66" i="30" s="1"/>
  <c r="F26" i="18"/>
  <c r="F32" i="18" s="1"/>
  <c r="I57" i="18"/>
  <c r="H73" i="18"/>
  <c r="H73" i="30" s="1"/>
  <c r="AG73" i="30" s="1"/>
  <c r="G84" i="18"/>
  <c r="G84" i="30" s="1"/>
  <c r="H105" i="18"/>
  <c r="H105" i="30" s="1"/>
  <c r="D124" i="19"/>
  <c r="H124" i="19"/>
  <c r="G132" i="19"/>
  <c r="G97" i="18" s="1"/>
  <c r="G97" i="30" s="1"/>
  <c r="D66" i="18"/>
  <c r="D66" i="30" s="1"/>
  <c r="H66" i="18"/>
  <c r="H66" i="30" s="1"/>
  <c r="AG66" i="30" s="1"/>
  <c r="I56" i="18"/>
  <c r="I56" i="30" s="1"/>
  <c r="J9" i="19"/>
  <c r="K120" i="18"/>
  <c r="F81" i="18"/>
  <c r="F81" i="30" s="1"/>
  <c r="F142" i="18"/>
  <c r="F142" i="30" s="1"/>
  <c r="J142" i="18"/>
  <c r="J142" i="30" s="1"/>
  <c r="D132" i="19"/>
  <c r="D97" i="18" s="1"/>
  <c r="D97" i="30" s="1"/>
  <c r="I26" i="18"/>
  <c r="H38" i="18"/>
  <c r="E38" i="18"/>
  <c r="I38" i="18"/>
  <c r="K57" i="18"/>
  <c r="E57" i="18"/>
  <c r="F51" i="18"/>
  <c r="F51" i="30" s="1"/>
  <c r="F53" i="18"/>
  <c r="F53" i="30" s="1"/>
  <c r="F131" i="19"/>
  <c r="F43" i="18" s="1"/>
  <c r="F43" i="30" s="1"/>
  <c r="J131" i="19"/>
  <c r="J53" i="18"/>
  <c r="J53" i="30" s="1"/>
  <c r="D57" i="18"/>
  <c r="E51" i="18"/>
  <c r="H57" i="18"/>
  <c r="I67" i="18"/>
  <c r="I67" i="30" s="1"/>
  <c r="I102" i="18"/>
  <c r="I102" i="30" s="1"/>
  <c r="G144" i="19"/>
  <c r="G149" i="19" s="1"/>
  <c r="G68" i="18" s="1"/>
  <c r="G68" i="30" s="1"/>
  <c r="AF68" i="30" s="1"/>
  <c r="G73" i="18"/>
  <c r="G73" i="30" s="1"/>
  <c r="AF73" i="30" s="1"/>
  <c r="G105" i="18"/>
  <c r="G105" i="30" s="1"/>
  <c r="K144" i="19"/>
  <c r="K149" i="19" s="1"/>
  <c r="K68" i="18" s="1"/>
  <c r="K68" i="30" s="1"/>
  <c r="AJ68" i="30" s="1"/>
  <c r="K105" i="18"/>
  <c r="K105" i="30" s="1"/>
  <c r="K73" i="18"/>
  <c r="K73" i="30" s="1"/>
  <c r="AJ73" i="30" s="1"/>
  <c r="G57" i="18"/>
  <c r="G122" i="18"/>
  <c r="G122" i="30" s="1"/>
  <c r="G132" i="18"/>
  <c r="G132" i="30" s="1"/>
  <c r="F144" i="19"/>
  <c r="E132" i="18"/>
  <c r="F132" i="18"/>
  <c r="F132" i="30" s="1"/>
  <c r="H132" i="18"/>
  <c r="H132" i="30" s="1"/>
  <c r="K51" i="18"/>
  <c r="K51" i="30" s="1"/>
  <c r="L65" i="18"/>
  <c r="L65" i="30" s="1"/>
  <c r="E73" i="18"/>
  <c r="E144" i="19"/>
  <c r="I73" i="18"/>
  <c r="I73" i="30" s="1"/>
  <c r="AH73" i="30" s="1"/>
  <c r="I144" i="19"/>
  <c r="J144" i="19"/>
  <c r="J38" i="18"/>
  <c r="F106" i="18"/>
  <c r="F106" i="30" s="1"/>
  <c r="J106" i="18"/>
  <c r="J106" i="30" s="1"/>
  <c r="F251" i="19"/>
  <c r="F138" i="18" s="1"/>
  <c r="F138" i="30" s="1"/>
  <c r="K251" i="19"/>
  <c r="K138" i="18" s="1"/>
  <c r="K138" i="30" s="1"/>
  <c r="I165" i="19"/>
  <c r="I44" i="18" s="1"/>
  <c r="I44" i="30" s="1"/>
  <c r="H56" i="18"/>
  <c r="H56" i="30" s="1"/>
  <c r="G140" i="19"/>
  <c r="G62" i="18" s="1"/>
  <c r="G62" i="30" s="1"/>
  <c r="AF62" i="30" s="1"/>
  <c r="K140" i="19"/>
  <c r="K62" i="18" s="1"/>
  <c r="K62" i="30" s="1"/>
  <c r="AJ62" i="30" s="1"/>
  <c r="G9" i="19"/>
  <c r="H140" i="19"/>
  <c r="H62" i="18" s="1"/>
  <c r="H62" i="30" s="1"/>
  <c r="AG62" i="30" s="1"/>
  <c r="G91" i="18"/>
  <c r="G91" i="30" s="1"/>
  <c r="E91" i="18"/>
  <c r="K89" i="18"/>
  <c r="K89" i="30" s="1"/>
  <c r="K9" i="19"/>
  <c r="K26" i="18"/>
  <c r="K23" i="19"/>
  <c r="E27" i="18"/>
  <c r="I27" i="18"/>
  <c r="F85" i="18"/>
  <c r="F85" i="30" s="1"/>
  <c r="E120" i="18"/>
  <c r="E152" i="26" s="1"/>
  <c r="G23" i="19"/>
  <c r="G26" i="18"/>
  <c r="I23" i="19"/>
  <c r="K86" i="18"/>
  <c r="K86" i="30" s="1"/>
  <c r="E84" i="18"/>
  <c r="I84" i="18"/>
  <c r="I84" i="30" s="1"/>
  <c r="E23" i="19"/>
  <c r="K132" i="19"/>
  <c r="K97" i="18" s="1"/>
  <c r="K97" i="30" s="1"/>
  <c r="H165" i="19"/>
  <c r="H44" i="18" s="1"/>
  <c r="H44" i="30" s="1"/>
  <c r="I45" i="18"/>
  <c r="I45" i="30" s="1"/>
  <c r="D38" i="18"/>
  <c r="G51" i="18"/>
  <c r="G51" i="30" s="1"/>
  <c r="F57" i="18"/>
  <c r="E124" i="19"/>
  <c r="E43" i="18"/>
  <c r="K38" i="18"/>
  <c r="H53" i="18"/>
  <c r="H53" i="30" s="1"/>
  <c r="H51" i="18"/>
  <c r="H51" i="30" s="1"/>
  <c r="E53" i="18"/>
  <c r="G67" i="18"/>
  <c r="G67" i="30" s="1"/>
  <c r="K67" i="18"/>
  <c r="K67" i="30" s="1"/>
  <c r="E105" i="18"/>
  <c r="I105" i="18"/>
  <c r="I105" i="30" s="1"/>
  <c r="E130" i="19"/>
  <c r="E158" i="19" s="1"/>
  <c r="D96" i="18"/>
  <c r="D96" i="30" s="1"/>
  <c r="H97" i="18"/>
  <c r="H97" i="30" s="1"/>
  <c r="G38" i="18"/>
  <c r="D43" i="18"/>
  <c r="D43" i="30" s="1"/>
  <c r="I43" i="18"/>
  <c r="I43" i="30" s="1"/>
  <c r="I51" i="18"/>
  <c r="I51" i="30" s="1"/>
  <c r="F130" i="19"/>
  <c r="J130" i="19"/>
  <c r="K113" i="18"/>
  <c r="K113" i="30" s="1"/>
  <c r="J132" i="18"/>
  <c r="J132" i="30" s="1"/>
  <c r="I132" i="18"/>
  <c r="I132" i="30" s="1"/>
  <c r="L131" i="18"/>
  <c r="L131" i="30" s="1"/>
  <c r="K132" i="18"/>
  <c r="K132" i="30" s="1"/>
  <c r="I97" i="18"/>
  <c r="I97" i="30" s="1"/>
  <c r="E97" i="18"/>
  <c r="G96" i="18"/>
  <c r="G96" i="30" s="1"/>
  <c r="I96" i="18"/>
  <c r="I96" i="30" s="1"/>
  <c r="H26" i="18"/>
  <c r="H81" i="18"/>
  <c r="H81" i="30" s="1"/>
  <c r="J57" i="18"/>
  <c r="L61" i="18"/>
  <c r="L61" i="30" s="1"/>
  <c r="L13" i="19"/>
  <c r="D82" i="18"/>
  <c r="H82" i="18"/>
  <c r="H82" i="30" s="1"/>
  <c r="L16" i="19"/>
  <c r="L37" i="18"/>
  <c r="L37" i="30" s="1"/>
  <c r="K158" i="19"/>
  <c r="K95" i="18"/>
  <c r="K95" i="30" s="1"/>
  <c r="D23" i="19"/>
  <c r="D26" i="18"/>
  <c r="D81" i="18"/>
  <c r="L15" i="19"/>
  <c r="F38" i="18"/>
  <c r="L36" i="18"/>
  <c r="L36" i="30" s="1"/>
  <c r="L60" i="18"/>
  <c r="L60" i="30" s="1"/>
  <c r="L63" i="18"/>
  <c r="L63" i="30" s="1"/>
  <c r="L64" i="18"/>
  <c r="L64" i="30" s="1"/>
  <c r="F9" i="19"/>
  <c r="F121" i="18"/>
  <c r="F90" i="18"/>
  <c r="F90" i="30" s="1"/>
  <c r="J90" i="18"/>
  <c r="J90" i="30" s="1"/>
  <c r="J121" i="18"/>
  <c r="H23" i="19"/>
  <c r="F87" i="18"/>
  <c r="F87" i="30" s="1"/>
  <c r="J87" i="18"/>
  <c r="J87" i="30" s="1"/>
  <c r="J23" i="19"/>
  <c r="G158" i="19"/>
  <c r="H43" i="18"/>
  <c r="H43" i="30" s="1"/>
  <c r="G56" i="18"/>
  <c r="G56" i="30" s="1"/>
  <c r="K56" i="18"/>
  <c r="K56" i="30" s="1"/>
  <c r="F120" i="18"/>
  <c r="J120" i="18"/>
  <c r="D132" i="18"/>
  <c r="D132" i="30" s="1"/>
  <c r="L130" i="18"/>
  <c r="L130" i="30" s="1"/>
  <c r="D121" i="18"/>
  <c r="D90" i="18"/>
  <c r="H121" i="18"/>
  <c r="H90" i="18"/>
  <c r="H90" i="30" s="1"/>
  <c r="L7" i="19"/>
  <c r="D89" i="18"/>
  <c r="H89" i="18"/>
  <c r="H89" i="30" s="1"/>
  <c r="L8" i="19"/>
  <c r="D9" i="19"/>
  <c r="I158" i="19"/>
  <c r="I133" i="19"/>
  <c r="I95" i="18"/>
  <c r="I95" i="30" s="1"/>
  <c r="H149" i="19"/>
  <c r="H68" i="18" s="1"/>
  <c r="H68" i="30" s="1"/>
  <c r="AG68" i="30" s="1"/>
  <c r="J165" i="19"/>
  <c r="J44" i="18" s="1"/>
  <c r="J44" i="30" s="1"/>
  <c r="F83" i="18"/>
  <c r="F83" i="30" s="1"/>
  <c r="J83" i="18"/>
  <c r="J83" i="30" s="1"/>
  <c r="H96" i="18"/>
  <c r="H96" i="30" s="1"/>
  <c r="L20" i="19"/>
  <c r="L21" i="19"/>
  <c r="G124" i="19"/>
  <c r="F132" i="19"/>
  <c r="F97" i="18" s="1"/>
  <c r="F97" i="30" s="1"/>
  <c r="F165" i="19"/>
  <c r="F44" i="18" s="1"/>
  <c r="F44" i="30" s="1"/>
  <c r="E96" i="18"/>
  <c r="L12" i="19"/>
  <c r="L17" i="19"/>
  <c r="F23" i="19"/>
  <c r="L26" i="19"/>
  <c r="G165" i="19"/>
  <c r="G44" i="18" s="1"/>
  <c r="G44" i="30" s="1"/>
  <c r="K165" i="19"/>
  <c r="K44" i="18" s="1"/>
  <c r="K44" i="30" s="1"/>
  <c r="D130" i="19"/>
  <c r="H130" i="19"/>
  <c r="D165" i="19"/>
  <c r="D44" i="18" s="1"/>
  <c r="D44" i="30" s="1"/>
  <c r="J146" i="19" l="1"/>
  <c r="D81" i="30"/>
  <c r="D89" i="30"/>
  <c r="D90" i="30"/>
  <c r="D82" i="30"/>
  <c r="D54" i="26"/>
  <c r="E146" i="19"/>
  <c r="D144" i="18"/>
  <c r="D144" i="30" s="1"/>
  <c r="F38" i="30"/>
  <c r="J38" i="30"/>
  <c r="I38" i="30"/>
  <c r="K120" i="30"/>
  <c r="K126" i="18"/>
  <c r="E127" i="18"/>
  <c r="D121" i="30"/>
  <c r="D127" i="18"/>
  <c r="D127" i="30" s="1"/>
  <c r="F120" i="30"/>
  <c r="F126" i="18"/>
  <c r="F126" i="30" s="1"/>
  <c r="J121" i="30"/>
  <c r="J127" i="18"/>
  <c r="J127" i="30" s="1"/>
  <c r="F121" i="30"/>
  <c r="F127" i="18"/>
  <c r="F127" i="30" s="1"/>
  <c r="K38" i="30"/>
  <c r="F34" i="18"/>
  <c r="F34" i="30" s="1"/>
  <c r="F32" i="30"/>
  <c r="I121" i="30"/>
  <c r="I127" i="18"/>
  <c r="I127" i="30" s="1"/>
  <c r="I120" i="30"/>
  <c r="I126" i="18"/>
  <c r="D120" i="30"/>
  <c r="D126" i="18"/>
  <c r="D126" i="30" s="1"/>
  <c r="E32" i="30"/>
  <c r="G128" i="18"/>
  <c r="G128" i="30" s="1"/>
  <c r="J120" i="30"/>
  <c r="J126" i="18"/>
  <c r="H121" i="30"/>
  <c r="H127" i="18"/>
  <c r="H127" i="30" s="1"/>
  <c r="G38" i="30"/>
  <c r="E126" i="18"/>
  <c r="H38" i="30"/>
  <c r="I26" i="30"/>
  <c r="I32" i="18"/>
  <c r="I32" i="30" s="1"/>
  <c r="E33" i="18"/>
  <c r="I146" i="19"/>
  <c r="H27" i="30"/>
  <c r="H33" i="18"/>
  <c r="H33" i="30" s="1"/>
  <c r="G27" i="30"/>
  <c r="G33" i="18"/>
  <c r="G33" i="30" s="1"/>
  <c r="G26" i="30"/>
  <c r="G32" i="18"/>
  <c r="G32" i="30" s="1"/>
  <c r="I27" i="30"/>
  <c r="I33" i="18"/>
  <c r="I33" i="30" s="1"/>
  <c r="K26" i="30"/>
  <c r="K32" i="18"/>
  <c r="H26" i="30"/>
  <c r="H32" i="18"/>
  <c r="H32" i="30" s="1"/>
  <c r="J26" i="30"/>
  <c r="J32" i="18"/>
  <c r="K27" i="30"/>
  <c r="K33" i="18"/>
  <c r="K33" i="30" s="1"/>
  <c r="D38" i="30"/>
  <c r="D26" i="30"/>
  <c r="D32" i="18"/>
  <c r="D32" i="30" s="1"/>
  <c r="D27" i="30"/>
  <c r="D33" i="18"/>
  <c r="AC66" i="30"/>
  <c r="AC72" i="30"/>
  <c r="K74" i="18"/>
  <c r="K74" i="30" s="1"/>
  <c r="AJ74" i="30" s="1"/>
  <c r="F124" i="19"/>
  <c r="G74" i="18"/>
  <c r="G74" i="30" s="1"/>
  <c r="I91" i="18"/>
  <c r="I91" i="30" s="1"/>
  <c r="E96" i="30"/>
  <c r="E53" i="30"/>
  <c r="E43" i="30"/>
  <c r="E105" i="30"/>
  <c r="E120" i="30"/>
  <c r="E132" i="30"/>
  <c r="E38" i="30"/>
  <c r="E142" i="30"/>
  <c r="E54" i="30"/>
  <c r="E62" i="30"/>
  <c r="E26" i="30"/>
  <c r="AD64" i="30"/>
  <c r="AK64" i="30" s="1"/>
  <c r="AD63" i="30"/>
  <c r="AK63" i="30" s="1"/>
  <c r="E97" i="30"/>
  <c r="E84" i="30"/>
  <c r="E27" i="30"/>
  <c r="E66" i="30"/>
  <c r="AD65" i="30"/>
  <c r="AK65" i="30" s="1"/>
  <c r="E91" i="30"/>
  <c r="E51" i="30"/>
  <c r="AD61" i="30"/>
  <c r="AK61" i="30" s="1"/>
  <c r="AD60" i="30"/>
  <c r="AK60" i="30" s="1"/>
  <c r="E73" i="30"/>
  <c r="E121" i="30"/>
  <c r="E67" i="30"/>
  <c r="E56" i="30"/>
  <c r="D106" i="18"/>
  <c r="D106" i="30" s="1"/>
  <c r="D105" i="30"/>
  <c r="E72" i="30"/>
  <c r="J144" i="18"/>
  <c r="J144" i="30" s="1"/>
  <c r="I149" i="19"/>
  <c r="I68" i="18" s="1"/>
  <c r="I68" i="30" s="1"/>
  <c r="AH68" i="30" s="1"/>
  <c r="E144" i="18"/>
  <c r="I144" i="18"/>
  <c r="I144" i="30" s="1"/>
  <c r="J28" i="18"/>
  <c r="J28" i="30" s="1"/>
  <c r="F146" i="19"/>
  <c r="K146" i="19"/>
  <c r="I74" i="18"/>
  <c r="I74" i="30" s="1"/>
  <c r="AH74" i="30" s="1"/>
  <c r="G144" i="18"/>
  <c r="G144" i="30" s="1"/>
  <c r="E95" i="18"/>
  <c r="I122" i="18"/>
  <c r="I122" i="30" s="1"/>
  <c r="J95" i="18"/>
  <c r="J95" i="30" s="1"/>
  <c r="K96" i="18"/>
  <c r="K96" i="30" s="1"/>
  <c r="J149" i="19"/>
  <c r="J68" i="18" s="1"/>
  <c r="J68" i="30" s="1"/>
  <c r="AI68" i="30" s="1"/>
  <c r="H106" i="18"/>
  <c r="H106" i="30" s="1"/>
  <c r="H144" i="18"/>
  <c r="H144" i="30" s="1"/>
  <c r="G133" i="19"/>
  <c r="G159" i="19" s="1"/>
  <c r="K122" i="18"/>
  <c r="K122" i="30" s="1"/>
  <c r="F74" i="18"/>
  <c r="F149" i="19"/>
  <c r="F68" i="18" s="1"/>
  <c r="F68" i="30" s="1"/>
  <c r="AE68" i="30" s="1"/>
  <c r="F158" i="19"/>
  <c r="K124" i="19"/>
  <c r="J74" i="18"/>
  <c r="J74" i="30" s="1"/>
  <c r="AI74" i="30" s="1"/>
  <c r="F144" i="18"/>
  <c r="F144" i="30" s="1"/>
  <c r="E149" i="19"/>
  <c r="E68" i="18" s="1"/>
  <c r="J158" i="19"/>
  <c r="L62" i="18"/>
  <c r="L62" i="30" s="1"/>
  <c r="D149" i="19"/>
  <c r="D68" i="18" s="1"/>
  <c r="D68" i="30" s="1"/>
  <c r="E74" i="18"/>
  <c r="J133" i="19"/>
  <c r="J159" i="19" s="1"/>
  <c r="K144" i="18"/>
  <c r="K144" i="30" s="1"/>
  <c r="L27" i="18"/>
  <c r="L27" i="30" s="1"/>
  <c r="G86" i="18"/>
  <c r="G86" i="30" s="1"/>
  <c r="F28" i="18"/>
  <c r="F28" i="30" s="1"/>
  <c r="K69" i="18"/>
  <c r="K69" i="30" s="1"/>
  <c r="F96" i="18"/>
  <c r="F96" i="30" s="1"/>
  <c r="L66" i="18"/>
  <c r="L66" i="30" s="1"/>
  <c r="L73" i="18"/>
  <c r="L73" i="30" s="1"/>
  <c r="I106" i="18"/>
  <c r="I106" i="30" s="1"/>
  <c r="G146" i="19"/>
  <c r="F91" i="18"/>
  <c r="F91" i="30" s="1"/>
  <c r="E106" i="18"/>
  <c r="G69" i="18"/>
  <c r="G69" i="30" s="1"/>
  <c r="J124" i="19"/>
  <c r="J96" i="18"/>
  <c r="J96" i="30" s="1"/>
  <c r="J43" i="18"/>
  <c r="J43" i="30" s="1"/>
  <c r="K106" i="18"/>
  <c r="K106" i="30" s="1"/>
  <c r="I86" i="18"/>
  <c r="I86" i="30" s="1"/>
  <c r="I28" i="18"/>
  <c r="I28" i="30" s="1"/>
  <c r="G106" i="18"/>
  <c r="G106" i="30" s="1"/>
  <c r="H146" i="19"/>
  <c r="K133" i="19"/>
  <c r="K98" i="18" s="1"/>
  <c r="D74" i="18"/>
  <c r="E28" i="18"/>
  <c r="K91" i="18"/>
  <c r="K91" i="30" s="1"/>
  <c r="J91" i="18"/>
  <c r="J91" i="30" s="1"/>
  <c r="E122" i="18"/>
  <c r="L85" i="18"/>
  <c r="H122" i="18"/>
  <c r="H122" i="30" s="1"/>
  <c r="J122" i="18"/>
  <c r="J122" i="30" s="1"/>
  <c r="L120" i="18"/>
  <c r="L120" i="30" s="1"/>
  <c r="H86" i="18"/>
  <c r="H86" i="30" s="1"/>
  <c r="K28" i="18"/>
  <c r="K28" i="30" s="1"/>
  <c r="G28" i="18"/>
  <c r="G28" i="30" s="1"/>
  <c r="L83" i="18"/>
  <c r="J86" i="18"/>
  <c r="J86" i="30" s="1"/>
  <c r="H28" i="18"/>
  <c r="H28" i="30" s="1"/>
  <c r="L84" i="18"/>
  <c r="E86" i="18"/>
  <c r="L87" i="18"/>
  <c r="F95" i="18"/>
  <c r="F95" i="30" s="1"/>
  <c r="F133" i="19"/>
  <c r="F98" i="18" s="1"/>
  <c r="F98" i="30" s="1"/>
  <c r="L82" i="18"/>
  <c r="L121" i="18"/>
  <c r="L121" i="30" s="1"/>
  <c r="L67" i="18"/>
  <c r="L67" i="30" s="1"/>
  <c r="E133" i="19"/>
  <c r="H74" i="18"/>
  <c r="H74" i="30" s="1"/>
  <c r="L72" i="18"/>
  <c r="L72" i="30" s="1"/>
  <c r="L132" i="18"/>
  <c r="L132" i="30" s="1"/>
  <c r="D133" i="19"/>
  <c r="D95" i="18"/>
  <c r="D42" i="18"/>
  <c r="D42" i="30" s="1"/>
  <c r="D158" i="19"/>
  <c r="L158" i="19" s="1"/>
  <c r="D91" i="18"/>
  <c r="D91" i="30" s="1"/>
  <c r="L89" i="18"/>
  <c r="F122" i="18"/>
  <c r="F122" i="30" s="1"/>
  <c r="L23" i="19"/>
  <c r="L38" i="18"/>
  <c r="L26" i="18"/>
  <c r="L26" i="30" s="1"/>
  <c r="D28" i="18"/>
  <c r="F86" i="18"/>
  <c r="F86" i="30" s="1"/>
  <c r="H158" i="19"/>
  <c r="H133" i="19"/>
  <c r="H95" i="18"/>
  <c r="H95" i="30" s="1"/>
  <c r="H69" i="18"/>
  <c r="H69" i="30" s="1"/>
  <c r="I98" i="18"/>
  <c r="I98" i="30" s="1"/>
  <c r="I159" i="19"/>
  <c r="H91" i="18"/>
  <c r="H91" i="30" s="1"/>
  <c r="L9" i="19"/>
  <c r="L90" i="18"/>
  <c r="D86" i="18"/>
  <c r="D86" i="30" s="1"/>
  <c r="L81" i="18"/>
  <c r="D122" i="18"/>
  <c r="D122" i="30" s="1"/>
  <c r="AG74" i="30" l="1"/>
  <c r="AF74" i="30"/>
  <c r="L84" i="30"/>
  <c r="E6" i="18"/>
  <c r="L83" i="30"/>
  <c r="E5" i="18"/>
  <c r="L90" i="30"/>
  <c r="E13" i="18"/>
  <c r="E13" i="30" s="1"/>
  <c r="X13" i="30" s="1"/>
  <c r="D95" i="30"/>
  <c r="E19" i="18"/>
  <c r="K98" i="30"/>
  <c r="E20" i="18"/>
  <c r="L81" i="30"/>
  <c r="E3" i="18"/>
  <c r="M81" i="18" s="1"/>
  <c r="L89" i="30"/>
  <c r="E12" i="18"/>
  <c r="N89" i="18" s="1"/>
  <c r="L82" i="30"/>
  <c r="E4" i="18"/>
  <c r="N82" i="18" s="1"/>
  <c r="L87" i="30"/>
  <c r="E10" i="18"/>
  <c r="L85" i="30"/>
  <c r="E7" i="18"/>
  <c r="N85" i="18" s="1"/>
  <c r="K128" i="18"/>
  <c r="K128" i="30" s="1"/>
  <c r="K126" i="30"/>
  <c r="E128" i="18"/>
  <c r="E126" i="30"/>
  <c r="H128" i="18"/>
  <c r="H128" i="30" s="1"/>
  <c r="J128" i="18"/>
  <c r="J128" i="30" s="1"/>
  <c r="J126" i="30"/>
  <c r="I128" i="18"/>
  <c r="I128" i="30" s="1"/>
  <c r="I126" i="30"/>
  <c r="E127" i="30"/>
  <c r="J34" i="18"/>
  <c r="J32" i="30"/>
  <c r="K34" i="18"/>
  <c r="K32" i="30"/>
  <c r="L127" i="18"/>
  <c r="L127" i="30" s="1"/>
  <c r="D128" i="18"/>
  <c r="D128" i="30" s="1"/>
  <c r="L126" i="18"/>
  <c r="L126" i="30" s="1"/>
  <c r="F128" i="18"/>
  <c r="F128" i="30" s="1"/>
  <c r="F39" i="18"/>
  <c r="L38" i="30"/>
  <c r="E34" i="18"/>
  <c r="E33" i="30"/>
  <c r="I34" i="18"/>
  <c r="G34" i="18"/>
  <c r="H34" i="18"/>
  <c r="L33" i="18"/>
  <c r="L33" i="30" s="1"/>
  <c r="D33" i="30"/>
  <c r="L32" i="18"/>
  <c r="L32" i="30" s="1"/>
  <c r="D34" i="18"/>
  <c r="D39" i="18" s="1"/>
  <c r="D28" i="30"/>
  <c r="AC68" i="30"/>
  <c r="F74" i="30"/>
  <c r="AE74" i="30" s="1"/>
  <c r="E86" i="30"/>
  <c r="E28" i="30"/>
  <c r="AD62" i="30"/>
  <c r="AK62" i="30" s="1"/>
  <c r="E122" i="30"/>
  <c r="E95" i="30"/>
  <c r="AD66" i="30"/>
  <c r="AK66" i="30" s="1"/>
  <c r="D74" i="30"/>
  <c r="E106" i="30"/>
  <c r="E74" i="30"/>
  <c r="E68" i="30"/>
  <c r="E144" i="30"/>
  <c r="F146" i="30" s="1"/>
  <c r="AD72" i="30"/>
  <c r="AK72" i="30" s="1"/>
  <c r="AD73" i="30"/>
  <c r="AK73" i="30" s="1"/>
  <c r="F69" i="18"/>
  <c r="F69" i="30" s="1"/>
  <c r="I69" i="18"/>
  <c r="I69" i="30" s="1"/>
  <c r="J69" i="18"/>
  <c r="J69" i="30" s="1"/>
  <c r="G98" i="18"/>
  <c r="G98" i="30" s="1"/>
  <c r="N87" i="18"/>
  <c r="D69" i="18"/>
  <c r="D69" i="30" s="1"/>
  <c r="F159" i="19"/>
  <c r="E69" i="18"/>
  <c r="L68" i="18"/>
  <c r="L68" i="30" s="1"/>
  <c r="J98" i="18"/>
  <c r="J98" i="30" s="1"/>
  <c r="N83" i="18"/>
  <c r="K159" i="19"/>
  <c r="E98" i="18"/>
  <c r="E159" i="19"/>
  <c r="N84" i="18"/>
  <c r="L74" i="18"/>
  <c r="L74" i="30" s="1"/>
  <c r="N74" i="18"/>
  <c r="D46" i="18"/>
  <c r="D46" i="30" s="1"/>
  <c r="L86" i="18"/>
  <c r="L86" i="30" s="1"/>
  <c r="L122" i="18"/>
  <c r="L122" i="30" s="1"/>
  <c r="H159" i="19"/>
  <c r="H98" i="18"/>
  <c r="H98" i="30" s="1"/>
  <c r="L28" i="18"/>
  <c r="L28" i="30" s="1"/>
  <c r="L91" i="18"/>
  <c r="L91" i="30" s="1"/>
  <c r="D159" i="19"/>
  <c r="D98" i="18"/>
  <c r="D98" i="30" s="1"/>
  <c r="N90" i="18"/>
  <c r="N81" i="18"/>
  <c r="M90" i="18" l="1"/>
  <c r="E19" i="30"/>
  <c r="X19" i="30" s="1"/>
  <c r="E7" i="30"/>
  <c r="X7" i="30" s="1"/>
  <c r="M85" i="18"/>
  <c r="M85" i="30" s="1"/>
  <c r="E4" i="30"/>
  <c r="M82" i="18"/>
  <c r="M82" i="30" s="1"/>
  <c r="E9" i="18"/>
  <c r="E9" i="30" s="1"/>
  <c r="X9" i="30" s="1"/>
  <c r="E3" i="30"/>
  <c r="X3" i="30" s="1"/>
  <c r="M83" i="18"/>
  <c r="M83" i="30" s="1"/>
  <c r="E5" i="30"/>
  <c r="X5" i="30" s="1"/>
  <c r="M87" i="18"/>
  <c r="M87" i="30" s="1"/>
  <c r="E10" i="30"/>
  <c r="X10" i="30" s="1"/>
  <c r="E15" i="18"/>
  <c r="E12" i="30"/>
  <c r="X12" i="30" s="1"/>
  <c r="M89" i="18"/>
  <c r="M89" i="30" s="1"/>
  <c r="E6" i="30"/>
  <c r="X6" i="30" s="1"/>
  <c r="M84" i="18"/>
  <c r="M84" i="30" s="1"/>
  <c r="E128" i="30"/>
  <c r="G34" i="30"/>
  <c r="G39" i="18"/>
  <c r="I34" i="30"/>
  <c r="I39" i="18"/>
  <c r="K34" i="30"/>
  <c r="K39" i="18"/>
  <c r="L128" i="18"/>
  <c r="L128" i="30" s="1"/>
  <c r="E34" i="30"/>
  <c r="E39" i="18"/>
  <c r="H34" i="30"/>
  <c r="H39" i="18"/>
  <c r="J34" i="30"/>
  <c r="J39" i="18"/>
  <c r="L34" i="18"/>
  <c r="D34" i="30"/>
  <c r="AC74" i="30"/>
  <c r="F76" i="30"/>
  <c r="M90" i="30"/>
  <c r="AD68" i="30"/>
  <c r="AK68" i="30" s="1"/>
  <c r="N89" i="30"/>
  <c r="E98" i="30"/>
  <c r="N85" i="30"/>
  <c r="E69" i="30"/>
  <c r="M81" i="30"/>
  <c r="N82" i="30"/>
  <c r="N83" i="30"/>
  <c r="N87" i="30"/>
  <c r="AD74" i="30"/>
  <c r="N81" i="30"/>
  <c r="N90" i="30"/>
  <c r="N84" i="30"/>
  <c r="L69" i="18"/>
  <c r="L69" i="30" s="1"/>
  <c r="E20" i="30"/>
  <c r="L159" i="19"/>
  <c r="E42" i="18"/>
  <c r="D47" i="18"/>
  <c r="N91" i="18"/>
  <c r="M91" i="18"/>
  <c r="M86" i="18" l="1"/>
  <c r="N86" i="18"/>
  <c r="N86" i="30" s="1"/>
  <c r="E17" i="18"/>
  <c r="E17" i="30" s="1"/>
  <c r="X17" i="30" s="1"/>
  <c r="E15" i="30"/>
  <c r="X15" i="30" s="1"/>
  <c r="L34" i="30"/>
  <c r="L39" i="18"/>
  <c r="AK74" i="30"/>
  <c r="M91" i="30"/>
  <c r="N91" i="30"/>
  <c r="E42" i="30"/>
  <c r="M86" i="30"/>
  <c r="X20" i="30"/>
  <c r="E46" i="18"/>
  <c r="E46" i="30" l="1"/>
  <c r="F42" i="18"/>
  <c r="F42" i="30" s="1"/>
  <c r="E47" i="18"/>
  <c r="F46" i="18" l="1"/>
  <c r="F46" i="30" s="1"/>
  <c r="F47" i="18" l="1"/>
  <c r="G42" i="18"/>
  <c r="G42" i="30" s="1"/>
  <c r="G46" i="18" l="1"/>
  <c r="G46" i="30" s="1"/>
  <c r="H42" i="18" l="1"/>
  <c r="H42" i="30" s="1"/>
  <c r="G47" i="18"/>
  <c r="H46" i="18" l="1"/>
  <c r="H46" i="30" s="1"/>
  <c r="H47" i="18" l="1"/>
  <c r="I42" i="18"/>
  <c r="I42" i="30" s="1"/>
  <c r="I46" i="18" l="1"/>
  <c r="I46" i="30" s="1"/>
  <c r="I47" i="18"/>
  <c r="J42" i="18"/>
  <c r="J42" i="30" s="1"/>
  <c r="J46" i="18" l="1"/>
  <c r="J46" i="30" s="1"/>
  <c r="J47" i="18" l="1"/>
  <c r="K42" i="18"/>
  <c r="K42" i="30" s="1"/>
  <c r="K46" i="18" l="1"/>
  <c r="K46" i="30" s="1"/>
  <c r="N46" i="18" l="1"/>
  <c r="K47" i="18"/>
  <c r="K67" i="1" l="1"/>
  <c r="K67" i="20" s="1"/>
  <c r="J67" i="1"/>
  <c r="J67" i="20" s="1"/>
  <c r="I67" i="1"/>
  <c r="I67" i="20" s="1"/>
  <c r="H67" i="1"/>
  <c r="H67" i="20" s="1"/>
  <c r="G67" i="1"/>
  <c r="G67" i="20" s="1"/>
  <c r="F67" i="1"/>
  <c r="F67" i="20" s="1"/>
  <c r="E67" i="1"/>
  <c r="E67" i="20" s="1"/>
  <c r="D67" i="1"/>
  <c r="K29" i="9"/>
  <c r="J29" i="9"/>
  <c r="J32" i="27" s="1"/>
  <c r="I29" i="9"/>
  <c r="I32" i="27" s="1"/>
  <c r="H29" i="9"/>
  <c r="H32" i="27" s="1"/>
  <c r="G29" i="9"/>
  <c r="G32" i="27" s="1"/>
  <c r="F29" i="9"/>
  <c r="E29" i="9"/>
  <c r="E32" i="27" s="1"/>
  <c r="D29" i="9"/>
  <c r="D32" i="27" s="1"/>
  <c r="K28" i="9"/>
  <c r="K31" i="27" s="1"/>
  <c r="J28" i="9"/>
  <c r="J31" i="27" s="1"/>
  <c r="I28" i="9"/>
  <c r="I31" i="27" s="1"/>
  <c r="H28" i="9"/>
  <c r="H31" i="27" s="1"/>
  <c r="G28" i="9"/>
  <c r="G31" i="27" s="1"/>
  <c r="F28" i="9"/>
  <c r="F31" i="27" s="1"/>
  <c r="E28" i="9"/>
  <c r="E31" i="27" s="1"/>
  <c r="D28" i="9"/>
  <c r="D31" i="27" s="1"/>
  <c r="K27" i="9"/>
  <c r="K30" i="27" s="1"/>
  <c r="J27" i="9"/>
  <c r="I27" i="9"/>
  <c r="H27" i="9"/>
  <c r="G27" i="9"/>
  <c r="F27" i="9"/>
  <c r="F30" i="27" s="1"/>
  <c r="E27" i="9"/>
  <c r="D27" i="9"/>
  <c r="F29" i="24" l="1"/>
  <c r="AF29" i="24" s="1"/>
  <c r="F32" i="27"/>
  <c r="G27" i="24"/>
  <c r="AG27" i="24" s="1"/>
  <c r="G30" i="27"/>
  <c r="D27" i="24"/>
  <c r="AD27" i="24" s="1"/>
  <c r="D30" i="27"/>
  <c r="H27" i="24"/>
  <c r="AH27" i="24" s="1"/>
  <c r="H30" i="27"/>
  <c r="E27" i="24"/>
  <c r="AE27" i="24" s="1"/>
  <c r="E30" i="27"/>
  <c r="I27" i="24"/>
  <c r="AI27" i="24" s="1"/>
  <c r="I30" i="27"/>
  <c r="J27" i="24"/>
  <c r="AJ27" i="24" s="1"/>
  <c r="J30" i="27"/>
  <c r="K29" i="24"/>
  <c r="AK29" i="24" s="1"/>
  <c r="K32" i="27"/>
  <c r="G36" i="9"/>
  <c r="G36" i="24" s="1"/>
  <c r="G28" i="24"/>
  <c r="K36" i="9"/>
  <c r="K36" i="24" s="1"/>
  <c r="K28" i="24"/>
  <c r="G37" i="9"/>
  <c r="G37" i="24" s="1"/>
  <c r="AG37" i="24" s="1"/>
  <c r="G29" i="24"/>
  <c r="AG29" i="24" s="1"/>
  <c r="D36" i="9"/>
  <c r="D28" i="24"/>
  <c r="H37" i="9"/>
  <c r="H37" i="24" s="1"/>
  <c r="AH37" i="24" s="1"/>
  <c r="H29" i="24"/>
  <c r="AH29" i="24" s="1"/>
  <c r="F35" i="9"/>
  <c r="F35" i="24" s="1"/>
  <c r="AF35" i="24" s="1"/>
  <c r="F27" i="24"/>
  <c r="AF27" i="24" s="1"/>
  <c r="F36" i="9"/>
  <c r="F36" i="24" s="1"/>
  <c r="F28" i="24"/>
  <c r="J36" i="9"/>
  <c r="J36" i="24" s="1"/>
  <c r="J28" i="24"/>
  <c r="J37" i="9"/>
  <c r="J37" i="24" s="1"/>
  <c r="AJ37" i="24" s="1"/>
  <c r="J29" i="24"/>
  <c r="AJ29" i="24" s="1"/>
  <c r="K35" i="9"/>
  <c r="K35" i="24" s="1"/>
  <c r="AK35" i="24" s="1"/>
  <c r="K27" i="24"/>
  <c r="AK27" i="24" s="1"/>
  <c r="H36" i="9"/>
  <c r="H36" i="24" s="1"/>
  <c r="H28" i="24"/>
  <c r="D37" i="9"/>
  <c r="D29" i="24"/>
  <c r="E36" i="9"/>
  <c r="E36" i="24" s="1"/>
  <c r="E28" i="24"/>
  <c r="I36" i="9"/>
  <c r="I36" i="24" s="1"/>
  <c r="I28" i="24"/>
  <c r="E37" i="9"/>
  <c r="E37" i="24" s="1"/>
  <c r="AE37" i="24" s="1"/>
  <c r="E29" i="24"/>
  <c r="AE29" i="24" s="1"/>
  <c r="I37" i="9"/>
  <c r="I37" i="24" s="1"/>
  <c r="AI37" i="24" s="1"/>
  <c r="I29" i="24"/>
  <c r="AI29" i="24" s="1"/>
  <c r="F30" i="9"/>
  <c r="F33" i="27" s="1"/>
  <c r="F34" i="27" s="1"/>
  <c r="F37" i="9"/>
  <c r="F37" i="24" s="1"/>
  <c r="AF37" i="24" s="1"/>
  <c r="D30" i="9"/>
  <c r="D35" i="9"/>
  <c r="H35" i="9"/>
  <c r="H35" i="24" s="1"/>
  <c r="AH35" i="24" s="1"/>
  <c r="H30" i="9"/>
  <c r="H33" i="27" s="1"/>
  <c r="H34" i="27" s="1"/>
  <c r="J30" i="9"/>
  <c r="J33" i="27" s="1"/>
  <c r="J34" i="27" s="1"/>
  <c r="J35" i="9"/>
  <c r="J35" i="24" s="1"/>
  <c r="AJ35" i="24" s="1"/>
  <c r="G35" i="9"/>
  <c r="G35" i="24" s="1"/>
  <c r="AG35" i="24" s="1"/>
  <c r="G30" i="9"/>
  <c r="G33" i="27" s="1"/>
  <c r="G34" i="27" s="1"/>
  <c r="K30" i="9"/>
  <c r="K33" i="27" s="1"/>
  <c r="K34" i="27" s="1"/>
  <c r="K37" i="9"/>
  <c r="K37" i="24" s="1"/>
  <c r="AK37" i="24" s="1"/>
  <c r="E30" i="9"/>
  <c r="E33" i="27" s="1"/>
  <c r="E34" i="27" s="1"/>
  <c r="E35" i="9"/>
  <c r="E35" i="24" s="1"/>
  <c r="AE35" i="24" s="1"/>
  <c r="I30" i="9"/>
  <c r="I33" i="27" s="1"/>
  <c r="I34" i="27" s="1"/>
  <c r="I35" i="9"/>
  <c r="I35" i="24" s="1"/>
  <c r="AI35" i="24" s="1"/>
  <c r="D67" i="20"/>
  <c r="D72" i="1"/>
  <c r="H72" i="1"/>
  <c r="H72" i="20" s="1"/>
  <c r="AG72" i="20" s="1"/>
  <c r="E72" i="1"/>
  <c r="E72" i="20" s="1"/>
  <c r="AD72" i="20" s="1"/>
  <c r="I72" i="1"/>
  <c r="I72" i="20" s="1"/>
  <c r="AH72" i="20" s="1"/>
  <c r="F72" i="1"/>
  <c r="F72" i="20" s="1"/>
  <c r="AE72" i="20" s="1"/>
  <c r="J72" i="1"/>
  <c r="J72" i="20" s="1"/>
  <c r="AI72" i="20" s="1"/>
  <c r="G72" i="1"/>
  <c r="G72" i="20" s="1"/>
  <c r="AF72" i="20" s="1"/>
  <c r="K72" i="1"/>
  <c r="K72" i="20" s="1"/>
  <c r="AJ72" i="20" s="1"/>
  <c r="D72" i="20"/>
  <c r="K66" i="1"/>
  <c r="K66" i="20" s="1"/>
  <c r="AJ66" i="20" s="1"/>
  <c r="J66" i="1"/>
  <c r="J66" i="20" s="1"/>
  <c r="AI66" i="20" s="1"/>
  <c r="I66" i="1"/>
  <c r="I66" i="20" s="1"/>
  <c r="AH66" i="20" s="1"/>
  <c r="H66" i="1"/>
  <c r="H66" i="20" s="1"/>
  <c r="AG66" i="20" s="1"/>
  <c r="G66" i="1"/>
  <c r="G66" i="20" s="1"/>
  <c r="AF66" i="20" s="1"/>
  <c r="F66" i="1"/>
  <c r="F66" i="20" s="1"/>
  <c r="AE66" i="20" s="1"/>
  <c r="E66" i="1"/>
  <c r="E66" i="20" s="1"/>
  <c r="AD66" i="20" s="1"/>
  <c r="D66" i="1"/>
  <c r="K64" i="1"/>
  <c r="K64" i="20" s="1"/>
  <c r="AJ64" i="20" s="1"/>
  <c r="J64" i="1"/>
  <c r="J64" i="20" s="1"/>
  <c r="AI64" i="20" s="1"/>
  <c r="I64" i="1"/>
  <c r="I64" i="20" s="1"/>
  <c r="AH64" i="20" s="1"/>
  <c r="H64" i="1"/>
  <c r="H64" i="20" s="1"/>
  <c r="AG64" i="20" s="1"/>
  <c r="G64" i="1"/>
  <c r="G64" i="20" s="1"/>
  <c r="AF64" i="20" s="1"/>
  <c r="F64" i="1"/>
  <c r="F64" i="20" s="1"/>
  <c r="AE64" i="20" s="1"/>
  <c r="E64" i="1"/>
  <c r="E64" i="20" s="1"/>
  <c r="AD64" i="20" s="1"/>
  <c r="D64" i="1"/>
  <c r="L32" i="27" l="1"/>
  <c r="AD29" i="24"/>
  <c r="I38" i="9"/>
  <c r="I38" i="24" s="1"/>
  <c r="AI38" i="24" s="1"/>
  <c r="I30" i="24"/>
  <c r="J38" i="9"/>
  <c r="J38" i="24" s="1"/>
  <c r="AJ38" i="24" s="1"/>
  <c r="J30" i="24"/>
  <c r="G38" i="9"/>
  <c r="G38" i="24" s="1"/>
  <c r="AG38" i="24" s="1"/>
  <c r="G30" i="24"/>
  <c r="H38" i="9"/>
  <c r="H38" i="24" s="1"/>
  <c r="AH38" i="24" s="1"/>
  <c r="H30" i="24"/>
  <c r="D37" i="24"/>
  <c r="L31" i="27"/>
  <c r="D35" i="24"/>
  <c r="K38" i="9"/>
  <c r="K38" i="24" s="1"/>
  <c r="AK38" i="24" s="1"/>
  <c r="K30" i="24"/>
  <c r="D33" i="27"/>
  <c r="D34" i="27" s="1"/>
  <c r="D30" i="24"/>
  <c r="E38" i="9"/>
  <c r="E38" i="24" s="1"/>
  <c r="AE38" i="24" s="1"/>
  <c r="E30" i="24"/>
  <c r="F38" i="9"/>
  <c r="F38" i="24" s="1"/>
  <c r="AF38" i="24" s="1"/>
  <c r="F30" i="24"/>
  <c r="D36" i="24"/>
  <c r="D38" i="9"/>
  <c r="L30" i="9"/>
  <c r="L30" i="24" s="1"/>
  <c r="AL30" i="24" s="1"/>
  <c r="AC72" i="20"/>
  <c r="AK72" i="20" s="1"/>
  <c r="D64" i="20"/>
  <c r="D66" i="20"/>
  <c r="AF30" i="24" l="1"/>
  <c r="AG30" i="24"/>
  <c r="AE30" i="24"/>
  <c r="AK30" i="24"/>
  <c r="AI30" i="24"/>
  <c r="AH30" i="24"/>
  <c r="AJ30" i="24"/>
  <c r="L38" i="9"/>
  <c r="L38" i="24" s="1"/>
  <c r="AL38" i="24" s="1"/>
  <c r="D38" i="24"/>
  <c r="L33" i="27"/>
  <c r="L34" i="27" s="1"/>
  <c r="AD30" i="24"/>
  <c r="AD35" i="24"/>
  <c r="AD37" i="24"/>
  <c r="AC66" i="20"/>
  <c r="AK66" i="20" s="1"/>
  <c r="AC64" i="20"/>
  <c r="AK64" i="20" s="1"/>
  <c r="AD38" i="24" l="1"/>
  <c r="L42" i="27"/>
  <c r="K75" i="9"/>
  <c r="K75" i="24" s="1"/>
  <c r="J75" i="9"/>
  <c r="J75" i="24" s="1"/>
  <c r="I75" i="9"/>
  <c r="I75" i="24" s="1"/>
  <c r="H75" i="9"/>
  <c r="H75" i="24" s="1"/>
  <c r="G75" i="9"/>
  <c r="G75" i="24" s="1"/>
  <c r="F75" i="9"/>
  <c r="F75" i="24" s="1"/>
  <c r="E75" i="9"/>
  <c r="E75" i="24" s="1"/>
  <c r="D75" i="9"/>
  <c r="K74" i="9"/>
  <c r="K74" i="24" s="1"/>
  <c r="J74" i="9"/>
  <c r="J74" i="24" s="1"/>
  <c r="I74" i="9"/>
  <c r="I74" i="24" s="1"/>
  <c r="H74" i="9"/>
  <c r="H74" i="24" s="1"/>
  <c r="G74" i="9"/>
  <c r="G74" i="24" s="1"/>
  <c r="F74" i="9"/>
  <c r="F74" i="24" s="1"/>
  <c r="E74" i="9"/>
  <c r="E74" i="24" s="1"/>
  <c r="D74" i="9"/>
  <c r="K73" i="9"/>
  <c r="K73" i="24" s="1"/>
  <c r="J73" i="9"/>
  <c r="J73" i="24" s="1"/>
  <c r="I73" i="9"/>
  <c r="I73" i="24" s="1"/>
  <c r="H73" i="9"/>
  <c r="H73" i="24" s="1"/>
  <c r="G73" i="9"/>
  <c r="G73" i="24" s="1"/>
  <c r="F73" i="9"/>
  <c r="F73" i="24" s="1"/>
  <c r="E73" i="9"/>
  <c r="E73" i="24" s="1"/>
  <c r="D73" i="9"/>
  <c r="I76" i="9"/>
  <c r="I76" i="24" s="1"/>
  <c r="H76" i="9"/>
  <c r="H76" i="24" s="1"/>
  <c r="E76" i="9"/>
  <c r="E76" i="24" s="1"/>
  <c r="D76" i="9"/>
  <c r="K71" i="9"/>
  <c r="K71" i="24" s="1"/>
  <c r="J71" i="9"/>
  <c r="J71" i="24" s="1"/>
  <c r="I71" i="9"/>
  <c r="I71" i="24" s="1"/>
  <c r="H71" i="9"/>
  <c r="H71" i="24" s="1"/>
  <c r="G71" i="9"/>
  <c r="G71" i="24" s="1"/>
  <c r="F71" i="9"/>
  <c r="F71" i="24" s="1"/>
  <c r="E71" i="9"/>
  <c r="E71" i="24" s="1"/>
  <c r="D71" i="9"/>
  <c r="K70" i="9"/>
  <c r="K70" i="24" s="1"/>
  <c r="J70" i="9"/>
  <c r="J70" i="24" s="1"/>
  <c r="I70" i="9"/>
  <c r="I70" i="24" s="1"/>
  <c r="H70" i="9"/>
  <c r="H70" i="24" s="1"/>
  <c r="G70" i="9"/>
  <c r="G70" i="24" s="1"/>
  <c r="F70" i="9"/>
  <c r="F70" i="24" s="1"/>
  <c r="E70" i="9"/>
  <c r="E70" i="24" s="1"/>
  <c r="D70" i="9"/>
  <c r="D74" i="24" l="1"/>
  <c r="D70" i="24"/>
  <c r="D71" i="24"/>
  <c r="D76" i="24"/>
  <c r="D75" i="24"/>
  <c r="D73" i="24"/>
  <c r="G76" i="9"/>
  <c r="G76" i="24" s="1"/>
  <c r="K76" i="9"/>
  <c r="K76" i="24" s="1"/>
  <c r="F76" i="9"/>
  <c r="F76" i="24" s="1"/>
  <c r="J76" i="9"/>
  <c r="J76" i="24" s="1"/>
  <c r="K86" i="9"/>
  <c r="J86" i="9"/>
  <c r="I86" i="9"/>
  <c r="H86" i="9"/>
  <c r="G86" i="9"/>
  <c r="F86" i="9"/>
  <c r="E86" i="9"/>
  <c r="D86" i="9"/>
  <c r="E86" i="24" l="1"/>
  <c r="I86" i="24"/>
  <c r="F86" i="24"/>
  <c r="J86" i="24"/>
  <c r="H86" i="24"/>
  <c r="G86" i="24"/>
  <c r="K86" i="24"/>
  <c r="D86" i="24"/>
  <c r="L86" i="9"/>
  <c r="L86" i="24" s="1"/>
  <c r="K180" i="11"/>
  <c r="J180" i="11"/>
  <c r="I180" i="11"/>
  <c r="H180" i="11"/>
  <c r="G180" i="11"/>
  <c r="F180" i="11"/>
  <c r="E180" i="11"/>
  <c r="D180" i="11"/>
  <c r="K179" i="11"/>
  <c r="J179" i="11"/>
  <c r="I179" i="11"/>
  <c r="H179" i="11"/>
  <c r="G179" i="11"/>
  <c r="F179" i="11"/>
  <c r="E179" i="11"/>
  <c r="D179" i="11"/>
  <c r="K178" i="11"/>
  <c r="J178" i="11"/>
  <c r="I178" i="11"/>
  <c r="H178" i="11"/>
  <c r="G178" i="11"/>
  <c r="F178" i="11"/>
  <c r="E178" i="11"/>
  <c r="D178" i="11"/>
  <c r="L28" i="9" l="1"/>
  <c r="L28" i="24" s="1"/>
  <c r="K133" i="11"/>
  <c r="J133" i="11"/>
  <c r="I133" i="11"/>
  <c r="H133" i="11"/>
  <c r="G133" i="11"/>
  <c r="F133" i="11"/>
  <c r="E133" i="11"/>
  <c r="D133" i="11"/>
  <c r="K167" i="11" l="1"/>
  <c r="J167" i="11"/>
  <c r="I167" i="11"/>
  <c r="H167" i="11"/>
  <c r="G167" i="11"/>
  <c r="F167" i="11"/>
  <c r="E167" i="11"/>
  <c r="D167" i="11"/>
  <c r="L16" i="11" l="1"/>
  <c r="E4" i="9" s="1"/>
  <c r="M86" i="9" l="1"/>
  <c r="E4" i="24"/>
  <c r="K82" i="1"/>
  <c r="K82" i="20" s="1"/>
  <c r="J82" i="1"/>
  <c r="J82" i="20" s="1"/>
  <c r="I82" i="1"/>
  <c r="I82" i="20" s="1"/>
  <c r="H82" i="1"/>
  <c r="H82" i="20" s="1"/>
  <c r="G82" i="1"/>
  <c r="G82" i="20" s="1"/>
  <c r="F82" i="1"/>
  <c r="F82" i="20" s="1"/>
  <c r="E82" i="1"/>
  <c r="E82" i="20" s="1"/>
  <c r="D82" i="1"/>
  <c r="H26" i="1"/>
  <c r="D26" i="1"/>
  <c r="H32" i="1" l="1"/>
  <c r="H32" i="20" s="1"/>
  <c r="H27" i="26"/>
  <c r="D32" i="1"/>
  <c r="D32" i="20" s="1"/>
  <c r="D27" i="26"/>
  <c r="H26" i="20"/>
  <c r="N86" i="9"/>
  <c r="N86" i="24" s="1"/>
  <c r="M86" i="24"/>
  <c r="D26" i="20"/>
  <c r="D82" i="20"/>
  <c r="F26" i="1"/>
  <c r="F27" i="26" s="1"/>
  <c r="J26" i="1"/>
  <c r="G26" i="1"/>
  <c r="I26" i="1"/>
  <c r="K26" i="1"/>
  <c r="L82" i="1"/>
  <c r="E26" i="1"/>
  <c r="L16" i="7"/>
  <c r="J32" i="1" l="1"/>
  <c r="J32" i="20" s="1"/>
  <c r="J27" i="26"/>
  <c r="K32" i="1"/>
  <c r="K32" i="20" s="1"/>
  <c r="K27" i="26"/>
  <c r="I32" i="1"/>
  <c r="I32" i="20" s="1"/>
  <c r="I27" i="26"/>
  <c r="E32" i="1"/>
  <c r="E32" i="20" s="1"/>
  <c r="E27" i="26"/>
  <c r="G32" i="1"/>
  <c r="G32" i="20" s="1"/>
  <c r="G27" i="26"/>
  <c r="E4" i="20"/>
  <c r="L82" i="20"/>
  <c r="E4" i="1"/>
  <c r="M82" i="1" s="1"/>
  <c r="M82" i="20" s="1"/>
  <c r="F26" i="30"/>
  <c r="F32" i="1"/>
  <c r="F32" i="20" s="1"/>
  <c r="I26" i="20"/>
  <c r="G26" i="20"/>
  <c r="J26" i="20"/>
  <c r="E26" i="20"/>
  <c r="K26" i="20"/>
  <c r="F26" i="20"/>
  <c r="K155" i="7"/>
  <c r="J155" i="7"/>
  <c r="I155" i="7"/>
  <c r="H155" i="7"/>
  <c r="G155" i="7"/>
  <c r="F155" i="7"/>
  <c r="E155" i="7"/>
  <c r="D155" i="7"/>
  <c r="K154" i="7"/>
  <c r="J154" i="7"/>
  <c r="I154" i="7"/>
  <c r="H154" i="7"/>
  <c r="G154" i="7"/>
  <c r="F154" i="7"/>
  <c r="E154" i="7"/>
  <c r="D154" i="7"/>
  <c r="K153" i="7"/>
  <c r="J153" i="7"/>
  <c r="I153" i="7"/>
  <c r="H153" i="7"/>
  <c r="G153" i="7"/>
  <c r="F153" i="7"/>
  <c r="E153" i="7"/>
  <c r="D153" i="7"/>
  <c r="K152" i="7"/>
  <c r="J152" i="7"/>
  <c r="I152" i="7"/>
  <c r="H152" i="7"/>
  <c r="G152" i="7"/>
  <c r="F152" i="7"/>
  <c r="E152" i="7"/>
  <c r="D152" i="7"/>
  <c r="K176" i="7"/>
  <c r="J176" i="7"/>
  <c r="I176" i="7"/>
  <c r="H176" i="7"/>
  <c r="G176" i="7"/>
  <c r="F176" i="7"/>
  <c r="E176" i="7"/>
  <c r="D176" i="7"/>
  <c r="K175" i="7"/>
  <c r="J175" i="7"/>
  <c r="I175" i="7"/>
  <c r="H175" i="7"/>
  <c r="G175" i="7"/>
  <c r="F175" i="7"/>
  <c r="E175" i="7"/>
  <c r="D175" i="7"/>
  <c r="K174" i="7"/>
  <c r="J174" i="7"/>
  <c r="I174" i="7"/>
  <c r="H174" i="7"/>
  <c r="G174" i="7"/>
  <c r="F174" i="7"/>
  <c r="E174" i="7"/>
  <c r="D174" i="7"/>
  <c r="K144" i="7"/>
  <c r="J144" i="7"/>
  <c r="I144" i="7"/>
  <c r="H144" i="7"/>
  <c r="G144" i="7"/>
  <c r="F144" i="7"/>
  <c r="E144" i="7"/>
  <c r="D144" i="7"/>
  <c r="D52" i="1"/>
  <c r="N82" i="1" l="1"/>
  <c r="N82" i="20" s="1"/>
  <c r="L32" i="1"/>
  <c r="L32" i="20" s="1"/>
  <c r="D52" i="20"/>
  <c r="L67" i="1"/>
  <c r="L67" i="20" s="1"/>
  <c r="F165" i="7"/>
  <c r="H165" i="7"/>
  <c r="E165" i="7"/>
  <c r="G165" i="7"/>
  <c r="I165" i="7"/>
  <c r="K165" i="7"/>
  <c r="E149" i="7"/>
  <c r="E68" i="1" s="1"/>
  <c r="E68" i="20" s="1"/>
  <c r="AD68" i="20" s="1"/>
  <c r="G149" i="7"/>
  <c r="G68" i="1" s="1"/>
  <c r="G68" i="20" s="1"/>
  <c r="AF68" i="20" s="1"/>
  <c r="I149" i="7"/>
  <c r="I68" i="1" s="1"/>
  <c r="I68" i="20" s="1"/>
  <c r="AH68" i="20" s="1"/>
  <c r="K149" i="7"/>
  <c r="K68" i="1" s="1"/>
  <c r="K68" i="20" s="1"/>
  <c r="AJ68" i="20" s="1"/>
  <c r="D165" i="7"/>
  <c r="J165" i="7"/>
  <c r="D149" i="7"/>
  <c r="D68" i="1" s="1"/>
  <c r="F149" i="7"/>
  <c r="F68" i="1" s="1"/>
  <c r="F68" i="20" s="1"/>
  <c r="AE68" i="20" s="1"/>
  <c r="H149" i="7"/>
  <c r="H68" i="1" s="1"/>
  <c r="H68" i="20" s="1"/>
  <c r="AG68" i="20" s="1"/>
  <c r="J149" i="7"/>
  <c r="J68" i="1" s="1"/>
  <c r="J68" i="20" s="1"/>
  <c r="AI68" i="20" s="1"/>
  <c r="D68" i="20" l="1"/>
  <c r="K225" i="7"/>
  <c r="K138" i="1" s="1"/>
  <c r="K138" i="20" s="1"/>
  <c r="J225" i="7"/>
  <c r="J138" i="1" s="1"/>
  <c r="J138" i="20" s="1"/>
  <c r="I225" i="7"/>
  <c r="I138" i="1" s="1"/>
  <c r="I138" i="20" s="1"/>
  <c r="H225" i="7"/>
  <c r="H138" i="1" s="1"/>
  <c r="H138" i="20" s="1"/>
  <c r="G225" i="7"/>
  <c r="G138" i="1" s="1"/>
  <c r="G138" i="20" s="1"/>
  <c r="F225" i="7"/>
  <c r="F138" i="1" s="1"/>
  <c r="F138" i="20" s="1"/>
  <c r="E225" i="7"/>
  <c r="E138" i="1" s="1"/>
  <c r="E138" i="20" s="1"/>
  <c r="D225" i="7"/>
  <c r="D138" i="1" s="1"/>
  <c r="AC68" i="20" l="1"/>
  <c r="AK68" i="20" s="1"/>
  <c r="D138" i="20"/>
  <c r="K148" i="9"/>
  <c r="K148" i="24" s="1"/>
  <c r="J148" i="9"/>
  <c r="J148" i="24" s="1"/>
  <c r="I148" i="9"/>
  <c r="I148" i="24" s="1"/>
  <c r="H148" i="9"/>
  <c r="H148" i="24" s="1"/>
  <c r="G148" i="9"/>
  <c r="G148" i="24" s="1"/>
  <c r="F148" i="9"/>
  <c r="F148" i="24" s="1"/>
  <c r="E148" i="9"/>
  <c r="E148" i="24" s="1"/>
  <c r="D148" i="9"/>
  <c r="E142" i="9"/>
  <c r="E142" i="24" s="1"/>
  <c r="F142" i="9"/>
  <c r="F142" i="24" s="1"/>
  <c r="G142" i="9"/>
  <c r="G142" i="24" s="1"/>
  <c r="H142" i="9"/>
  <c r="H142" i="24" s="1"/>
  <c r="I142" i="9"/>
  <c r="I142" i="24" s="1"/>
  <c r="J142" i="9"/>
  <c r="J142" i="24" s="1"/>
  <c r="K142" i="9"/>
  <c r="K142" i="24" s="1"/>
  <c r="E143" i="9"/>
  <c r="E143" i="24" s="1"/>
  <c r="F143" i="9"/>
  <c r="F143" i="24" s="1"/>
  <c r="G143" i="9"/>
  <c r="G143" i="24" s="1"/>
  <c r="H143" i="9"/>
  <c r="H143" i="24" s="1"/>
  <c r="I143" i="9"/>
  <c r="I143" i="24" s="1"/>
  <c r="J143" i="9"/>
  <c r="J143" i="24" s="1"/>
  <c r="K143" i="9"/>
  <c r="K143" i="24" s="1"/>
  <c r="E144" i="9"/>
  <c r="E144" i="24" s="1"/>
  <c r="F144" i="9"/>
  <c r="F144" i="24" s="1"/>
  <c r="G144" i="9"/>
  <c r="G144" i="24" s="1"/>
  <c r="H144" i="9"/>
  <c r="H144" i="24" s="1"/>
  <c r="I144" i="9"/>
  <c r="I144" i="24" s="1"/>
  <c r="J144" i="9"/>
  <c r="J144" i="24" s="1"/>
  <c r="K144" i="9"/>
  <c r="K144" i="24" s="1"/>
  <c r="E145" i="9"/>
  <c r="E145" i="24" s="1"/>
  <c r="F145" i="9"/>
  <c r="F145" i="24" s="1"/>
  <c r="G145" i="9"/>
  <c r="G145" i="24" s="1"/>
  <c r="H145" i="9"/>
  <c r="H145" i="24" s="1"/>
  <c r="I145" i="9"/>
  <c r="I145" i="24" s="1"/>
  <c r="J145" i="9"/>
  <c r="J145" i="24" s="1"/>
  <c r="K145" i="9"/>
  <c r="K145" i="24" s="1"/>
  <c r="E146" i="9"/>
  <c r="E146" i="24" s="1"/>
  <c r="F146" i="9"/>
  <c r="F146" i="24" s="1"/>
  <c r="G146" i="9"/>
  <c r="G146" i="24" s="1"/>
  <c r="H146" i="9"/>
  <c r="H146" i="24" s="1"/>
  <c r="I146" i="9"/>
  <c r="I146" i="24" s="1"/>
  <c r="J146" i="9"/>
  <c r="J146" i="24" s="1"/>
  <c r="K146" i="9"/>
  <c r="K146" i="24" s="1"/>
  <c r="E147" i="9"/>
  <c r="E147" i="24" s="1"/>
  <c r="F147" i="9"/>
  <c r="F147" i="24" s="1"/>
  <c r="G147" i="9"/>
  <c r="G147" i="24" s="1"/>
  <c r="H147" i="9"/>
  <c r="H147" i="24" s="1"/>
  <c r="I147" i="9"/>
  <c r="I147" i="24" s="1"/>
  <c r="J147" i="9"/>
  <c r="J147" i="24" s="1"/>
  <c r="K147" i="9"/>
  <c r="K147" i="24" s="1"/>
  <c r="E150" i="9"/>
  <c r="E150" i="24" s="1"/>
  <c r="F150" i="9"/>
  <c r="F150" i="24" s="1"/>
  <c r="G150" i="9"/>
  <c r="G150" i="24" s="1"/>
  <c r="H150" i="9"/>
  <c r="H150" i="24" s="1"/>
  <c r="I150" i="9"/>
  <c r="I150" i="24" s="1"/>
  <c r="J150" i="9"/>
  <c r="J150" i="24" s="1"/>
  <c r="K150" i="9"/>
  <c r="K150" i="24" s="1"/>
  <c r="D150" i="9"/>
  <c r="D147" i="9"/>
  <c r="D146" i="9"/>
  <c r="D145" i="9"/>
  <c r="D144" i="9"/>
  <c r="D143" i="9"/>
  <c r="D142" i="9"/>
  <c r="D146" i="24" l="1"/>
  <c r="D143" i="24"/>
  <c r="D148" i="24"/>
  <c r="D147" i="24"/>
  <c r="D144" i="24"/>
  <c r="D150" i="24"/>
  <c r="D142" i="24"/>
  <c r="D145" i="24"/>
  <c r="F149" i="9"/>
  <c r="F149" i="24" s="1"/>
  <c r="J149" i="9"/>
  <c r="H149" i="9"/>
  <c r="K149" i="9"/>
  <c r="G149" i="9"/>
  <c r="I149" i="9"/>
  <c r="E149" i="9"/>
  <c r="D149" i="9"/>
  <c r="F151" i="9" l="1"/>
  <c r="F151" i="24" s="1"/>
  <c r="H153" i="33" s="1"/>
  <c r="I151" i="9"/>
  <c r="I151" i="24" s="1"/>
  <c r="I149" i="24"/>
  <c r="H151" i="9"/>
  <c r="H151" i="24" s="1"/>
  <c r="H153" i="43" s="1"/>
  <c r="H149" i="24"/>
  <c r="J151" i="9"/>
  <c r="J151" i="24" s="1"/>
  <c r="J149" i="24"/>
  <c r="E151" i="9"/>
  <c r="E151" i="24" s="1"/>
  <c r="E149" i="24"/>
  <c r="G151" i="9"/>
  <c r="G151" i="24" s="1"/>
  <c r="H153" i="37" s="1"/>
  <c r="G149" i="24"/>
  <c r="D151" i="9"/>
  <c r="D149" i="24"/>
  <c r="K151" i="9"/>
  <c r="K151" i="24" s="1"/>
  <c r="K149" i="24"/>
  <c r="K137" i="9"/>
  <c r="K137" i="24" s="1"/>
  <c r="J137" i="9"/>
  <c r="J137" i="24" s="1"/>
  <c r="I137" i="9"/>
  <c r="I137" i="24" s="1"/>
  <c r="H137" i="9"/>
  <c r="H137" i="24" s="1"/>
  <c r="G137" i="9"/>
  <c r="G137" i="24" s="1"/>
  <c r="F137" i="9"/>
  <c r="F137" i="24" s="1"/>
  <c r="E137" i="9"/>
  <c r="E137" i="24" s="1"/>
  <c r="K136" i="9"/>
  <c r="K136" i="24" s="1"/>
  <c r="J136" i="9"/>
  <c r="J136" i="24" s="1"/>
  <c r="I136" i="9"/>
  <c r="I136" i="24" s="1"/>
  <c r="H136" i="9"/>
  <c r="H136" i="24" s="1"/>
  <c r="G136" i="9"/>
  <c r="G136" i="24" s="1"/>
  <c r="F136" i="9"/>
  <c r="F136" i="24" s="1"/>
  <c r="E136" i="9"/>
  <c r="E136" i="24" s="1"/>
  <c r="D137" i="9"/>
  <c r="D136" i="9"/>
  <c r="K131" i="1"/>
  <c r="K131" i="20" s="1"/>
  <c r="J131" i="1"/>
  <c r="J131" i="20" s="1"/>
  <c r="I131" i="1"/>
  <c r="I131" i="20" s="1"/>
  <c r="H131" i="1"/>
  <c r="H131" i="20" s="1"/>
  <c r="G131" i="1"/>
  <c r="G131" i="20" s="1"/>
  <c r="F131" i="1"/>
  <c r="F131" i="20" s="1"/>
  <c r="E131" i="1"/>
  <c r="E131" i="20" s="1"/>
  <c r="K130" i="1"/>
  <c r="K130" i="20" s="1"/>
  <c r="J130" i="1"/>
  <c r="J130" i="20" s="1"/>
  <c r="I130" i="1"/>
  <c r="I130" i="20" s="1"/>
  <c r="H130" i="1"/>
  <c r="H130" i="20" s="1"/>
  <c r="G130" i="1"/>
  <c r="G130" i="20" s="1"/>
  <c r="F130" i="1"/>
  <c r="F130" i="20" s="1"/>
  <c r="E130" i="1"/>
  <c r="E130" i="20" s="1"/>
  <c r="D131" i="1"/>
  <c r="D130" i="1"/>
  <c r="D127" i="26" l="1"/>
  <c r="M127" i="26" s="1"/>
  <c r="D136" i="24"/>
  <c r="D151" i="24"/>
  <c r="D137" i="24"/>
  <c r="D130" i="20"/>
  <c r="D131" i="20"/>
  <c r="G138" i="9"/>
  <c r="G138" i="24" s="1"/>
  <c r="K138" i="9"/>
  <c r="K138" i="24" s="1"/>
  <c r="A179" i="11"/>
  <c r="A180" i="11" s="1"/>
  <c r="L137" i="9"/>
  <c r="L137" i="24" s="1"/>
  <c r="H138" i="9"/>
  <c r="H138" i="24" s="1"/>
  <c r="E153" i="24" l="1"/>
  <c r="G153" i="24" s="1"/>
  <c r="I138" i="9"/>
  <c r="I138" i="24" s="1"/>
  <c r="E138" i="9"/>
  <c r="E138" i="24" s="1"/>
  <c r="J138" i="9"/>
  <c r="J138" i="24" s="1"/>
  <c r="F138" i="9"/>
  <c r="F138" i="24" s="1"/>
  <c r="L136" i="9"/>
  <c r="L136" i="24" s="1"/>
  <c r="D138" i="9"/>
  <c r="D138" i="24" l="1"/>
  <c r="L138" i="9"/>
  <c r="L138" i="24" s="1"/>
  <c r="J132" i="1"/>
  <c r="J132" i="20" s="1"/>
  <c r="F132" i="1"/>
  <c r="F132" i="20" s="1"/>
  <c r="K132" i="1"/>
  <c r="K132" i="20" s="1"/>
  <c r="G132" i="1"/>
  <c r="G132" i="20" s="1"/>
  <c r="L131" i="1"/>
  <c r="L131" i="20" s="1"/>
  <c r="I132" i="1"/>
  <c r="I132" i="20" s="1"/>
  <c r="H132" i="1"/>
  <c r="H132" i="20" s="1"/>
  <c r="E132" i="1"/>
  <c r="E132" i="20" s="1"/>
  <c r="D132" i="1"/>
  <c r="D132" i="20" l="1"/>
  <c r="L132" i="1"/>
  <c r="L132" i="20" s="1"/>
  <c r="L130" i="1"/>
  <c r="L130" i="20" s="1"/>
  <c r="K108" i="1" l="1"/>
  <c r="K108" i="20" s="1"/>
  <c r="J108" i="1"/>
  <c r="J108" i="20" s="1"/>
  <c r="I108" i="1"/>
  <c r="I108" i="20" s="1"/>
  <c r="H108" i="1"/>
  <c r="H108" i="20" s="1"/>
  <c r="G108" i="1"/>
  <c r="G108" i="20" s="1"/>
  <c r="F108" i="1"/>
  <c r="F108" i="20" s="1"/>
  <c r="E108" i="1"/>
  <c r="E108" i="20" s="1"/>
  <c r="D108" i="1"/>
  <c r="K111" i="9"/>
  <c r="K111" i="24" s="1"/>
  <c r="J111" i="9"/>
  <c r="J111" i="24" s="1"/>
  <c r="I111" i="9"/>
  <c r="I111" i="24" s="1"/>
  <c r="H111" i="9"/>
  <c r="H111" i="24" s="1"/>
  <c r="G111" i="9"/>
  <c r="G111" i="24" s="1"/>
  <c r="F111" i="9"/>
  <c r="F111" i="24" s="1"/>
  <c r="E111" i="9"/>
  <c r="E111" i="24" s="1"/>
  <c r="D111" i="9"/>
  <c r="K174" i="11"/>
  <c r="K112" i="9" s="1"/>
  <c r="K112" i="24" s="1"/>
  <c r="J174" i="11"/>
  <c r="J112" i="9" s="1"/>
  <c r="J112" i="24" s="1"/>
  <c r="I174" i="11"/>
  <c r="I112" i="9" s="1"/>
  <c r="I112" i="24" s="1"/>
  <c r="H174" i="11"/>
  <c r="H112" i="9" s="1"/>
  <c r="H112" i="24" s="1"/>
  <c r="G174" i="11"/>
  <c r="G112" i="9" s="1"/>
  <c r="G112" i="24" s="1"/>
  <c r="F174" i="11"/>
  <c r="F112" i="9" s="1"/>
  <c r="F112" i="24" s="1"/>
  <c r="E174" i="11"/>
  <c r="E112" i="9" s="1"/>
  <c r="E112" i="24" s="1"/>
  <c r="D174" i="11"/>
  <c r="D112" i="9" s="1"/>
  <c r="D112" i="24" l="1"/>
  <c r="D111" i="24"/>
  <c r="D108" i="20"/>
  <c r="D55" i="9" l="1"/>
  <c r="K54" i="9"/>
  <c r="K54" i="24" s="1"/>
  <c r="J54" i="9"/>
  <c r="J54" i="24" s="1"/>
  <c r="I54" i="9"/>
  <c r="I54" i="24" s="1"/>
  <c r="H54" i="9"/>
  <c r="H54" i="24" s="1"/>
  <c r="G54" i="9"/>
  <c r="G54" i="24" s="1"/>
  <c r="F54" i="9"/>
  <c r="F54" i="24" s="1"/>
  <c r="E54" i="9"/>
  <c r="E54" i="24" s="1"/>
  <c r="D54" i="9"/>
  <c r="D45" i="1"/>
  <c r="K44" i="1"/>
  <c r="K44" i="20" s="1"/>
  <c r="J44" i="1"/>
  <c r="J44" i="20" s="1"/>
  <c r="I44" i="1"/>
  <c r="I44" i="20" s="1"/>
  <c r="H44" i="1"/>
  <c r="H44" i="20" s="1"/>
  <c r="G44" i="1"/>
  <c r="G44" i="20" s="1"/>
  <c r="F44" i="1"/>
  <c r="F44" i="20" s="1"/>
  <c r="E44" i="1"/>
  <c r="E44" i="20" s="1"/>
  <c r="D44" i="1"/>
  <c r="D54" i="24" l="1"/>
  <c r="D55" i="24"/>
  <c r="D44" i="20"/>
  <c r="D45" i="20"/>
  <c r="AL26" i="9" l="1"/>
  <c r="AE26" i="9"/>
  <c r="AF26" i="9"/>
  <c r="AG26" i="9"/>
  <c r="AH26" i="9"/>
  <c r="AI26" i="9"/>
  <c r="AJ26" i="9"/>
  <c r="AK26" i="9"/>
  <c r="AD26" i="9"/>
  <c r="N3" i="45" l="1"/>
  <c r="N164" i="45" s="1"/>
  <c r="D19" i="44" s="1"/>
  <c r="N3" i="42" l="1"/>
  <c r="N161" i="42" s="1"/>
  <c r="D19" i="41"/>
  <c r="N3" i="39"/>
  <c r="N164" i="39" s="1"/>
  <c r="D19" i="38" s="1"/>
  <c r="D19" i="43" s="1"/>
  <c r="N3" i="36"/>
  <c r="N161" i="36" s="1"/>
  <c r="D19" i="35"/>
  <c r="N3" i="7"/>
  <c r="N3" i="32"/>
  <c r="N164" i="32" s="1"/>
  <c r="D19" i="31" s="1"/>
  <c r="N3" i="29"/>
  <c r="N161" i="29" s="1"/>
  <c r="D19" i="28"/>
  <c r="N3" i="22"/>
  <c r="N163" i="22" s="1"/>
  <c r="D19" i="21" s="1"/>
  <c r="N3" i="19"/>
  <c r="N161" i="19" s="1"/>
  <c r="D19" i="18"/>
  <c r="N3" i="11"/>
  <c r="D19" i="40" l="1"/>
  <c r="W19" i="40" s="1"/>
  <c r="D19" i="34"/>
  <c r="W19" i="34" s="1"/>
  <c r="D19" i="33"/>
  <c r="D19" i="37"/>
  <c r="D19" i="30"/>
  <c r="W19" i="30" s="1"/>
  <c r="W10" i="9"/>
  <c r="X10" i="9"/>
  <c r="W16" i="9"/>
  <c r="X16" i="9"/>
  <c r="W18" i="9"/>
  <c r="X18" i="9"/>
  <c r="AK67" i="9"/>
  <c r="AJ67" i="9"/>
  <c r="AI67" i="9"/>
  <c r="AH67" i="9"/>
  <c r="AG67" i="9"/>
  <c r="AF67" i="9"/>
  <c r="AE67" i="9"/>
  <c r="AD67" i="9"/>
  <c r="AL67" i="9" l="1"/>
  <c r="M98" i="9"/>
  <c r="N98" i="9" s="1"/>
  <c r="M92" i="9"/>
  <c r="N92" i="9" s="1"/>
  <c r="K120" i="9"/>
  <c r="K120" i="24" s="1"/>
  <c r="J120" i="9"/>
  <c r="J120" i="24" s="1"/>
  <c r="I120" i="9"/>
  <c r="I120" i="24" s="1"/>
  <c r="H120" i="9"/>
  <c r="H120" i="24" s="1"/>
  <c r="G120" i="9"/>
  <c r="G120" i="24" s="1"/>
  <c r="F120" i="9"/>
  <c r="F120" i="24" s="1"/>
  <c r="E120" i="9"/>
  <c r="E120" i="24" s="1"/>
  <c r="D120" i="9"/>
  <c r="K119" i="9"/>
  <c r="K119" i="24" s="1"/>
  <c r="J119" i="9"/>
  <c r="J119" i="24" s="1"/>
  <c r="I119" i="9"/>
  <c r="I119" i="24" s="1"/>
  <c r="H119" i="9"/>
  <c r="H119" i="24" s="1"/>
  <c r="G119" i="9"/>
  <c r="G119" i="24" s="1"/>
  <c r="F119" i="9"/>
  <c r="F119" i="24" s="1"/>
  <c r="E119" i="9"/>
  <c r="E119" i="24" s="1"/>
  <c r="D119" i="9"/>
  <c r="K118" i="9"/>
  <c r="K118" i="24" s="1"/>
  <c r="J118" i="9"/>
  <c r="J118" i="24" s="1"/>
  <c r="I118" i="9"/>
  <c r="I118" i="24" s="1"/>
  <c r="H118" i="9"/>
  <c r="H118" i="24" s="1"/>
  <c r="G118" i="9"/>
  <c r="G118" i="24" s="1"/>
  <c r="F118" i="9"/>
  <c r="F118" i="24" s="1"/>
  <c r="E118" i="9"/>
  <c r="E118" i="24" s="1"/>
  <c r="D118" i="9"/>
  <c r="K117" i="9"/>
  <c r="K117" i="24" s="1"/>
  <c r="J117" i="9"/>
  <c r="J117" i="24" s="1"/>
  <c r="I117" i="9"/>
  <c r="I117" i="24" s="1"/>
  <c r="H117" i="9"/>
  <c r="H117" i="24" s="1"/>
  <c r="G117" i="9"/>
  <c r="G117" i="24" s="1"/>
  <c r="F117" i="9"/>
  <c r="F117" i="24" s="1"/>
  <c r="E117" i="9"/>
  <c r="E117" i="24" s="1"/>
  <c r="D117" i="9"/>
  <c r="K91" i="9"/>
  <c r="K91" i="24" s="1"/>
  <c r="J91" i="9"/>
  <c r="J91" i="24" s="1"/>
  <c r="I91" i="9"/>
  <c r="I91" i="24" s="1"/>
  <c r="H91" i="9"/>
  <c r="H91" i="24" s="1"/>
  <c r="G91" i="9"/>
  <c r="G91" i="24" s="1"/>
  <c r="F91" i="9"/>
  <c r="F91" i="24" s="1"/>
  <c r="E91" i="9"/>
  <c r="E91" i="24" s="1"/>
  <c r="D91" i="9"/>
  <c r="K89" i="9"/>
  <c r="AK31" i="9" s="1"/>
  <c r="J89" i="9"/>
  <c r="AJ31" i="9" s="1"/>
  <c r="I89" i="9"/>
  <c r="AI31" i="9" s="1"/>
  <c r="H89" i="9"/>
  <c r="AH31" i="9" s="1"/>
  <c r="G89" i="9"/>
  <c r="AG31" i="9" s="1"/>
  <c r="F89" i="9"/>
  <c r="AF31" i="9" s="1"/>
  <c r="E89" i="9"/>
  <c r="AE31" i="9" s="1"/>
  <c r="D89" i="9"/>
  <c r="K85" i="9"/>
  <c r="J85" i="9"/>
  <c r="I85" i="9"/>
  <c r="H85" i="9"/>
  <c r="G85" i="9"/>
  <c r="F85" i="9"/>
  <c r="E85" i="9"/>
  <c r="D85" i="9"/>
  <c r="K95" i="9"/>
  <c r="K95" i="24" s="1"/>
  <c r="J95" i="9"/>
  <c r="J95" i="24" s="1"/>
  <c r="I95" i="9"/>
  <c r="I95" i="24" s="1"/>
  <c r="H95" i="9"/>
  <c r="H95" i="24" s="1"/>
  <c r="G95" i="9"/>
  <c r="G95" i="24" s="1"/>
  <c r="F95" i="9"/>
  <c r="F95" i="24" s="1"/>
  <c r="E95" i="9"/>
  <c r="E95" i="24" s="1"/>
  <c r="D95" i="9"/>
  <c r="K94" i="9"/>
  <c r="J94" i="9"/>
  <c r="I94" i="9"/>
  <c r="H94" i="9"/>
  <c r="G94" i="9"/>
  <c r="F94" i="9"/>
  <c r="E94" i="9"/>
  <c r="D94" i="9"/>
  <c r="K115" i="1"/>
  <c r="K115" i="20" s="1"/>
  <c r="J115" i="1"/>
  <c r="J115" i="20" s="1"/>
  <c r="I115" i="1"/>
  <c r="I115" i="20" s="1"/>
  <c r="H115" i="1"/>
  <c r="H115" i="20" s="1"/>
  <c r="G115" i="1"/>
  <c r="G115" i="20" s="1"/>
  <c r="F115" i="1"/>
  <c r="F115" i="20" s="1"/>
  <c r="E115" i="1"/>
  <c r="E115" i="20" s="1"/>
  <c r="D115" i="1"/>
  <c r="K114" i="1"/>
  <c r="K114" i="20" s="1"/>
  <c r="J114" i="1"/>
  <c r="J114" i="20" s="1"/>
  <c r="I114" i="1"/>
  <c r="I114" i="20" s="1"/>
  <c r="H114" i="1"/>
  <c r="H114" i="20" s="1"/>
  <c r="G114" i="1"/>
  <c r="G114" i="20" s="1"/>
  <c r="F114" i="1"/>
  <c r="F114" i="20" s="1"/>
  <c r="E114" i="1"/>
  <c r="E114" i="20" s="1"/>
  <c r="D114" i="1"/>
  <c r="K113" i="1"/>
  <c r="K113" i="20" s="1"/>
  <c r="J113" i="1"/>
  <c r="J113" i="20" s="1"/>
  <c r="I113" i="1"/>
  <c r="I113" i="20" s="1"/>
  <c r="H113" i="1"/>
  <c r="H113" i="20" s="1"/>
  <c r="G113" i="1"/>
  <c r="G113" i="20" s="1"/>
  <c r="F113" i="1"/>
  <c r="F113" i="20" s="1"/>
  <c r="E113" i="1"/>
  <c r="E113" i="20" s="1"/>
  <c r="D113" i="1"/>
  <c r="K112" i="1"/>
  <c r="K112" i="20" s="1"/>
  <c r="J112" i="1"/>
  <c r="J112" i="20" s="1"/>
  <c r="I112" i="1"/>
  <c r="I112" i="20" s="1"/>
  <c r="H112" i="1"/>
  <c r="H112" i="20" s="1"/>
  <c r="G112" i="1"/>
  <c r="G112" i="20" s="1"/>
  <c r="F112" i="1"/>
  <c r="F112" i="20" s="1"/>
  <c r="E112" i="1"/>
  <c r="E112" i="20" s="1"/>
  <c r="D112" i="1"/>
  <c r="K105" i="1"/>
  <c r="J105" i="1"/>
  <c r="I105" i="1"/>
  <c r="H105" i="1"/>
  <c r="G105" i="1"/>
  <c r="F105" i="1"/>
  <c r="E105" i="1"/>
  <c r="D105" i="1"/>
  <c r="K102" i="1"/>
  <c r="K102" i="20" s="1"/>
  <c r="J102" i="1"/>
  <c r="J102" i="20" s="1"/>
  <c r="I102" i="1"/>
  <c r="I102" i="20" s="1"/>
  <c r="H102" i="1"/>
  <c r="H102" i="20" s="1"/>
  <c r="G102" i="1"/>
  <c r="G102" i="20" s="1"/>
  <c r="F102" i="1"/>
  <c r="F102" i="20" s="1"/>
  <c r="E102" i="1"/>
  <c r="E102" i="20" s="1"/>
  <c r="D102" i="1"/>
  <c r="K87" i="1"/>
  <c r="K87" i="20" s="1"/>
  <c r="J87" i="1"/>
  <c r="J87" i="20" s="1"/>
  <c r="I87" i="1"/>
  <c r="I87" i="20" s="1"/>
  <c r="H87" i="1"/>
  <c r="H87" i="20" s="1"/>
  <c r="G87" i="1"/>
  <c r="G87" i="20" s="1"/>
  <c r="F87" i="1"/>
  <c r="F87" i="20" s="1"/>
  <c r="E87" i="1"/>
  <c r="E87" i="20" s="1"/>
  <c r="D87" i="1"/>
  <c r="K84" i="1"/>
  <c r="K84" i="20" s="1"/>
  <c r="J84" i="1"/>
  <c r="J84" i="20" s="1"/>
  <c r="I84" i="1"/>
  <c r="I84" i="20" s="1"/>
  <c r="H84" i="1"/>
  <c r="H84" i="20" s="1"/>
  <c r="G84" i="1"/>
  <c r="G84" i="20" s="1"/>
  <c r="F84" i="1"/>
  <c r="F84" i="20" s="1"/>
  <c r="E84" i="1"/>
  <c r="E84" i="20" s="1"/>
  <c r="D84" i="1"/>
  <c r="K83" i="1"/>
  <c r="K83" i="20" s="1"/>
  <c r="J83" i="1"/>
  <c r="J83" i="20" s="1"/>
  <c r="I83" i="1"/>
  <c r="I83" i="20" s="1"/>
  <c r="H83" i="1"/>
  <c r="H83" i="20" s="1"/>
  <c r="G83" i="1"/>
  <c r="G83" i="20" s="1"/>
  <c r="F83" i="1"/>
  <c r="F83" i="20" s="1"/>
  <c r="E83" i="1"/>
  <c r="E83" i="20" s="1"/>
  <c r="D83" i="1"/>
  <c r="K85" i="1"/>
  <c r="K85" i="20" s="1"/>
  <c r="J85" i="1"/>
  <c r="J85" i="20" s="1"/>
  <c r="I85" i="1"/>
  <c r="I85" i="20" s="1"/>
  <c r="H85" i="1"/>
  <c r="H85" i="20" s="1"/>
  <c r="G85" i="1"/>
  <c r="G85" i="20" s="1"/>
  <c r="F85" i="1"/>
  <c r="F85" i="20" s="1"/>
  <c r="E85" i="1"/>
  <c r="E85" i="20" s="1"/>
  <c r="D85" i="1"/>
  <c r="C87" i="1"/>
  <c r="C91" i="1"/>
  <c r="C90" i="1"/>
  <c r="C89" i="1"/>
  <c r="C86" i="1"/>
  <c r="C85" i="1"/>
  <c r="C84" i="1"/>
  <c r="C83" i="1"/>
  <c r="C81" i="1"/>
  <c r="K94" i="24" l="1"/>
  <c r="E94" i="24"/>
  <c r="L36" i="9"/>
  <c r="L36" i="24" s="1"/>
  <c r="I94" i="24"/>
  <c r="G94" i="24"/>
  <c r="H94" i="24"/>
  <c r="F94" i="24"/>
  <c r="J94" i="24"/>
  <c r="AD31" i="9"/>
  <c r="L31" i="9"/>
  <c r="K85" i="24"/>
  <c r="K89" i="24"/>
  <c r="D94" i="24"/>
  <c r="D95" i="24"/>
  <c r="D85" i="24"/>
  <c r="H85" i="24"/>
  <c r="AD29" i="9"/>
  <c r="D89" i="24"/>
  <c r="H89" i="24"/>
  <c r="D91" i="24"/>
  <c r="D117" i="24"/>
  <c r="D118" i="24"/>
  <c r="D119" i="24"/>
  <c r="D120" i="24"/>
  <c r="G85" i="24"/>
  <c r="E85" i="24"/>
  <c r="I85" i="24"/>
  <c r="E89" i="24"/>
  <c r="I89" i="24"/>
  <c r="G89" i="24"/>
  <c r="F85" i="24"/>
  <c r="J85" i="24"/>
  <c r="F89" i="24"/>
  <c r="J89" i="24"/>
  <c r="D85" i="20"/>
  <c r="D83" i="20"/>
  <c r="D84" i="20"/>
  <c r="D87" i="20"/>
  <c r="D102" i="20"/>
  <c r="D112" i="20"/>
  <c r="D113" i="20"/>
  <c r="D114" i="20"/>
  <c r="D115" i="20"/>
  <c r="G106" i="1"/>
  <c r="G106" i="20" s="1"/>
  <c r="G105" i="20"/>
  <c r="K106" i="1"/>
  <c r="K106" i="20" s="1"/>
  <c r="K105" i="20"/>
  <c r="H106" i="1"/>
  <c r="H106" i="20" s="1"/>
  <c r="H105" i="20"/>
  <c r="E106" i="1"/>
  <c r="E106" i="20" s="1"/>
  <c r="E105" i="20"/>
  <c r="I106" i="1"/>
  <c r="I106" i="20" s="1"/>
  <c r="I105" i="20"/>
  <c r="D106" i="1"/>
  <c r="D105" i="20"/>
  <c r="F106" i="1"/>
  <c r="F106" i="20" s="1"/>
  <c r="F105" i="20"/>
  <c r="J106" i="1"/>
  <c r="J106" i="20" s="1"/>
  <c r="J105" i="20"/>
  <c r="F96" i="9"/>
  <c r="F96" i="24" s="1"/>
  <c r="F127" i="9"/>
  <c r="F143" i="27" s="1"/>
  <c r="J96" i="9"/>
  <c r="J96" i="24" s="1"/>
  <c r="J127" i="9"/>
  <c r="J143" i="27" s="1"/>
  <c r="F93" i="9"/>
  <c r="F126" i="9"/>
  <c r="J93" i="9"/>
  <c r="J126" i="9"/>
  <c r="E96" i="9"/>
  <c r="E96" i="24" s="1"/>
  <c r="E127" i="9"/>
  <c r="E143" i="27" s="1"/>
  <c r="I96" i="9"/>
  <c r="I96" i="24" s="1"/>
  <c r="I127" i="9"/>
  <c r="I143" i="27" s="1"/>
  <c r="E93" i="9"/>
  <c r="AE35" i="9" s="1"/>
  <c r="E126" i="9"/>
  <c r="I93" i="9"/>
  <c r="I126" i="9"/>
  <c r="D96" i="9"/>
  <c r="D127" i="9"/>
  <c r="H96" i="9"/>
  <c r="H96" i="24" s="1"/>
  <c r="H127" i="9"/>
  <c r="H143" i="27" s="1"/>
  <c r="D93" i="9"/>
  <c r="D126" i="9"/>
  <c r="H93" i="9"/>
  <c r="AH35" i="9" s="1"/>
  <c r="H126" i="9"/>
  <c r="G96" i="9"/>
  <c r="G96" i="24" s="1"/>
  <c r="G127" i="9"/>
  <c r="G143" i="27" s="1"/>
  <c r="K96" i="9"/>
  <c r="K96" i="24" s="1"/>
  <c r="K127" i="9"/>
  <c r="K143" i="27" s="1"/>
  <c r="G93" i="9"/>
  <c r="G126" i="9"/>
  <c r="G142" i="27" s="1"/>
  <c r="K93" i="9"/>
  <c r="K126" i="9"/>
  <c r="K142" i="27" s="1"/>
  <c r="D90" i="1"/>
  <c r="D121" i="1"/>
  <c r="D153" i="26" s="1"/>
  <c r="L153" i="26" s="1"/>
  <c r="H90" i="1"/>
  <c r="H90" i="20" s="1"/>
  <c r="H121" i="1"/>
  <c r="D89" i="1"/>
  <c r="D120" i="1"/>
  <c r="D152" i="26" s="1"/>
  <c r="L152" i="26" s="1"/>
  <c r="H89" i="1"/>
  <c r="H120" i="1"/>
  <c r="H126" i="1" s="1"/>
  <c r="G90" i="1"/>
  <c r="G90" i="20" s="1"/>
  <c r="G121" i="1"/>
  <c r="K90" i="1"/>
  <c r="K90" i="20" s="1"/>
  <c r="K121" i="1"/>
  <c r="G89" i="1"/>
  <c r="G120" i="1"/>
  <c r="G126" i="1" s="1"/>
  <c r="K89" i="1"/>
  <c r="K120" i="1"/>
  <c r="K126" i="1" s="1"/>
  <c r="F90" i="1"/>
  <c r="F90" i="20" s="1"/>
  <c r="F121" i="1"/>
  <c r="J90" i="1"/>
  <c r="J90" i="20" s="1"/>
  <c r="J121" i="1"/>
  <c r="F89" i="1"/>
  <c r="F120" i="1"/>
  <c r="J89" i="1"/>
  <c r="J120" i="1"/>
  <c r="E90" i="1"/>
  <c r="E90" i="20" s="1"/>
  <c r="E121" i="1"/>
  <c r="I90" i="1"/>
  <c r="I90" i="20" s="1"/>
  <c r="I121" i="1"/>
  <c r="E89" i="1"/>
  <c r="E120" i="1"/>
  <c r="E126" i="1" s="1"/>
  <c r="I89" i="1"/>
  <c r="I120" i="1"/>
  <c r="AE27" i="9"/>
  <c r="L94" i="9"/>
  <c r="L94" i="24" s="1"/>
  <c r="L95" i="9"/>
  <c r="L95" i="24" s="1"/>
  <c r="L91" i="9"/>
  <c r="L91" i="24" s="1"/>
  <c r="L83" i="1"/>
  <c r="L87" i="1"/>
  <c r="L89" i="9"/>
  <c r="L89" i="24" s="1"/>
  <c r="L85" i="9"/>
  <c r="L85" i="24" s="1"/>
  <c r="L85" i="1"/>
  <c r="L84" i="1"/>
  <c r="K144" i="27" l="1"/>
  <c r="K145" i="27" s="1"/>
  <c r="G144" i="27"/>
  <c r="G145" i="27" s="1"/>
  <c r="H132" i="9"/>
  <c r="H132" i="24" s="1"/>
  <c r="H142" i="27"/>
  <c r="H144" i="27" s="1"/>
  <c r="H145" i="27" s="1"/>
  <c r="I132" i="9"/>
  <c r="I132" i="24" s="1"/>
  <c r="I142" i="27"/>
  <c r="I144" i="27" s="1"/>
  <c r="I145" i="27" s="1"/>
  <c r="J132" i="9"/>
  <c r="J132" i="24" s="1"/>
  <c r="J142" i="27"/>
  <c r="J144" i="27" s="1"/>
  <c r="J145" i="27" s="1"/>
  <c r="D132" i="9"/>
  <c r="D132" i="24" s="1"/>
  <c r="D142" i="27"/>
  <c r="D133" i="9"/>
  <c r="D133" i="24" s="1"/>
  <c r="D143" i="27"/>
  <c r="E132" i="9"/>
  <c r="E132" i="24" s="1"/>
  <c r="E142" i="27"/>
  <c r="E144" i="27" s="1"/>
  <c r="E145" i="27" s="1"/>
  <c r="F132" i="9"/>
  <c r="F132" i="24" s="1"/>
  <c r="F142" i="27"/>
  <c r="F144" i="27" s="1"/>
  <c r="F145" i="27" s="1"/>
  <c r="L85" i="20"/>
  <c r="E7" i="1"/>
  <c r="L83" i="20"/>
  <c r="E5" i="1"/>
  <c r="D91" i="1"/>
  <c r="D91" i="20" s="1"/>
  <c r="L84" i="20"/>
  <c r="E6" i="1"/>
  <c r="L87" i="20"/>
  <c r="E10" i="1"/>
  <c r="K126" i="24"/>
  <c r="K132" i="9"/>
  <c r="K127" i="24"/>
  <c r="K133" i="9"/>
  <c r="K133" i="24" s="1"/>
  <c r="H127" i="24"/>
  <c r="H133" i="9"/>
  <c r="I127" i="24"/>
  <c r="I133" i="9"/>
  <c r="I133" i="24" s="1"/>
  <c r="J127" i="24"/>
  <c r="J133" i="9"/>
  <c r="G126" i="24"/>
  <c r="G132" i="9"/>
  <c r="G132" i="24" s="1"/>
  <c r="G127" i="24"/>
  <c r="G133" i="9"/>
  <c r="G133" i="24" s="1"/>
  <c r="E127" i="24"/>
  <c r="E133" i="9"/>
  <c r="F127" i="24"/>
  <c r="F133" i="9"/>
  <c r="AL31" i="9"/>
  <c r="L31" i="24"/>
  <c r="AL31" i="24" s="1"/>
  <c r="AG34" i="9"/>
  <c r="AG35" i="9"/>
  <c r="AK33" i="9"/>
  <c r="AK35" i="9"/>
  <c r="AI33" i="9"/>
  <c r="AI35" i="9"/>
  <c r="AJ33" i="9"/>
  <c r="AJ35" i="9"/>
  <c r="AD33" i="9"/>
  <c r="AF34" i="9"/>
  <c r="AF35" i="9"/>
  <c r="AK34" i="9"/>
  <c r="AI34" i="9"/>
  <c r="AJ34" i="9"/>
  <c r="AG33" i="9"/>
  <c r="AD34" i="9"/>
  <c r="E93" i="24"/>
  <c r="AF33" i="9"/>
  <c r="H93" i="24"/>
  <c r="E121" i="20"/>
  <c r="E127" i="1"/>
  <c r="E127" i="20" s="1"/>
  <c r="G126" i="20"/>
  <c r="D126" i="1"/>
  <c r="I120" i="20"/>
  <c r="I126" i="1"/>
  <c r="I121" i="20"/>
  <c r="I127" i="1"/>
  <c r="I127" i="20" s="1"/>
  <c r="J120" i="20"/>
  <c r="J126" i="1"/>
  <c r="J121" i="20"/>
  <c r="J127" i="1"/>
  <c r="J127" i="20" s="1"/>
  <c r="K126" i="20"/>
  <c r="K121" i="20"/>
  <c r="K127" i="1"/>
  <c r="K127" i="20" s="1"/>
  <c r="H126" i="20"/>
  <c r="H121" i="20"/>
  <c r="H127" i="1"/>
  <c r="H127" i="20" s="1"/>
  <c r="E126" i="20"/>
  <c r="F120" i="20"/>
  <c r="F126" i="1"/>
  <c r="F121" i="20"/>
  <c r="F127" i="1"/>
  <c r="F127" i="20" s="1"/>
  <c r="G121" i="20"/>
  <c r="G127" i="1"/>
  <c r="G127" i="20" s="1"/>
  <c r="D127" i="1"/>
  <c r="AE29" i="9"/>
  <c r="AG29" i="9"/>
  <c r="AF29" i="9"/>
  <c r="AK29" i="9"/>
  <c r="AF30" i="9"/>
  <c r="AK30" i="9"/>
  <c r="L29" i="9"/>
  <c r="L29" i="24" s="1"/>
  <c r="AL29" i="24" s="1"/>
  <c r="AH29" i="9"/>
  <c r="AI29" i="9"/>
  <c r="AJ29" i="9"/>
  <c r="H128" i="9"/>
  <c r="H128" i="24" s="1"/>
  <c r="H126" i="24"/>
  <c r="AH27" i="9"/>
  <c r="K97" i="9"/>
  <c r="K93" i="24"/>
  <c r="I97" i="9"/>
  <c r="I93" i="24"/>
  <c r="J97" i="9"/>
  <c r="J93" i="24"/>
  <c r="AJ27" i="9"/>
  <c r="I128" i="9"/>
  <c r="I128" i="24" s="1"/>
  <c r="I126" i="24"/>
  <c r="J128" i="9"/>
  <c r="J128" i="24" s="1"/>
  <c r="J126" i="24"/>
  <c r="AD30" i="9"/>
  <c r="L27" i="9"/>
  <c r="L27" i="24" s="1"/>
  <c r="AL27" i="24" s="1"/>
  <c r="E97" i="9"/>
  <c r="D126" i="24"/>
  <c r="D127" i="24"/>
  <c r="E128" i="9"/>
  <c r="E128" i="24" s="1"/>
  <c r="E126" i="24"/>
  <c r="F128" i="9"/>
  <c r="F128" i="24" s="1"/>
  <c r="F126" i="24"/>
  <c r="G97" i="9"/>
  <c r="G93" i="24"/>
  <c r="D97" i="9"/>
  <c r="D93" i="24"/>
  <c r="D96" i="24"/>
  <c r="F97" i="9"/>
  <c r="F93" i="24"/>
  <c r="AF27" i="9"/>
  <c r="AI27" i="9"/>
  <c r="AG27" i="9"/>
  <c r="AD27" i="9"/>
  <c r="L30" i="27"/>
  <c r="AK27" i="9"/>
  <c r="D120" i="20"/>
  <c r="D121" i="20"/>
  <c r="D89" i="20"/>
  <c r="D90" i="20"/>
  <c r="D106" i="20"/>
  <c r="H122" i="1"/>
  <c r="H120" i="20"/>
  <c r="I91" i="1"/>
  <c r="I91" i="20" s="1"/>
  <c r="I89" i="20"/>
  <c r="J91" i="1"/>
  <c r="J91" i="20" s="1"/>
  <c r="J89" i="20"/>
  <c r="K91" i="1"/>
  <c r="K91" i="20" s="1"/>
  <c r="K89" i="20"/>
  <c r="H91" i="1"/>
  <c r="H91" i="20" s="1"/>
  <c r="H89" i="20"/>
  <c r="G122" i="1"/>
  <c r="G120" i="20"/>
  <c r="K122" i="1"/>
  <c r="K120" i="20"/>
  <c r="E122" i="1"/>
  <c r="E120" i="20"/>
  <c r="E91" i="1"/>
  <c r="E91" i="20" s="1"/>
  <c r="E89" i="20"/>
  <c r="F91" i="1"/>
  <c r="F91" i="20" s="1"/>
  <c r="F89" i="20"/>
  <c r="G91" i="1"/>
  <c r="G91" i="20" s="1"/>
  <c r="G89" i="20"/>
  <c r="H97" i="9"/>
  <c r="L90" i="1"/>
  <c r="I122" i="1"/>
  <c r="L96" i="9"/>
  <c r="L96" i="24" s="1"/>
  <c r="L89" i="1"/>
  <c r="L93" i="9"/>
  <c r="L93" i="24" s="1"/>
  <c r="L126" i="9"/>
  <c r="D128" i="9"/>
  <c r="G128" i="9"/>
  <c r="G128" i="24" s="1"/>
  <c r="L127" i="9"/>
  <c r="K128" i="9"/>
  <c r="K128" i="24" s="1"/>
  <c r="D122" i="1"/>
  <c r="D154" i="26" s="1"/>
  <c r="D155" i="26" s="1"/>
  <c r="L120" i="1"/>
  <c r="L120" i="20" s="1"/>
  <c r="F122" i="1"/>
  <c r="L121" i="1"/>
  <c r="L121" i="20" s="1"/>
  <c r="J122" i="1"/>
  <c r="L13" i="7"/>
  <c r="D134" i="9" l="1"/>
  <c r="K122" i="20"/>
  <c r="K154" i="26"/>
  <c r="K155" i="26" s="1"/>
  <c r="F122" i="20"/>
  <c r="F154" i="26"/>
  <c r="F155" i="26" s="1"/>
  <c r="E122" i="20"/>
  <c r="E154" i="26"/>
  <c r="E155" i="26" s="1"/>
  <c r="G122" i="20"/>
  <c r="G154" i="26"/>
  <c r="G155" i="26" s="1"/>
  <c r="I122" i="20"/>
  <c r="I154" i="26"/>
  <c r="I155" i="26" s="1"/>
  <c r="J122" i="20"/>
  <c r="J154" i="26"/>
  <c r="J155" i="26" s="1"/>
  <c r="H122" i="20"/>
  <c r="H154" i="26"/>
  <c r="H155" i="26" s="1"/>
  <c r="D144" i="27"/>
  <c r="D145" i="27" s="1"/>
  <c r="L127" i="24"/>
  <c r="L143" i="27"/>
  <c r="L126" i="24"/>
  <c r="L142" i="27"/>
  <c r="L90" i="20"/>
  <c r="E13" i="1"/>
  <c r="L89" i="20"/>
  <c r="E12" i="1"/>
  <c r="D134" i="24"/>
  <c r="J134" i="9"/>
  <c r="J134" i="24" s="1"/>
  <c r="J133" i="24"/>
  <c r="I134" i="9"/>
  <c r="I134" i="24" s="1"/>
  <c r="L133" i="9"/>
  <c r="L133" i="24" s="1"/>
  <c r="F133" i="24"/>
  <c r="E134" i="9"/>
  <c r="E134" i="24" s="1"/>
  <c r="E133" i="24"/>
  <c r="H134" i="9"/>
  <c r="H134" i="24" s="1"/>
  <c r="H133" i="24"/>
  <c r="L132" i="9"/>
  <c r="L132" i="24" s="1"/>
  <c r="K132" i="24"/>
  <c r="K134" i="9"/>
  <c r="K134" i="24" s="1"/>
  <c r="F134" i="9"/>
  <c r="G134" i="9"/>
  <c r="G134" i="24" s="1"/>
  <c r="F97" i="24"/>
  <c r="J97" i="24"/>
  <c r="K97" i="24"/>
  <c r="AD38" i="9"/>
  <c r="AD37" i="9"/>
  <c r="AJ30" i="9"/>
  <c r="L33" i="9"/>
  <c r="E97" i="24"/>
  <c r="I97" i="24"/>
  <c r="AD35" i="9"/>
  <c r="L35" i="9"/>
  <c r="H97" i="24"/>
  <c r="G97" i="24"/>
  <c r="AH34" i="9"/>
  <c r="AH33" i="9"/>
  <c r="AE33" i="9"/>
  <c r="AE34" i="9"/>
  <c r="F126" i="20"/>
  <c r="F128" i="1"/>
  <c r="F128" i="20" s="1"/>
  <c r="D126" i="20"/>
  <c r="D128" i="1"/>
  <c r="L126" i="1"/>
  <c r="L126" i="20" s="1"/>
  <c r="D127" i="20"/>
  <c r="L127" i="1"/>
  <c r="L127" i="20" s="1"/>
  <c r="E128" i="1"/>
  <c r="E128" i="20" s="1"/>
  <c r="H128" i="1"/>
  <c r="H128" i="20" s="1"/>
  <c r="K128" i="1"/>
  <c r="K128" i="20" s="1"/>
  <c r="J128" i="1"/>
  <c r="J128" i="20" s="1"/>
  <c r="J126" i="20"/>
  <c r="I128" i="1"/>
  <c r="I128" i="20" s="1"/>
  <c r="I126" i="20"/>
  <c r="G128" i="1"/>
  <c r="G128" i="20" s="1"/>
  <c r="AI30" i="9"/>
  <c r="AG30" i="9"/>
  <c r="AE30" i="9"/>
  <c r="AL29" i="9"/>
  <c r="L97" i="9"/>
  <c r="L97" i="24" s="1"/>
  <c r="AL27" i="9"/>
  <c r="D97" i="24"/>
  <c r="D128" i="24"/>
  <c r="AH30" i="9"/>
  <c r="D122" i="20"/>
  <c r="L91" i="1"/>
  <c r="L91" i="20" s="1"/>
  <c r="L128" i="9"/>
  <c r="L128" i="24" s="1"/>
  <c r="L122" i="1"/>
  <c r="L122" i="20" s="1"/>
  <c r="L12" i="7"/>
  <c r="E15" i="1" l="1"/>
  <c r="L154" i="26"/>
  <c r="L155" i="26" s="1"/>
  <c r="L144" i="27"/>
  <c r="L145" i="27" s="1"/>
  <c r="L134" i="9"/>
  <c r="L134" i="24" s="1"/>
  <c r="F134" i="24"/>
  <c r="AL35" i="9"/>
  <c r="L35" i="24"/>
  <c r="AL35" i="24" s="1"/>
  <c r="AL34" i="9"/>
  <c r="L33" i="24"/>
  <c r="AL33" i="24" s="1"/>
  <c r="AL33" i="9"/>
  <c r="AG38" i="9"/>
  <c r="AG37" i="9"/>
  <c r="AE37" i="9"/>
  <c r="AE38" i="9"/>
  <c r="L37" i="9"/>
  <c r="L37" i="24" s="1"/>
  <c r="AL37" i="24" s="1"/>
  <c r="AJ38" i="9"/>
  <c r="AJ37" i="9"/>
  <c r="AH38" i="9"/>
  <c r="AH37" i="9"/>
  <c r="AI37" i="9"/>
  <c r="AI38" i="9"/>
  <c r="AK38" i="9"/>
  <c r="AK37" i="9"/>
  <c r="AF38" i="9"/>
  <c r="AF37" i="9"/>
  <c r="D128" i="20"/>
  <c r="L128" i="1"/>
  <c r="L128" i="20" s="1"/>
  <c r="AL30" i="9"/>
  <c r="L13" i="11"/>
  <c r="E13" i="9" s="1"/>
  <c r="E13" i="24" s="1"/>
  <c r="L12" i="11"/>
  <c r="K79" i="9"/>
  <c r="J79" i="9"/>
  <c r="I79" i="9"/>
  <c r="H79" i="9"/>
  <c r="G79" i="9"/>
  <c r="F79" i="9"/>
  <c r="E79" i="9"/>
  <c r="D79" i="9"/>
  <c r="K66" i="9"/>
  <c r="J66" i="9"/>
  <c r="I66" i="9"/>
  <c r="H66" i="9"/>
  <c r="G66" i="9"/>
  <c r="F66" i="9"/>
  <c r="E66" i="9"/>
  <c r="D66" i="9"/>
  <c r="K62" i="9"/>
  <c r="J62" i="9"/>
  <c r="I62" i="9"/>
  <c r="H62" i="9"/>
  <c r="G62" i="9"/>
  <c r="F62" i="9"/>
  <c r="E62" i="9"/>
  <c r="D62" i="9"/>
  <c r="AL38" i="9" l="1"/>
  <c r="AL37" i="9"/>
  <c r="AH66" i="9"/>
  <c r="H66" i="24"/>
  <c r="AG62" i="9"/>
  <c r="G62" i="24"/>
  <c r="AK62" i="9"/>
  <c r="K62" i="24"/>
  <c r="AK66" i="9"/>
  <c r="K66" i="24"/>
  <c r="AG79" i="9"/>
  <c r="G79" i="24"/>
  <c r="AD62" i="9"/>
  <c r="D62" i="24"/>
  <c r="AD66" i="9"/>
  <c r="D64" i="27"/>
  <c r="D65" i="27" s="1"/>
  <c r="D66" i="24"/>
  <c r="AH79" i="9"/>
  <c r="H79" i="24"/>
  <c r="AI62" i="9"/>
  <c r="I62" i="24"/>
  <c r="AE66" i="9"/>
  <c r="E66" i="24"/>
  <c r="AI66" i="9"/>
  <c r="I66" i="24"/>
  <c r="AE79" i="9"/>
  <c r="E79" i="24"/>
  <c r="AI79" i="9"/>
  <c r="I79" i="24"/>
  <c r="AG66" i="9"/>
  <c r="G66" i="24"/>
  <c r="AK79" i="9"/>
  <c r="K79" i="24"/>
  <c r="AH62" i="9"/>
  <c r="H62" i="24"/>
  <c r="AD79" i="9"/>
  <c r="D79" i="24"/>
  <c r="AE62" i="9"/>
  <c r="E62" i="24"/>
  <c r="AF62" i="9"/>
  <c r="F62" i="24"/>
  <c r="AJ62" i="9"/>
  <c r="J62" i="24"/>
  <c r="AF66" i="9"/>
  <c r="F66" i="24"/>
  <c r="AJ66" i="9"/>
  <c r="J66" i="24"/>
  <c r="AF79" i="9"/>
  <c r="F79" i="24"/>
  <c r="AJ79" i="9"/>
  <c r="J79" i="24"/>
  <c r="X13" i="9"/>
  <c r="M95" i="9"/>
  <c r="AL62" i="9" l="1"/>
  <c r="AL66" i="9"/>
  <c r="AL79" i="9"/>
  <c r="N95" i="9"/>
  <c r="N95" i="24" s="1"/>
  <c r="M95" i="24"/>
  <c r="G9" i="11"/>
  <c r="K9" i="11"/>
  <c r="E9" i="11"/>
  <c r="F9" i="11"/>
  <c r="I9" i="11"/>
  <c r="J9" i="11"/>
  <c r="E12" i="9"/>
  <c r="L26" i="11"/>
  <c r="B136" i="11"/>
  <c r="B137" i="11"/>
  <c r="B138" i="11"/>
  <c r="D143" i="11"/>
  <c r="E143" i="11"/>
  <c r="E145" i="11" s="1"/>
  <c r="E72" i="9" s="1"/>
  <c r="F143" i="11"/>
  <c r="F145" i="11" s="1"/>
  <c r="F72" i="9" s="1"/>
  <c r="G143" i="11"/>
  <c r="G145" i="11" s="1"/>
  <c r="G72" i="9" s="1"/>
  <c r="H143" i="11"/>
  <c r="H145" i="11" s="1"/>
  <c r="H72" i="9" s="1"/>
  <c r="I143" i="11"/>
  <c r="I145" i="11" s="1"/>
  <c r="J143" i="11"/>
  <c r="J145" i="11" s="1"/>
  <c r="J72" i="9" s="1"/>
  <c r="K143" i="11"/>
  <c r="K145" i="11" s="1"/>
  <c r="K72" i="9" s="1"/>
  <c r="D145" i="11"/>
  <c r="D72" i="9" s="1"/>
  <c r="D153" i="11"/>
  <c r="D77" i="9" s="1"/>
  <c r="E153" i="11"/>
  <c r="E77" i="9" s="1"/>
  <c r="F153" i="11"/>
  <c r="F77" i="9" s="1"/>
  <c r="G153" i="11"/>
  <c r="G77" i="9" s="1"/>
  <c r="H153" i="11"/>
  <c r="H77" i="9" s="1"/>
  <c r="I153" i="11"/>
  <c r="I77" i="9" s="1"/>
  <c r="J153" i="11"/>
  <c r="J77" i="9" s="1"/>
  <c r="K153" i="11"/>
  <c r="K77" i="9" s="1"/>
  <c r="AG72" i="9" l="1"/>
  <c r="G72" i="24"/>
  <c r="X12" i="9"/>
  <c r="E12" i="24"/>
  <c r="AJ72" i="9"/>
  <c r="J72" i="24"/>
  <c r="AF72" i="9"/>
  <c r="F72" i="24"/>
  <c r="AK72" i="9"/>
  <c r="K72" i="24"/>
  <c r="AE72" i="9"/>
  <c r="E72" i="24"/>
  <c r="AD72" i="9"/>
  <c r="D72" i="24"/>
  <c r="AH72" i="9"/>
  <c r="H72" i="24"/>
  <c r="AI77" i="9"/>
  <c r="I77" i="24"/>
  <c r="AE77" i="9"/>
  <c r="E77" i="24"/>
  <c r="AH77" i="9"/>
  <c r="H77" i="24"/>
  <c r="AK77" i="9"/>
  <c r="K77" i="24"/>
  <c r="AG77" i="9"/>
  <c r="G77" i="24"/>
  <c r="AJ77" i="9"/>
  <c r="J77" i="24"/>
  <c r="AF77" i="9"/>
  <c r="F77" i="24"/>
  <c r="AD77" i="9"/>
  <c r="D77" i="24"/>
  <c r="E9" i="9"/>
  <c r="M91" i="9" s="1"/>
  <c r="M94" i="9"/>
  <c r="E150" i="11"/>
  <c r="F150" i="11"/>
  <c r="I72" i="9"/>
  <c r="I150" i="11"/>
  <c r="L17" i="11"/>
  <c r="E7" i="9" s="1"/>
  <c r="J150" i="11"/>
  <c r="K150" i="11"/>
  <c r="G150" i="11"/>
  <c r="H150" i="11"/>
  <c r="D150" i="11"/>
  <c r="L15" i="11"/>
  <c r="E3" i="9" s="1"/>
  <c r="E3" i="24" s="1"/>
  <c r="L7" i="11"/>
  <c r="E14" i="9" s="1"/>
  <c r="E14" i="24" s="1"/>
  <c r="H9" i="11"/>
  <c r="D9" i="11"/>
  <c r="L8" i="11"/>
  <c r="E11" i="9" s="1"/>
  <c r="E11" i="24" s="1"/>
  <c r="N91" i="9" l="1"/>
  <c r="N91" i="24" s="1"/>
  <c r="M91" i="24"/>
  <c r="X9" i="9"/>
  <c r="E9" i="24"/>
  <c r="AI72" i="9"/>
  <c r="AL72" i="9" s="1"/>
  <c r="I72" i="24"/>
  <c r="N94" i="9"/>
  <c r="N94" i="24" s="1"/>
  <c r="M94" i="24"/>
  <c r="AL77" i="9"/>
  <c r="X7" i="9"/>
  <c r="E7" i="24"/>
  <c r="X14" i="9"/>
  <c r="N127" i="9"/>
  <c r="N127" i="24" s="1"/>
  <c r="X11" i="9"/>
  <c r="N126" i="9"/>
  <c r="N126" i="24" s="1"/>
  <c r="X3" i="9"/>
  <c r="M85" i="9"/>
  <c r="M89" i="9"/>
  <c r="M96" i="9"/>
  <c r="M93" i="9"/>
  <c r="E15" i="9"/>
  <c r="L9" i="11"/>
  <c r="H2" i="9"/>
  <c r="H2" i="1"/>
  <c r="N85" i="9" l="1"/>
  <c r="N85" i="24" s="1"/>
  <c r="M85" i="24"/>
  <c r="X15" i="9"/>
  <c r="E15" i="24"/>
  <c r="N93" i="9"/>
  <c r="N93" i="24" s="1"/>
  <c r="M93" i="24"/>
  <c r="N96" i="9"/>
  <c r="N96" i="24" s="1"/>
  <c r="M96" i="24"/>
  <c r="N89" i="9"/>
  <c r="N89" i="24" s="1"/>
  <c r="M89" i="24"/>
  <c r="M97" i="9"/>
  <c r="U2" i="45"/>
  <c r="D12" i="10"/>
  <c r="E12" i="10" s="1"/>
  <c r="F12" i="10" s="1"/>
  <c r="G12" i="10" s="1"/>
  <c r="H12" i="10" s="1"/>
  <c r="I12" i="10" s="1"/>
  <c r="J12" i="10" s="1"/>
  <c r="K12" i="10" s="1"/>
  <c r="L12" i="10" s="1"/>
  <c r="L2" i="10"/>
  <c r="K2" i="10"/>
  <c r="J2" i="10"/>
  <c r="I2" i="10"/>
  <c r="H2" i="10"/>
  <c r="F2" i="10"/>
  <c r="E2" i="10"/>
  <c r="O1" i="55" s="1"/>
  <c r="O1" i="56" l="1"/>
  <c r="O37" i="56" s="1"/>
  <c r="P1" i="55"/>
  <c r="T1" i="56"/>
  <c r="U1" i="55"/>
  <c r="O36" i="55"/>
  <c r="O13" i="55"/>
  <c r="O27" i="55"/>
  <c r="O43" i="55"/>
  <c r="O16" i="55"/>
  <c r="O47" i="55"/>
  <c r="O8" i="55"/>
  <c r="O18" i="55"/>
  <c r="O37" i="55"/>
  <c r="O42" i="55"/>
  <c r="O12" i="55"/>
  <c r="O41" i="55"/>
  <c r="O31" i="55"/>
  <c r="O32" i="55"/>
  <c r="O46" i="55"/>
  <c r="O7" i="55"/>
  <c r="O17" i="55"/>
  <c r="O48" i="55"/>
  <c r="O21" i="55"/>
  <c r="O22" i="55"/>
  <c r="O155" i="55"/>
  <c r="O181" i="55"/>
  <c r="O158" i="55"/>
  <c r="O182" i="55"/>
  <c r="Q1" i="56"/>
  <c r="Q13" i="56" s="1"/>
  <c r="R1" i="55"/>
  <c r="U1" i="56"/>
  <c r="V1" i="55"/>
  <c r="S1" i="56"/>
  <c r="S18" i="56" s="1"/>
  <c r="T1" i="55"/>
  <c r="R1" i="56"/>
  <c r="S1" i="55"/>
  <c r="N1" i="49"/>
  <c r="N7" i="49" s="1"/>
  <c r="N1" i="56"/>
  <c r="T13" i="56"/>
  <c r="T39" i="56"/>
  <c r="T7" i="56"/>
  <c r="T32" i="56"/>
  <c r="T40" i="56"/>
  <c r="T41" i="56"/>
  <c r="T12" i="56"/>
  <c r="T45" i="56"/>
  <c r="T44" i="56"/>
  <c r="T21" i="56"/>
  <c r="T17" i="56"/>
  <c r="T22" i="56"/>
  <c r="T37" i="56"/>
  <c r="T27" i="56"/>
  <c r="T31" i="56"/>
  <c r="T18" i="56"/>
  <c r="T8" i="56"/>
  <c r="T36" i="56"/>
  <c r="T16" i="56"/>
  <c r="T131" i="56"/>
  <c r="T134" i="56"/>
  <c r="T159" i="56"/>
  <c r="T160" i="56"/>
  <c r="S7" i="56"/>
  <c r="S8" i="56"/>
  <c r="S45" i="56"/>
  <c r="S41" i="56"/>
  <c r="S27" i="56"/>
  <c r="S159" i="56"/>
  <c r="Q27" i="56"/>
  <c r="Q8" i="56"/>
  <c r="Q31" i="56"/>
  <c r="Q21" i="56"/>
  <c r="Q16" i="56"/>
  <c r="Q134" i="56"/>
  <c r="U32" i="56"/>
  <c r="U131" i="56"/>
  <c r="U44" i="56"/>
  <c r="U16" i="56"/>
  <c r="U31" i="56"/>
  <c r="U33" i="56" s="1"/>
  <c r="U21" i="56"/>
  <c r="U18" i="56"/>
  <c r="U39" i="56"/>
  <c r="U13" i="56"/>
  <c r="U22" i="56"/>
  <c r="U37" i="56"/>
  <c r="U8" i="56"/>
  <c r="U17" i="56"/>
  <c r="U41" i="56"/>
  <c r="U12" i="56"/>
  <c r="U40" i="56"/>
  <c r="U7" i="56"/>
  <c r="U36" i="56"/>
  <c r="U45" i="56"/>
  <c r="U27" i="56"/>
  <c r="U159" i="56"/>
  <c r="U134" i="56"/>
  <c r="U160" i="56"/>
  <c r="R36" i="56"/>
  <c r="R22" i="56"/>
  <c r="R131" i="56"/>
  <c r="R12" i="56"/>
  <c r="R8" i="56"/>
  <c r="R27" i="56"/>
  <c r="R18" i="56"/>
  <c r="R16" i="56"/>
  <c r="R41" i="56"/>
  <c r="R21" i="56"/>
  <c r="R39" i="56"/>
  <c r="R32" i="56"/>
  <c r="R13" i="56"/>
  <c r="R44" i="56"/>
  <c r="R31" i="56"/>
  <c r="R17" i="56"/>
  <c r="R7" i="56"/>
  <c r="R9" i="56" s="1"/>
  <c r="R37" i="56"/>
  <c r="R45" i="56"/>
  <c r="R40" i="56"/>
  <c r="R134" i="56"/>
  <c r="R159" i="56"/>
  <c r="R160" i="56"/>
  <c r="T1" i="47"/>
  <c r="T31" i="47" s="1"/>
  <c r="T1" i="49"/>
  <c r="U1" i="47"/>
  <c r="U31" i="47" s="1"/>
  <c r="U1" i="49"/>
  <c r="S1" i="47"/>
  <c r="S12" i="47" s="1"/>
  <c r="S1" i="49"/>
  <c r="O1" i="47"/>
  <c r="O16" i="47" s="1"/>
  <c r="O1" i="49"/>
  <c r="Q1" i="47"/>
  <c r="Q38" i="47" s="1"/>
  <c r="Q1" i="49"/>
  <c r="R1" i="47"/>
  <c r="R21" i="47" s="1"/>
  <c r="R1" i="49"/>
  <c r="N13" i="49"/>
  <c r="N26" i="49"/>
  <c r="N20" i="49"/>
  <c r="N36" i="49"/>
  <c r="N161" i="49"/>
  <c r="S130" i="47"/>
  <c r="T35" i="47"/>
  <c r="U44" i="47"/>
  <c r="Q15" i="47"/>
  <c r="N1" i="47"/>
  <c r="G2" i="10"/>
  <c r="Q2" i="42"/>
  <c r="Q161" i="42" s="1"/>
  <c r="Q2" i="45"/>
  <c r="U164" i="45"/>
  <c r="U165" i="45"/>
  <c r="D20" i="44" s="1"/>
  <c r="T1" i="42"/>
  <c r="T16" i="42" s="1"/>
  <c r="T1" i="45"/>
  <c r="Q1" i="42"/>
  <c r="Q40" i="42" s="1"/>
  <c r="Q1" i="45"/>
  <c r="U1" i="42"/>
  <c r="U12" i="42" s="1"/>
  <c r="U1" i="45"/>
  <c r="N1" i="42"/>
  <c r="N44" i="42" s="1"/>
  <c r="N1" i="45"/>
  <c r="R1" i="42"/>
  <c r="R38" i="42" s="1"/>
  <c r="R1" i="45"/>
  <c r="N31" i="42"/>
  <c r="U2" i="42"/>
  <c r="D20" i="41"/>
  <c r="U2" i="39"/>
  <c r="U2" i="36"/>
  <c r="D20" i="35"/>
  <c r="Q1" i="39"/>
  <c r="Q1" i="36"/>
  <c r="U1" i="39"/>
  <c r="U1" i="36"/>
  <c r="Q2" i="39"/>
  <c r="Q2" i="36"/>
  <c r="T1" i="39"/>
  <c r="T1" i="36"/>
  <c r="N1" i="39"/>
  <c r="N1" i="36"/>
  <c r="R1" i="39"/>
  <c r="R1" i="36"/>
  <c r="S2" i="45"/>
  <c r="O2" i="45"/>
  <c r="U2" i="32"/>
  <c r="U2" i="29"/>
  <c r="D20" i="28"/>
  <c r="D21" i="26"/>
  <c r="D23" i="27"/>
  <c r="U2" i="22"/>
  <c r="U2" i="19"/>
  <c r="D20" i="18"/>
  <c r="Q2" i="32"/>
  <c r="Q2" i="29"/>
  <c r="Q2" i="22"/>
  <c r="Q2" i="19"/>
  <c r="N1" i="32"/>
  <c r="N1" i="29"/>
  <c r="N1" i="22"/>
  <c r="N1" i="19"/>
  <c r="U1" i="32"/>
  <c r="U1" i="29"/>
  <c r="U1" i="22"/>
  <c r="U1" i="19"/>
  <c r="T1" i="7"/>
  <c r="T40" i="7" s="1"/>
  <c r="T1" i="32"/>
  <c r="T1" i="29"/>
  <c r="T1" i="22"/>
  <c r="T1" i="19"/>
  <c r="R1" i="32"/>
  <c r="R1" i="29"/>
  <c r="R1" i="22"/>
  <c r="R1" i="19"/>
  <c r="Q1" i="32"/>
  <c r="Q1" i="29"/>
  <c r="Q1" i="22"/>
  <c r="Q1" i="19"/>
  <c r="N97" i="9"/>
  <c r="N97" i="24" s="1"/>
  <c r="M97" i="24"/>
  <c r="T2" i="45"/>
  <c r="O1" i="11"/>
  <c r="N1" i="11"/>
  <c r="R1" i="11"/>
  <c r="Q1" i="11"/>
  <c r="U1" i="11"/>
  <c r="T1" i="11"/>
  <c r="Q2" i="7"/>
  <c r="Q2" i="11"/>
  <c r="U2" i="7"/>
  <c r="U2" i="11"/>
  <c r="Q1" i="7"/>
  <c r="U1" i="7"/>
  <c r="N1" i="7"/>
  <c r="R1" i="7"/>
  <c r="B131" i="7"/>
  <c r="B132" i="7"/>
  <c r="B133" i="7"/>
  <c r="D56" i="1"/>
  <c r="E56" i="1"/>
  <c r="E56" i="20" s="1"/>
  <c r="F56" i="1"/>
  <c r="F56" i="20" s="1"/>
  <c r="G56" i="1"/>
  <c r="G56" i="20" s="1"/>
  <c r="H56" i="1"/>
  <c r="H56" i="20" s="1"/>
  <c r="I56" i="1"/>
  <c r="I56" i="20" s="1"/>
  <c r="J56" i="1"/>
  <c r="J56" i="20" s="1"/>
  <c r="K56" i="1"/>
  <c r="K56" i="20" s="1"/>
  <c r="D37" i="1"/>
  <c r="E37" i="1"/>
  <c r="E37" i="20" s="1"/>
  <c r="F37" i="1"/>
  <c r="F37" i="20" s="1"/>
  <c r="G37" i="1"/>
  <c r="G37" i="20" s="1"/>
  <c r="H37" i="1"/>
  <c r="H37" i="20" s="1"/>
  <c r="I37" i="1"/>
  <c r="I37" i="20" s="1"/>
  <c r="J37" i="1"/>
  <c r="J37" i="20" s="1"/>
  <c r="K37" i="1"/>
  <c r="K37" i="20" s="1"/>
  <c r="D36" i="1"/>
  <c r="E36" i="1"/>
  <c r="E36" i="20" s="1"/>
  <c r="F36" i="1"/>
  <c r="F36" i="20" s="1"/>
  <c r="G36" i="1"/>
  <c r="G36" i="20" s="1"/>
  <c r="H36" i="1"/>
  <c r="H36" i="20" s="1"/>
  <c r="I36" i="1"/>
  <c r="I36" i="20" s="1"/>
  <c r="J36" i="1"/>
  <c r="J36" i="20" s="1"/>
  <c r="K36" i="1"/>
  <c r="K36" i="20" s="1"/>
  <c r="D51" i="1"/>
  <c r="E52" i="1"/>
  <c r="E52" i="20" s="1"/>
  <c r="F52" i="1"/>
  <c r="F52" i="20" s="1"/>
  <c r="G52" i="1"/>
  <c r="G52" i="20" s="1"/>
  <c r="H52" i="1"/>
  <c r="H52" i="20" s="1"/>
  <c r="I52" i="1"/>
  <c r="I52" i="20" s="1"/>
  <c r="J52" i="1"/>
  <c r="J52" i="20" s="1"/>
  <c r="K52" i="1"/>
  <c r="K52" i="20" s="1"/>
  <c r="D131" i="7"/>
  <c r="D124" i="7" s="1"/>
  <c r="E131" i="7"/>
  <c r="E124" i="7" s="1"/>
  <c r="F131" i="7"/>
  <c r="F124" i="7" s="1"/>
  <c r="G131" i="7"/>
  <c r="G124" i="7" s="1"/>
  <c r="H131" i="7"/>
  <c r="H124" i="7" s="1"/>
  <c r="I131" i="7"/>
  <c r="I124" i="7" s="1"/>
  <c r="J131" i="7"/>
  <c r="J124" i="7" s="1"/>
  <c r="K131" i="7"/>
  <c r="K124" i="7" s="1"/>
  <c r="D54" i="1"/>
  <c r="E132" i="7"/>
  <c r="F132" i="7"/>
  <c r="G132" i="7"/>
  <c r="H54" i="1"/>
  <c r="H54" i="20" s="1"/>
  <c r="I132" i="7"/>
  <c r="J132" i="7"/>
  <c r="K132" i="7"/>
  <c r="D55" i="1"/>
  <c r="E55" i="1"/>
  <c r="E55" i="20" s="1"/>
  <c r="F55" i="1"/>
  <c r="F55" i="20" s="1"/>
  <c r="G55" i="1"/>
  <c r="G55" i="20" s="1"/>
  <c r="H55" i="1"/>
  <c r="H55" i="20" s="1"/>
  <c r="I55" i="1"/>
  <c r="I55" i="20" s="1"/>
  <c r="J55" i="1"/>
  <c r="J55" i="20" s="1"/>
  <c r="K55" i="1"/>
  <c r="D60" i="1"/>
  <c r="E60" i="1"/>
  <c r="F60" i="1"/>
  <c r="G60" i="1"/>
  <c r="H60" i="1"/>
  <c r="I60" i="1"/>
  <c r="J60" i="1"/>
  <c r="K60" i="1"/>
  <c r="D61" i="1"/>
  <c r="E61" i="1"/>
  <c r="F61" i="1"/>
  <c r="G61" i="1"/>
  <c r="H61" i="1"/>
  <c r="I61" i="1"/>
  <c r="J61" i="1"/>
  <c r="K61" i="1"/>
  <c r="D63" i="1"/>
  <c r="E63" i="1"/>
  <c r="F63" i="1"/>
  <c r="G63" i="1"/>
  <c r="H63" i="1"/>
  <c r="I63" i="1"/>
  <c r="J63" i="1"/>
  <c r="K63" i="1"/>
  <c r="D65" i="1"/>
  <c r="E65" i="1"/>
  <c r="F65" i="1"/>
  <c r="G65" i="1"/>
  <c r="H65" i="1"/>
  <c r="I65" i="1"/>
  <c r="J65" i="1"/>
  <c r="K65" i="1"/>
  <c r="D73" i="1"/>
  <c r="E73" i="1"/>
  <c r="F73" i="1"/>
  <c r="G73" i="1"/>
  <c r="H73" i="1"/>
  <c r="I73" i="1"/>
  <c r="J73" i="1"/>
  <c r="K73" i="1"/>
  <c r="Q17" i="47" l="1"/>
  <c r="T8" i="47"/>
  <c r="S13" i="47"/>
  <c r="Q21" i="47"/>
  <c r="T16" i="47"/>
  <c r="S20" i="47"/>
  <c r="Q133" i="47"/>
  <c r="T39" i="47"/>
  <c r="S38" i="47"/>
  <c r="O160" i="56"/>
  <c r="O41" i="56"/>
  <c r="O27" i="56"/>
  <c r="O21" i="56"/>
  <c r="O17" i="56"/>
  <c r="O18" i="56"/>
  <c r="Q13" i="47"/>
  <c r="T130" i="47"/>
  <c r="T30" i="47"/>
  <c r="T32" i="47" s="1"/>
  <c r="S43" i="47"/>
  <c r="S15" i="47"/>
  <c r="N44" i="49"/>
  <c r="N35" i="49"/>
  <c r="Q36" i="56"/>
  <c r="Q40" i="56"/>
  <c r="Q39" i="56"/>
  <c r="S40" i="56"/>
  <c r="S16" i="56"/>
  <c r="S22" i="56"/>
  <c r="O13" i="56"/>
  <c r="O8" i="56"/>
  <c r="O7" i="56"/>
  <c r="O9" i="56" s="1"/>
  <c r="Q26" i="47"/>
  <c r="Q44" i="47"/>
  <c r="Q7" i="47"/>
  <c r="Q43" i="47"/>
  <c r="T133" i="47"/>
  <c r="T40" i="47"/>
  <c r="T26" i="47"/>
  <c r="T44" i="47"/>
  <c r="S159" i="47"/>
  <c r="S26" i="47"/>
  <c r="S36" i="47"/>
  <c r="S8" i="47"/>
  <c r="S39" i="47"/>
  <c r="N21" i="49"/>
  <c r="N39" i="49"/>
  <c r="N38" i="49"/>
  <c r="N15" i="49"/>
  <c r="Q131" i="56"/>
  <c r="Q18" i="56"/>
  <c r="Q44" i="56"/>
  <c r="Q32" i="56"/>
  <c r="Q33" i="56" s="1"/>
  <c r="Q17" i="56"/>
  <c r="S160" i="56"/>
  <c r="S44" i="56"/>
  <c r="S17" i="56"/>
  <c r="S24" i="56" s="1"/>
  <c r="S31" i="56"/>
  <c r="S13" i="56"/>
  <c r="S12" i="56"/>
  <c r="O134" i="56"/>
  <c r="O40" i="56"/>
  <c r="O39" i="56"/>
  <c r="O36" i="56"/>
  <c r="O22" i="56"/>
  <c r="O12" i="56"/>
  <c r="Q130" i="47"/>
  <c r="Q36" i="47"/>
  <c r="Q20" i="47"/>
  <c r="T158" i="47"/>
  <c r="T36" i="47"/>
  <c r="T21" i="47"/>
  <c r="S21" i="47"/>
  <c r="S16" i="47"/>
  <c r="N31" i="49"/>
  <c r="N17" i="49"/>
  <c r="Q159" i="56"/>
  <c r="Q12" i="56"/>
  <c r="Q22" i="56"/>
  <c r="S131" i="56"/>
  <c r="S37" i="56"/>
  <c r="O159" i="56"/>
  <c r="O16" i="56"/>
  <c r="O31" i="56"/>
  <c r="Q159" i="47"/>
  <c r="Q39" i="47"/>
  <c r="Q35" i="47"/>
  <c r="Q31" i="47"/>
  <c r="Q12" i="47"/>
  <c r="T43" i="47"/>
  <c r="T15" i="47"/>
  <c r="T38" i="47"/>
  <c r="T13" i="47"/>
  <c r="S133" i="47"/>
  <c r="S44" i="47"/>
  <c r="S40" i="47"/>
  <c r="S7" i="47"/>
  <c r="S9" i="47" s="1"/>
  <c r="N162" i="49"/>
  <c r="N30" i="49"/>
  <c r="N135" i="49"/>
  <c r="N45" i="49"/>
  <c r="N43" i="49"/>
  <c r="Q160" i="56"/>
  <c r="Q45" i="56"/>
  <c r="Q37" i="56"/>
  <c r="Q7" i="56"/>
  <c r="Q41" i="56"/>
  <c r="S134" i="56"/>
  <c r="S21" i="56"/>
  <c r="S36" i="56"/>
  <c r="S32" i="56"/>
  <c r="S33" i="56" s="1"/>
  <c r="S39" i="56"/>
  <c r="O131" i="56"/>
  <c r="O45" i="56"/>
  <c r="O44" i="56"/>
  <c r="O32" i="56"/>
  <c r="O50" i="55"/>
  <c r="U37" i="55"/>
  <c r="U41" i="55"/>
  <c r="U48" i="55"/>
  <c r="U16" i="55"/>
  <c r="U18" i="55"/>
  <c r="U22" i="55"/>
  <c r="U31" i="55"/>
  <c r="U43" i="55"/>
  <c r="U36" i="55"/>
  <c r="U8" i="55"/>
  <c r="U12" i="55"/>
  <c r="U42" i="55"/>
  <c r="U7" i="55"/>
  <c r="U13" i="55"/>
  <c r="U17" i="55"/>
  <c r="U21" i="55"/>
  <c r="U27" i="55"/>
  <c r="U46" i="55"/>
  <c r="U47" i="55"/>
  <c r="U32" i="55"/>
  <c r="U155" i="55"/>
  <c r="U158" i="55"/>
  <c r="U181" i="55"/>
  <c r="U182" i="55"/>
  <c r="T47" i="55"/>
  <c r="T13" i="55"/>
  <c r="T41" i="55"/>
  <c r="T42" i="55"/>
  <c r="T17" i="55"/>
  <c r="T16" i="55"/>
  <c r="T48" i="55"/>
  <c r="T32" i="55"/>
  <c r="T12" i="55"/>
  <c r="T21" i="55"/>
  <c r="T7" i="55"/>
  <c r="T46" i="55"/>
  <c r="T22" i="55"/>
  <c r="T18" i="55"/>
  <c r="T27" i="55"/>
  <c r="T36" i="55"/>
  <c r="T31" i="55"/>
  <c r="T37" i="55"/>
  <c r="T8" i="55"/>
  <c r="T43" i="55"/>
  <c r="T155" i="55"/>
  <c r="T158" i="55"/>
  <c r="T181" i="55"/>
  <c r="T182" i="55"/>
  <c r="P1" i="56"/>
  <c r="P17" i="56" s="1"/>
  <c r="Q1" i="55"/>
  <c r="S36" i="55"/>
  <c r="S42" i="55"/>
  <c r="S8" i="55"/>
  <c r="S32" i="55"/>
  <c r="S21" i="55"/>
  <c r="S13" i="55"/>
  <c r="S43" i="55"/>
  <c r="S16" i="55"/>
  <c r="S47" i="55"/>
  <c r="S12" i="55"/>
  <c r="S18" i="55"/>
  <c r="S7" i="55"/>
  <c r="S48" i="55"/>
  <c r="S22" i="55"/>
  <c r="S41" i="55"/>
  <c r="S37" i="55"/>
  <c r="S27" i="55"/>
  <c r="S31" i="55"/>
  <c r="S46" i="55"/>
  <c r="S17" i="55"/>
  <c r="S155" i="55"/>
  <c r="S181" i="55"/>
  <c r="S158" i="55"/>
  <c r="S182" i="55"/>
  <c r="V7" i="55"/>
  <c r="V37" i="55"/>
  <c r="V18" i="55"/>
  <c r="V16" i="55"/>
  <c r="V21" i="55"/>
  <c r="V46" i="55"/>
  <c r="V48" i="55"/>
  <c r="V12" i="55"/>
  <c r="V8" i="55"/>
  <c r="V31" i="55"/>
  <c r="V13" i="55"/>
  <c r="V17" i="55"/>
  <c r="V27" i="55"/>
  <c r="V36" i="55"/>
  <c r="V22" i="55"/>
  <c r="V47" i="55"/>
  <c r="V42" i="55"/>
  <c r="V43" i="55"/>
  <c r="V32" i="55"/>
  <c r="V41" i="55"/>
  <c r="V155" i="55"/>
  <c r="V181" i="55"/>
  <c r="V158" i="55"/>
  <c r="V182" i="55"/>
  <c r="O33" i="55"/>
  <c r="P46" i="55"/>
  <c r="P18" i="55"/>
  <c r="P22" i="55"/>
  <c r="P32" i="55"/>
  <c r="P41" i="55"/>
  <c r="P42" i="55"/>
  <c r="P31" i="55"/>
  <c r="P7" i="55"/>
  <c r="P37" i="55"/>
  <c r="P8" i="55"/>
  <c r="P12" i="55"/>
  <c r="P47" i="55"/>
  <c r="P48" i="55"/>
  <c r="P27" i="55"/>
  <c r="P43" i="55"/>
  <c r="P17" i="55"/>
  <c r="P13" i="55"/>
  <c r="P16" i="55"/>
  <c r="P36" i="55"/>
  <c r="P21" i="55"/>
  <c r="P155" i="55"/>
  <c r="P181" i="55"/>
  <c r="P158" i="55"/>
  <c r="P182" i="55"/>
  <c r="R48" i="55"/>
  <c r="R46" i="55"/>
  <c r="R8" i="55"/>
  <c r="R47" i="55"/>
  <c r="R36" i="55"/>
  <c r="R31" i="55"/>
  <c r="R41" i="55"/>
  <c r="R27" i="55"/>
  <c r="R43" i="55"/>
  <c r="R17" i="55"/>
  <c r="R16" i="55"/>
  <c r="R12" i="55"/>
  <c r="R37" i="55"/>
  <c r="R42" i="55"/>
  <c r="R7" i="55"/>
  <c r="R9" i="55" s="1"/>
  <c r="R13" i="55"/>
  <c r="R22" i="55"/>
  <c r="R18" i="55"/>
  <c r="R21" i="55"/>
  <c r="R32" i="55"/>
  <c r="R155" i="55"/>
  <c r="R181" i="55"/>
  <c r="R158" i="55"/>
  <c r="R182" i="55"/>
  <c r="O9" i="55"/>
  <c r="T47" i="56"/>
  <c r="O24" i="55"/>
  <c r="N138" i="49"/>
  <c r="N12" i="49"/>
  <c r="N8" i="49"/>
  <c r="N9" i="49" s="1"/>
  <c r="N40" i="49"/>
  <c r="N16" i="49"/>
  <c r="S9" i="56"/>
  <c r="R33" i="56"/>
  <c r="T33" i="56"/>
  <c r="U9" i="56"/>
  <c r="Q9" i="56"/>
  <c r="T17" i="42"/>
  <c r="R35" i="42"/>
  <c r="R13" i="42"/>
  <c r="R7" i="47"/>
  <c r="O33" i="56"/>
  <c r="O36" i="47"/>
  <c r="O159" i="47"/>
  <c r="R16" i="47"/>
  <c r="U30" i="47"/>
  <c r="U32" i="47" s="1"/>
  <c r="T24" i="56"/>
  <c r="O44" i="47"/>
  <c r="U158" i="47"/>
  <c r="O20" i="47"/>
  <c r="U39" i="47"/>
  <c r="D7" i="46"/>
  <c r="P1" i="22"/>
  <c r="P30" i="22" s="1"/>
  <c r="P1" i="39"/>
  <c r="P20" i="39" s="1"/>
  <c r="P1" i="42"/>
  <c r="P30" i="42" s="1"/>
  <c r="U17" i="42"/>
  <c r="Q158" i="47"/>
  <c r="Q40" i="47"/>
  <c r="Q46" i="47" s="1"/>
  <c r="Q8" i="47"/>
  <c r="Q9" i="47" s="1"/>
  <c r="Q16" i="47"/>
  <c r="Q30" i="47"/>
  <c r="O39" i="47"/>
  <c r="R133" i="47"/>
  <c r="R38" i="47"/>
  <c r="U38" i="47"/>
  <c r="T159" i="47"/>
  <c r="T17" i="47"/>
  <c r="T20" i="47"/>
  <c r="T7" i="47"/>
  <c r="T9" i="47" s="1"/>
  <c r="T12" i="47"/>
  <c r="S158" i="47"/>
  <c r="S31" i="47"/>
  <c r="S17" i="47"/>
  <c r="S30" i="47"/>
  <c r="S35" i="47"/>
  <c r="T130" i="42"/>
  <c r="O26" i="47"/>
  <c r="R13" i="47"/>
  <c r="R40" i="47"/>
  <c r="U43" i="47"/>
  <c r="Q21" i="42"/>
  <c r="U20" i="42"/>
  <c r="P45" i="56"/>
  <c r="P8" i="56"/>
  <c r="P39" i="56"/>
  <c r="P37" i="56"/>
  <c r="P7" i="56"/>
  <c r="P32" i="56"/>
  <c r="P21" i="56"/>
  <c r="P40" i="56"/>
  <c r="P44" i="56"/>
  <c r="P12" i="56"/>
  <c r="P159" i="56"/>
  <c r="P160" i="56"/>
  <c r="U47" i="56"/>
  <c r="U24" i="56"/>
  <c r="T9" i="56"/>
  <c r="N36" i="56"/>
  <c r="N22" i="56"/>
  <c r="N13" i="56"/>
  <c r="N45" i="56"/>
  <c r="N21" i="56"/>
  <c r="N17" i="56"/>
  <c r="N18" i="56"/>
  <c r="N39" i="56"/>
  <c r="N44" i="56"/>
  <c r="N37" i="56"/>
  <c r="N27" i="56"/>
  <c r="N7" i="56"/>
  <c r="N32" i="56"/>
  <c r="N16" i="56"/>
  <c r="N40" i="56"/>
  <c r="N31" i="56"/>
  <c r="N41" i="56"/>
  <c r="N12" i="56"/>
  <c r="N8" i="56"/>
  <c r="N131" i="56"/>
  <c r="N159" i="56"/>
  <c r="N160" i="56"/>
  <c r="N134" i="56"/>
  <c r="R47" i="56"/>
  <c r="R24" i="56"/>
  <c r="Q24" i="56"/>
  <c r="O133" i="47"/>
  <c r="O13" i="47"/>
  <c r="O40" i="47"/>
  <c r="O30" i="47"/>
  <c r="R158" i="47"/>
  <c r="R12" i="47"/>
  <c r="R36" i="47"/>
  <c r="R15" i="47"/>
  <c r="U130" i="47"/>
  <c r="U12" i="47"/>
  <c r="U40" i="47"/>
  <c r="Q13" i="49"/>
  <c r="Q17" i="49"/>
  <c r="Q8" i="49"/>
  <c r="Q36" i="49"/>
  <c r="Q20" i="49"/>
  <c r="Q30" i="49"/>
  <c r="Q38" i="49"/>
  <c r="Q31" i="49"/>
  <c r="Q35" i="49"/>
  <c r="Q12" i="49"/>
  <c r="Q15" i="49"/>
  <c r="Q26" i="49"/>
  <c r="Q44" i="49"/>
  <c r="Q16" i="49"/>
  <c r="Q39" i="49"/>
  <c r="Q45" i="49"/>
  <c r="Q21" i="49"/>
  <c r="Q7" i="49"/>
  <c r="Q40" i="49"/>
  <c r="Q43" i="49"/>
  <c r="Q135" i="49"/>
  <c r="Q161" i="49"/>
  <c r="Q138" i="49"/>
  <c r="Q162" i="49"/>
  <c r="S12" i="49"/>
  <c r="S44" i="49"/>
  <c r="S40" i="49"/>
  <c r="S31" i="49"/>
  <c r="S21" i="49"/>
  <c r="S15" i="49"/>
  <c r="S36" i="49"/>
  <c r="S38" i="49"/>
  <c r="S17" i="49"/>
  <c r="S13" i="49"/>
  <c r="S45" i="49"/>
  <c r="S30" i="49"/>
  <c r="S32" i="49" s="1"/>
  <c r="S7" i="49"/>
  <c r="S35" i="49"/>
  <c r="S43" i="49"/>
  <c r="S20" i="49"/>
  <c r="S16" i="49"/>
  <c r="S8" i="49"/>
  <c r="S26" i="49"/>
  <c r="S39" i="49"/>
  <c r="S135" i="49"/>
  <c r="S138" i="49"/>
  <c r="S161" i="49"/>
  <c r="S162" i="49"/>
  <c r="R36" i="42"/>
  <c r="U35" i="42"/>
  <c r="T26" i="42"/>
  <c r="O130" i="47"/>
  <c r="O17" i="47"/>
  <c r="O7" i="47"/>
  <c r="O8" i="47"/>
  <c r="O38" i="47"/>
  <c r="R159" i="47"/>
  <c r="R39" i="47"/>
  <c r="R43" i="47"/>
  <c r="R44" i="47"/>
  <c r="R8" i="47"/>
  <c r="R35" i="47"/>
  <c r="U133" i="47"/>
  <c r="U7" i="47"/>
  <c r="U17" i="47"/>
  <c r="U16" i="47"/>
  <c r="U8" i="47"/>
  <c r="U21" i="47"/>
  <c r="R43" i="49"/>
  <c r="R39" i="49"/>
  <c r="R26" i="49"/>
  <c r="R16" i="49"/>
  <c r="R20" i="49"/>
  <c r="R7" i="49"/>
  <c r="R21" i="49"/>
  <c r="R17" i="49"/>
  <c r="R36" i="49"/>
  <c r="R13" i="49"/>
  <c r="R8" i="49"/>
  <c r="R40" i="49"/>
  <c r="R15" i="49"/>
  <c r="R31" i="49"/>
  <c r="R44" i="49"/>
  <c r="R30" i="49"/>
  <c r="R12" i="49"/>
  <c r="R45" i="49"/>
  <c r="R38" i="49"/>
  <c r="R35" i="49"/>
  <c r="R135" i="49"/>
  <c r="R138" i="49"/>
  <c r="R161" i="49"/>
  <c r="R162" i="49"/>
  <c r="O36" i="49"/>
  <c r="O15" i="49"/>
  <c r="O44" i="49"/>
  <c r="O17" i="49"/>
  <c r="O7" i="49"/>
  <c r="O8" i="49"/>
  <c r="O43" i="49"/>
  <c r="O12" i="49"/>
  <c r="O45" i="49"/>
  <c r="O39" i="49"/>
  <c r="O38" i="49"/>
  <c r="O16" i="49"/>
  <c r="O31" i="49"/>
  <c r="O13" i="49"/>
  <c r="O21" i="49"/>
  <c r="O20" i="49"/>
  <c r="O26" i="49"/>
  <c r="O30" i="49"/>
  <c r="O40" i="49"/>
  <c r="O35" i="49"/>
  <c r="O135" i="49"/>
  <c r="O138" i="49"/>
  <c r="O161" i="49"/>
  <c r="O162" i="49"/>
  <c r="U12" i="49"/>
  <c r="U45" i="49"/>
  <c r="U13" i="49"/>
  <c r="U31" i="49"/>
  <c r="U26" i="49"/>
  <c r="U44" i="49"/>
  <c r="U8" i="49"/>
  <c r="U21" i="49"/>
  <c r="U43" i="49"/>
  <c r="U15" i="49"/>
  <c r="U16" i="49"/>
  <c r="U40" i="49"/>
  <c r="U35" i="49"/>
  <c r="U20" i="49"/>
  <c r="U39" i="49"/>
  <c r="U38" i="49"/>
  <c r="U36" i="49"/>
  <c r="U17" i="49"/>
  <c r="U7" i="49"/>
  <c r="U9" i="49" s="1"/>
  <c r="U30" i="49"/>
  <c r="U32" i="49" s="1"/>
  <c r="U135" i="49"/>
  <c r="U138" i="49"/>
  <c r="U161" i="49"/>
  <c r="U162" i="49"/>
  <c r="O31" i="47"/>
  <c r="O43" i="47"/>
  <c r="R17" i="47"/>
  <c r="R30" i="47"/>
  <c r="U13" i="47"/>
  <c r="U20" i="47"/>
  <c r="T44" i="49"/>
  <c r="T35" i="49"/>
  <c r="T43" i="49"/>
  <c r="T12" i="49"/>
  <c r="T13" i="49"/>
  <c r="T7" i="49"/>
  <c r="T15" i="49"/>
  <c r="T40" i="49"/>
  <c r="T38" i="49"/>
  <c r="T31" i="49"/>
  <c r="T20" i="49"/>
  <c r="T45" i="49"/>
  <c r="T36" i="49"/>
  <c r="T26" i="49"/>
  <c r="T16" i="49"/>
  <c r="T17" i="49"/>
  <c r="T39" i="49"/>
  <c r="T21" i="49"/>
  <c r="T8" i="49"/>
  <c r="T30" i="49"/>
  <c r="T135" i="49"/>
  <c r="T138" i="49"/>
  <c r="T161" i="49"/>
  <c r="T162" i="49"/>
  <c r="R12" i="42"/>
  <c r="U21" i="42"/>
  <c r="T38" i="42"/>
  <c r="D13" i="46"/>
  <c r="P1" i="49"/>
  <c r="O158" i="47"/>
  <c r="O21" i="47"/>
  <c r="O35" i="47"/>
  <c r="O15" i="47"/>
  <c r="O12" i="47"/>
  <c r="R130" i="47"/>
  <c r="R31" i="47"/>
  <c r="R20" i="47"/>
  <c r="R26" i="47"/>
  <c r="U159" i="47"/>
  <c r="U35" i="47"/>
  <c r="U26" i="47"/>
  <c r="U36" i="47"/>
  <c r="U15" i="47"/>
  <c r="N32" i="49"/>
  <c r="Q162" i="42"/>
  <c r="P1" i="29"/>
  <c r="P38" i="29" s="1"/>
  <c r="D8" i="46"/>
  <c r="P1" i="11"/>
  <c r="P16" i="11" s="1"/>
  <c r="P1" i="32"/>
  <c r="P44" i="32" s="1"/>
  <c r="D14" i="46"/>
  <c r="P1" i="19"/>
  <c r="P31" i="19" s="1"/>
  <c r="P1" i="7"/>
  <c r="P44" i="7" s="1"/>
  <c r="P1" i="36"/>
  <c r="P7" i="36" s="1"/>
  <c r="D6" i="46"/>
  <c r="R133" i="42"/>
  <c r="R7" i="42"/>
  <c r="U159" i="42"/>
  <c r="U16" i="42"/>
  <c r="U26" i="42"/>
  <c r="T36" i="42"/>
  <c r="T21" i="42"/>
  <c r="R158" i="42"/>
  <c r="R30" i="42"/>
  <c r="U158" i="42"/>
  <c r="U38" i="42"/>
  <c r="U36" i="42"/>
  <c r="T31" i="42"/>
  <c r="T43" i="42"/>
  <c r="D5" i="46"/>
  <c r="N44" i="47"/>
  <c r="N8" i="47"/>
  <c r="N21" i="47"/>
  <c r="N20" i="47"/>
  <c r="N40" i="47"/>
  <c r="N16" i="47"/>
  <c r="N35" i="47"/>
  <c r="N17" i="47"/>
  <c r="N15" i="47"/>
  <c r="N31" i="47"/>
  <c r="N39" i="47"/>
  <c r="N36" i="47"/>
  <c r="N30" i="47"/>
  <c r="N43" i="47"/>
  <c r="N26" i="47"/>
  <c r="N7" i="47"/>
  <c r="N13" i="47"/>
  <c r="N12" i="47"/>
  <c r="N38" i="47"/>
  <c r="N130" i="47"/>
  <c r="N133" i="47"/>
  <c r="N158" i="47"/>
  <c r="N159" i="47"/>
  <c r="P1" i="45"/>
  <c r="P36" i="45" s="1"/>
  <c r="P1" i="47"/>
  <c r="D4" i="46"/>
  <c r="D12" i="46"/>
  <c r="D10" i="46"/>
  <c r="D3" i="46"/>
  <c r="R40" i="42"/>
  <c r="R43" i="42"/>
  <c r="R39" i="42"/>
  <c r="R15" i="42"/>
  <c r="U133" i="42"/>
  <c r="U39" i="42"/>
  <c r="U31" i="42"/>
  <c r="U44" i="42"/>
  <c r="T133" i="42"/>
  <c r="T44" i="42"/>
  <c r="T30" i="42"/>
  <c r="T40" i="42"/>
  <c r="T12" i="42"/>
  <c r="R159" i="42"/>
  <c r="R21" i="42"/>
  <c r="R17" i="42"/>
  <c r="R44" i="42"/>
  <c r="R20" i="42"/>
  <c r="U40" i="42"/>
  <c r="U8" i="42"/>
  <c r="U7" i="42"/>
  <c r="U15" i="42"/>
  <c r="T158" i="42"/>
  <c r="T7" i="42"/>
  <c r="T15" i="42"/>
  <c r="T20" i="42"/>
  <c r="R130" i="42"/>
  <c r="R31" i="42"/>
  <c r="R26" i="42"/>
  <c r="R8" i="42"/>
  <c r="R16" i="42"/>
  <c r="U130" i="42"/>
  <c r="U43" i="42"/>
  <c r="U30" i="42"/>
  <c r="U13" i="42"/>
  <c r="T159" i="42"/>
  <c r="T39" i="42"/>
  <c r="T8" i="42"/>
  <c r="T35" i="42"/>
  <c r="T13" i="42"/>
  <c r="Q130" i="42"/>
  <c r="Q13" i="42"/>
  <c r="N36" i="42"/>
  <c r="Q16" i="42"/>
  <c r="N39" i="42"/>
  <c r="Q43" i="42"/>
  <c r="N35" i="42"/>
  <c r="Q133" i="42"/>
  <c r="Q39" i="42"/>
  <c r="Q15" i="42"/>
  <c r="Q20" i="42"/>
  <c r="Q26" i="42"/>
  <c r="Q44" i="42"/>
  <c r="N133" i="42"/>
  <c r="N40" i="42"/>
  <c r="N17" i="42"/>
  <c r="N12" i="42"/>
  <c r="N15" i="42"/>
  <c r="N21" i="42"/>
  <c r="Q159" i="42"/>
  <c r="Q30" i="42"/>
  <c r="Q8" i="42"/>
  <c r="Q38" i="42"/>
  <c r="Q12" i="42"/>
  <c r="Q36" i="42"/>
  <c r="N159" i="42"/>
  <c r="N8" i="42"/>
  <c r="N38" i="42"/>
  <c r="N30" i="42"/>
  <c r="N32" i="42" s="1"/>
  <c r="N13" i="42"/>
  <c r="Q158" i="42"/>
  <c r="Q17" i="42"/>
  <c r="Q35" i="42"/>
  <c r="Q7" i="42"/>
  <c r="Q31" i="42"/>
  <c r="N158" i="42"/>
  <c r="N20" i="42"/>
  <c r="N130" i="42"/>
  <c r="N26" i="42"/>
  <c r="N16" i="42"/>
  <c r="N2" i="42"/>
  <c r="N162" i="42" s="1"/>
  <c r="N2" i="45"/>
  <c r="N165" i="45" s="1"/>
  <c r="O1" i="42"/>
  <c r="O36" i="42" s="1"/>
  <c r="O1" i="45"/>
  <c r="N35" i="45"/>
  <c r="N12" i="45"/>
  <c r="N45" i="45"/>
  <c r="N40" i="45"/>
  <c r="N21" i="45"/>
  <c r="N17" i="45"/>
  <c r="N44" i="45"/>
  <c r="N39" i="45"/>
  <c r="N26" i="45"/>
  <c r="N30" i="45"/>
  <c r="N43" i="45"/>
  <c r="N13" i="45"/>
  <c r="N16" i="45"/>
  <c r="N20" i="45"/>
  <c r="N38" i="45"/>
  <c r="N36" i="45"/>
  <c r="N8" i="45"/>
  <c r="N31" i="45"/>
  <c r="N7" i="45"/>
  <c r="N15" i="45"/>
  <c r="N135" i="45"/>
  <c r="N161" i="45"/>
  <c r="N138" i="45"/>
  <c r="N162" i="45"/>
  <c r="Q45" i="45"/>
  <c r="Q40" i="45"/>
  <c r="Q26" i="45"/>
  <c r="Q17" i="45"/>
  <c r="Q13" i="45"/>
  <c r="Q8" i="45"/>
  <c r="Q7" i="45"/>
  <c r="Q38" i="45"/>
  <c r="Q21" i="45"/>
  <c r="Q15" i="45"/>
  <c r="Q12" i="45"/>
  <c r="Q20" i="45"/>
  <c r="Q43" i="45"/>
  <c r="Q39" i="45"/>
  <c r="Q36" i="45"/>
  <c r="Q16" i="45"/>
  <c r="Q31" i="45"/>
  <c r="Q30" i="45"/>
  <c r="Q44" i="45"/>
  <c r="Q35" i="45"/>
  <c r="Q135" i="45"/>
  <c r="Q138" i="45"/>
  <c r="Q161" i="45"/>
  <c r="Q162" i="45"/>
  <c r="T164" i="45"/>
  <c r="T165" i="45"/>
  <c r="D3" i="41"/>
  <c r="S1" i="45"/>
  <c r="R2" i="42"/>
  <c r="R162" i="42" s="1"/>
  <c r="R2" i="45"/>
  <c r="O164" i="45"/>
  <c r="O165" i="45"/>
  <c r="R35" i="45"/>
  <c r="R20" i="45"/>
  <c r="R36" i="45"/>
  <c r="R43" i="45"/>
  <c r="R44" i="45"/>
  <c r="R40" i="45"/>
  <c r="R30" i="45"/>
  <c r="R17" i="45"/>
  <c r="R16" i="45"/>
  <c r="R8" i="45"/>
  <c r="R13" i="45"/>
  <c r="R39" i="45"/>
  <c r="R7" i="45"/>
  <c r="R21" i="45"/>
  <c r="R38" i="45"/>
  <c r="R26" i="45"/>
  <c r="R12" i="45"/>
  <c r="R15" i="45"/>
  <c r="R31" i="45"/>
  <c r="R32" i="45" s="1"/>
  <c r="R45" i="45"/>
  <c r="R135" i="45"/>
  <c r="R138" i="45"/>
  <c r="R161" i="45"/>
  <c r="R162" i="45"/>
  <c r="U21" i="45"/>
  <c r="U17" i="45"/>
  <c r="U45" i="45"/>
  <c r="U44" i="45"/>
  <c r="U16" i="45"/>
  <c r="U8" i="45"/>
  <c r="U26" i="45"/>
  <c r="U12" i="45"/>
  <c r="U15" i="45"/>
  <c r="U43" i="45"/>
  <c r="U13" i="45"/>
  <c r="U36" i="45"/>
  <c r="U7" i="45"/>
  <c r="U39" i="45"/>
  <c r="U30" i="45"/>
  <c r="U35" i="45"/>
  <c r="U40" i="45"/>
  <c r="U20" i="45"/>
  <c r="U31" i="45"/>
  <c r="U38" i="45"/>
  <c r="U135" i="45"/>
  <c r="U161" i="45"/>
  <c r="U138" i="45"/>
  <c r="U162" i="45"/>
  <c r="T36" i="45"/>
  <c r="T35" i="45"/>
  <c r="T31" i="45"/>
  <c r="T12" i="45"/>
  <c r="T17" i="45"/>
  <c r="T7" i="45"/>
  <c r="T44" i="45"/>
  <c r="T15" i="45"/>
  <c r="T20" i="45"/>
  <c r="T39" i="45"/>
  <c r="T26" i="45"/>
  <c r="T38" i="45"/>
  <c r="T8" i="45"/>
  <c r="T30" i="45"/>
  <c r="T43" i="45"/>
  <c r="T45" i="45"/>
  <c r="T16" i="45"/>
  <c r="T40" i="45"/>
  <c r="T21" i="45"/>
  <c r="T13" i="45"/>
  <c r="T135" i="45"/>
  <c r="T138" i="45"/>
  <c r="T161" i="45"/>
  <c r="T162" i="45"/>
  <c r="Q164" i="45"/>
  <c r="Q165" i="45"/>
  <c r="P2" i="42"/>
  <c r="P162" i="42" s="1"/>
  <c r="P2" i="45"/>
  <c r="S164" i="45"/>
  <c r="S165" i="45"/>
  <c r="N7" i="42"/>
  <c r="N43" i="42"/>
  <c r="O2" i="19"/>
  <c r="O162" i="19" s="1"/>
  <c r="O2" i="42"/>
  <c r="O2" i="11"/>
  <c r="O2" i="22"/>
  <c r="O164" i="22" s="1"/>
  <c r="O2" i="32"/>
  <c r="O165" i="32" s="1"/>
  <c r="U161" i="42"/>
  <c r="U162" i="42"/>
  <c r="T2" i="7"/>
  <c r="T2" i="42"/>
  <c r="S2" i="22"/>
  <c r="S164" i="22" s="1"/>
  <c r="S2" i="42"/>
  <c r="D20" i="40"/>
  <c r="W20" i="40" s="1"/>
  <c r="D7" i="41"/>
  <c r="D14" i="41"/>
  <c r="D12" i="41"/>
  <c r="T39" i="7"/>
  <c r="D8" i="41"/>
  <c r="D5" i="41"/>
  <c r="D8" i="26"/>
  <c r="S1" i="42"/>
  <c r="D4" i="41"/>
  <c r="D10" i="41"/>
  <c r="D12" i="18"/>
  <c r="D13" i="41"/>
  <c r="D6" i="41"/>
  <c r="O2" i="7"/>
  <c r="O2" i="29"/>
  <c r="O162" i="29" s="1"/>
  <c r="D8" i="35"/>
  <c r="S2" i="29"/>
  <c r="S162" i="29" s="1"/>
  <c r="D13" i="27"/>
  <c r="D20" i="34"/>
  <c r="W20" i="34" s="1"/>
  <c r="S2" i="7"/>
  <c r="S2" i="32"/>
  <c r="S164" i="32" s="1"/>
  <c r="T31" i="7"/>
  <c r="D7" i="28"/>
  <c r="S2" i="19"/>
  <c r="S162" i="19" s="1"/>
  <c r="S2" i="11"/>
  <c r="T44" i="7"/>
  <c r="N2" i="39"/>
  <c r="N165" i="39" s="1"/>
  <c r="N2" i="36"/>
  <c r="N162" i="36" s="1"/>
  <c r="O1" i="39"/>
  <c r="O1" i="36"/>
  <c r="D13" i="35"/>
  <c r="T45" i="39"/>
  <c r="T16" i="39"/>
  <c r="T12" i="39"/>
  <c r="T39" i="39"/>
  <c r="T30" i="39"/>
  <c r="T17" i="39"/>
  <c r="T35" i="39"/>
  <c r="T7" i="39"/>
  <c r="T15" i="39"/>
  <c r="T43" i="39"/>
  <c r="T31" i="39"/>
  <c r="T44" i="39"/>
  <c r="T8" i="39"/>
  <c r="T40" i="39"/>
  <c r="T36" i="39"/>
  <c r="T26" i="39"/>
  <c r="T38" i="39"/>
  <c r="T13" i="39"/>
  <c r="T21" i="39"/>
  <c r="T20" i="39"/>
  <c r="T135" i="39"/>
  <c r="T138" i="39"/>
  <c r="T161" i="39"/>
  <c r="T162" i="39"/>
  <c r="P35" i="39"/>
  <c r="P43" i="39"/>
  <c r="D5" i="18"/>
  <c r="D10" i="28"/>
  <c r="S1" i="32"/>
  <c r="S12" i="32" s="1"/>
  <c r="S1" i="39"/>
  <c r="S1" i="36"/>
  <c r="R12" i="36"/>
  <c r="R20" i="36"/>
  <c r="R13" i="36"/>
  <c r="R31" i="36"/>
  <c r="R26" i="36"/>
  <c r="R35" i="36"/>
  <c r="R39" i="36"/>
  <c r="R17" i="36"/>
  <c r="R43" i="36"/>
  <c r="R40" i="36"/>
  <c r="R7" i="36"/>
  <c r="R8" i="36"/>
  <c r="R36" i="36"/>
  <c r="R16" i="36"/>
  <c r="R38" i="36"/>
  <c r="R15" i="36"/>
  <c r="R21" i="36"/>
  <c r="R44" i="36"/>
  <c r="R30" i="36"/>
  <c r="R130" i="36"/>
  <c r="R158" i="36"/>
  <c r="R133" i="36"/>
  <c r="R159" i="36"/>
  <c r="D10" i="35"/>
  <c r="N17" i="36"/>
  <c r="N15" i="36"/>
  <c r="N35" i="36"/>
  <c r="N30" i="36"/>
  <c r="N40" i="36"/>
  <c r="N38" i="36"/>
  <c r="N43" i="36"/>
  <c r="N16" i="36"/>
  <c r="N7" i="36"/>
  <c r="N8" i="36"/>
  <c r="N26" i="36"/>
  <c r="N31" i="36"/>
  <c r="N36" i="36"/>
  <c r="N20" i="36"/>
  <c r="N13" i="36"/>
  <c r="N12" i="36"/>
  <c r="N44" i="36"/>
  <c r="N39" i="36"/>
  <c r="N21" i="36"/>
  <c r="N130" i="36"/>
  <c r="N158" i="36"/>
  <c r="N133" i="36"/>
  <c r="N159" i="36"/>
  <c r="Q161" i="36"/>
  <c r="Q162" i="36"/>
  <c r="Q17" i="36"/>
  <c r="Q44" i="36"/>
  <c r="Q40" i="36"/>
  <c r="Q15" i="36"/>
  <c r="Q35" i="36"/>
  <c r="Q12" i="36"/>
  <c r="Q16" i="36"/>
  <c r="Q39" i="36"/>
  <c r="Q38" i="36"/>
  <c r="Q31" i="36"/>
  <c r="Q158" i="36"/>
  <c r="Q26" i="36"/>
  <c r="Q8" i="36"/>
  <c r="Q36" i="36"/>
  <c r="Q7" i="36"/>
  <c r="Q20" i="36"/>
  <c r="Q130" i="36"/>
  <c r="Q21" i="36"/>
  <c r="Q30" i="36"/>
  <c r="Q13" i="36"/>
  <c r="Q43" i="36"/>
  <c r="Q133" i="36"/>
  <c r="Q159" i="36"/>
  <c r="O1" i="7"/>
  <c r="O16" i="7" s="1"/>
  <c r="R2" i="11"/>
  <c r="R2" i="39"/>
  <c r="R2" i="36"/>
  <c r="T36" i="7"/>
  <c r="T38" i="7"/>
  <c r="D12" i="1"/>
  <c r="O1" i="19"/>
  <c r="O40" i="19" s="1"/>
  <c r="D12" i="26"/>
  <c r="D4" i="27"/>
  <c r="D5" i="26"/>
  <c r="O2" i="39"/>
  <c r="O2" i="36"/>
  <c r="R40" i="39"/>
  <c r="R21" i="39"/>
  <c r="R7" i="39"/>
  <c r="R12" i="39"/>
  <c r="R35" i="39"/>
  <c r="R17" i="39"/>
  <c r="R13" i="39"/>
  <c r="R30" i="39"/>
  <c r="R39" i="39"/>
  <c r="R36" i="39"/>
  <c r="R8" i="39"/>
  <c r="R9" i="39" s="1"/>
  <c r="R26" i="39"/>
  <c r="R44" i="39"/>
  <c r="R15" i="39"/>
  <c r="R31" i="39"/>
  <c r="R43" i="39"/>
  <c r="R20" i="39"/>
  <c r="R16" i="39"/>
  <c r="R38" i="39"/>
  <c r="R45" i="39"/>
  <c r="R135" i="39"/>
  <c r="R138" i="39"/>
  <c r="R161" i="39"/>
  <c r="R162" i="39"/>
  <c r="D3" i="35"/>
  <c r="D6" i="35"/>
  <c r="N26" i="39"/>
  <c r="N21" i="39"/>
  <c r="N16" i="39"/>
  <c r="N135" i="39"/>
  <c r="N38" i="39"/>
  <c r="N31" i="39"/>
  <c r="N15" i="39"/>
  <c r="N12" i="39"/>
  <c r="N8" i="39"/>
  <c r="N20" i="39"/>
  <c r="N35" i="39"/>
  <c r="N17" i="39"/>
  <c r="N7" i="39"/>
  <c r="N43" i="39"/>
  <c r="N44" i="39"/>
  <c r="N36" i="39"/>
  <c r="N45" i="39"/>
  <c r="N39" i="39"/>
  <c r="N13" i="39"/>
  <c r="N40" i="39"/>
  <c r="N30" i="39"/>
  <c r="N161" i="39"/>
  <c r="N138" i="39"/>
  <c r="N162" i="39"/>
  <c r="Q164" i="39"/>
  <c r="Q165" i="39"/>
  <c r="Q43" i="39"/>
  <c r="Q36" i="39"/>
  <c r="Q8" i="39"/>
  <c r="Q44" i="39"/>
  <c r="Q26" i="39"/>
  <c r="Q40" i="39"/>
  <c r="Q35" i="39"/>
  <c r="Q30" i="39"/>
  <c r="Q7" i="39"/>
  <c r="Q20" i="39"/>
  <c r="Q39" i="39"/>
  <c r="Q38" i="39"/>
  <c r="Q15" i="39"/>
  <c r="Q16" i="39"/>
  <c r="Q12" i="39"/>
  <c r="Q31" i="39"/>
  <c r="Q13" i="39"/>
  <c r="Q45" i="39"/>
  <c r="Q21" i="39"/>
  <c r="Q17" i="39"/>
  <c r="Q135" i="39"/>
  <c r="Q161" i="39"/>
  <c r="Q138" i="39"/>
  <c r="Q162" i="39"/>
  <c r="U161" i="36"/>
  <c r="U162" i="36"/>
  <c r="D4" i="35"/>
  <c r="U13" i="39"/>
  <c r="U45" i="39"/>
  <c r="U35" i="39"/>
  <c r="U20" i="39"/>
  <c r="U43" i="39"/>
  <c r="U36" i="39"/>
  <c r="U7" i="39"/>
  <c r="U12" i="39"/>
  <c r="U8" i="39"/>
  <c r="U44" i="39"/>
  <c r="U26" i="39"/>
  <c r="U40" i="39"/>
  <c r="U39" i="39"/>
  <c r="U21" i="39"/>
  <c r="U30" i="39"/>
  <c r="U16" i="39"/>
  <c r="U38" i="39"/>
  <c r="U15" i="39"/>
  <c r="U17" i="39"/>
  <c r="U31" i="39"/>
  <c r="U135" i="39"/>
  <c r="U161" i="39"/>
  <c r="U138" i="39"/>
  <c r="U162" i="39"/>
  <c r="T2" i="39"/>
  <c r="T2" i="36"/>
  <c r="T30" i="7"/>
  <c r="T35" i="7"/>
  <c r="T16" i="7"/>
  <c r="D14" i="28"/>
  <c r="D14" i="30" s="1"/>
  <c r="O1" i="32"/>
  <c r="O45" i="32" s="1"/>
  <c r="D7" i="35"/>
  <c r="T12" i="7"/>
  <c r="N2" i="11"/>
  <c r="T13" i="7"/>
  <c r="S1" i="11"/>
  <c r="S39" i="11" s="1"/>
  <c r="P2" i="39"/>
  <c r="P2" i="36"/>
  <c r="T43" i="7"/>
  <c r="D7" i="1"/>
  <c r="O1" i="22"/>
  <c r="O16" i="22" s="1"/>
  <c r="D6" i="26"/>
  <c r="O1" i="29"/>
  <c r="O16" i="29" s="1"/>
  <c r="S2" i="39"/>
  <c r="S2" i="36"/>
  <c r="D14" i="35"/>
  <c r="D14" i="34" s="1"/>
  <c r="D12" i="35"/>
  <c r="D5" i="35"/>
  <c r="T17" i="36"/>
  <c r="T12" i="36"/>
  <c r="T20" i="36"/>
  <c r="T31" i="36"/>
  <c r="T35" i="36"/>
  <c r="T13" i="36"/>
  <c r="T8" i="36"/>
  <c r="T39" i="36"/>
  <c r="T7" i="36"/>
  <c r="T16" i="36"/>
  <c r="T40" i="36"/>
  <c r="T38" i="36"/>
  <c r="T36" i="36"/>
  <c r="T30" i="36"/>
  <c r="T21" i="36"/>
  <c r="T15" i="36"/>
  <c r="T44" i="36"/>
  <c r="T26" i="36"/>
  <c r="T43" i="36"/>
  <c r="T130" i="36"/>
  <c r="T158" i="36"/>
  <c r="T133" i="36"/>
  <c r="T159" i="36"/>
  <c r="U35" i="36"/>
  <c r="U17" i="36"/>
  <c r="U40" i="36"/>
  <c r="U26" i="36"/>
  <c r="U21" i="36"/>
  <c r="U158" i="36"/>
  <c r="U30" i="36"/>
  <c r="U15" i="36"/>
  <c r="U8" i="36"/>
  <c r="U7" i="36"/>
  <c r="U39" i="36"/>
  <c r="U16" i="36"/>
  <c r="U38" i="36"/>
  <c r="U13" i="36"/>
  <c r="U43" i="36"/>
  <c r="U44" i="36"/>
  <c r="U12" i="36"/>
  <c r="U20" i="36"/>
  <c r="U36" i="36"/>
  <c r="U31" i="36"/>
  <c r="U130" i="36"/>
  <c r="U133" i="36"/>
  <c r="U159" i="36"/>
  <c r="U164" i="39"/>
  <c r="U165" i="39"/>
  <c r="D20" i="38" s="1"/>
  <c r="D20" i="43" s="1"/>
  <c r="S1" i="19"/>
  <c r="S8" i="19" s="1"/>
  <c r="D10" i="1"/>
  <c r="D4" i="1"/>
  <c r="D7" i="18"/>
  <c r="D3" i="18"/>
  <c r="D20" i="27"/>
  <c r="D8" i="27"/>
  <c r="D6" i="28"/>
  <c r="D3" i="26"/>
  <c r="D4" i="26"/>
  <c r="D14" i="27"/>
  <c r="D12" i="27"/>
  <c r="D5" i="28"/>
  <c r="S1" i="22"/>
  <c r="S36" i="22" s="1"/>
  <c r="D6" i="1"/>
  <c r="D4" i="18"/>
  <c r="D13" i="18"/>
  <c r="D8" i="28"/>
  <c r="D8" i="30" s="1"/>
  <c r="D11" i="26"/>
  <c r="D3" i="28"/>
  <c r="D7" i="26"/>
  <c r="D18" i="26"/>
  <c r="D3" i="27"/>
  <c r="D7" i="27"/>
  <c r="D5" i="27"/>
  <c r="S1" i="29"/>
  <c r="S40" i="29" s="1"/>
  <c r="S1" i="7"/>
  <c r="S43" i="7" s="1"/>
  <c r="D13" i="1"/>
  <c r="D5" i="1"/>
  <c r="D10" i="18"/>
  <c r="D6" i="18"/>
  <c r="D13" i="26"/>
  <c r="D15" i="27"/>
  <c r="D12" i="28"/>
  <c r="D13" i="28"/>
  <c r="D4" i="28"/>
  <c r="D11" i="27"/>
  <c r="D6" i="27"/>
  <c r="R2" i="7"/>
  <c r="N20" i="19"/>
  <c r="N35" i="19"/>
  <c r="N31" i="19"/>
  <c r="N12" i="19"/>
  <c r="N17" i="19"/>
  <c r="N15" i="19"/>
  <c r="N7" i="19"/>
  <c r="N43" i="19"/>
  <c r="N30" i="19"/>
  <c r="N39" i="19"/>
  <c r="N21" i="19"/>
  <c r="N26" i="19"/>
  <c r="N16" i="19"/>
  <c r="N8" i="19"/>
  <c r="N38" i="19"/>
  <c r="N36" i="19"/>
  <c r="N40" i="19"/>
  <c r="N13" i="19"/>
  <c r="N44" i="19"/>
  <c r="N130" i="19"/>
  <c r="N133" i="19"/>
  <c r="N158" i="19"/>
  <c r="N159" i="19"/>
  <c r="N2" i="32"/>
  <c r="N165" i="32" s="1"/>
  <c r="N2" i="29"/>
  <c r="N162" i="29" s="1"/>
  <c r="N2" i="22"/>
  <c r="N164" i="22" s="1"/>
  <c r="N2" i="19"/>
  <c r="N162" i="19" s="1"/>
  <c r="N44" i="22"/>
  <c r="N36" i="22"/>
  <c r="N39" i="22"/>
  <c r="N16" i="22"/>
  <c r="N26" i="22"/>
  <c r="N21" i="22"/>
  <c r="N134" i="22"/>
  <c r="N31" i="22"/>
  <c r="N35" i="22"/>
  <c r="N12" i="22"/>
  <c r="N7" i="22"/>
  <c r="N15" i="22"/>
  <c r="N30" i="22"/>
  <c r="N40" i="22"/>
  <c r="N43" i="22"/>
  <c r="N13" i="22"/>
  <c r="N20" i="22"/>
  <c r="N17" i="22"/>
  <c r="N8" i="22"/>
  <c r="N38" i="22"/>
  <c r="N160" i="22"/>
  <c r="N137" i="22"/>
  <c r="N161" i="22"/>
  <c r="Q163" i="22"/>
  <c r="Q164" i="22"/>
  <c r="U161" i="19"/>
  <c r="U162" i="19"/>
  <c r="D20" i="30" s="1"/>
  <c r="W20" i="30" s="1"/>
  <c r="Q161" i="19"/>
  <c r="Q162" i="19"/>
  <c r="T2" i="11"/>
  <c r="T2" i="32"/>
  <c r="T2" i="29"/>
  <c r="T2" i="22"/>
  <c r="T2" i="19"/>
  <c r="N36" i="29"/>
  <c r="N40" i="29"/>
  <c r="N8" i="29"/>
  <c r="N13" i="29"/>
  <c r="N16" i="29"/>
  <c r="N30" i="29"/>
  <c r="N26" i="29"/>
  <c r="N43" i="29"/>
  <c r="N39" i="29"/>
  <c r="N20" i="29"/>
  <c r="N44" i="29"/>
  <c r="N15" i="29"/>
  <c r="N35" i="29"/>
  <c r="N38" i="29"/>
  <c r="N21" i="29"/>
  <c r="N12" i="29"/>
  <c r="N7" i="29"/>
  <c r="N31" i="29"/>
  <c r="N17" i="29"/>
  <c r="N130" i="29"/>
  <c r="N158" i="29"/>
  <c r="N159" i="29"/>
  <c r="N133" i="29"/>
  <c r="Q161" i="29"/>
  <c r="Q162" i="29"/>
  <c r="U163" i="22"/>
  <c r="U164" i="22"/>
  <c r="D20" i="21" s="1"/>
  <c r="U161" i="29"/>
  <c r="U162" i="29"/>
  <c r="P2" i="11"/>
  <c r="P2" i="32"/>
  <c r="P2" i="29"/>
  <c r="P2" i="22"/>
  <c r="P2" i="19"/>
  <c r="N2" i="7"/>
  <c r="P2" i="7"/>
  <c r="R2" i="32"/>
  <c r="R2" i="29"/>
  <c r="R2" i="22"/>
  <c r="R2" i="19"/>
  <c r="N44" i="32"/>
  <c r="N40" i="32"/>
  <c r="N35" i="32"/>
  <c r="N17" i="32"/>
  <c r="N21" i="32"/>
  <c r="N135" i="32"/>
  <c r="N39" i="32"/>
  <c r="N36" i="32"/>
  <c r="N43" i="32"/>
  <c r="N26" i="32"/>
  <c r="N16" i="32"/>
  <c r="N8" i="32"/>
  <c r="N38" i="32"/>
  <c r="N7" i="32"/>
  <c r="N31" i="32"/>
  <c r="N30" i="32"/>
  <c r="N20" i="32"/>
  <c r="N13" i="32"/>
  <c r="N15" i="32"/>
  <c r="N45" i="32"/>
  <c r="N12" i="32"/>
  <c r="N161" i="32"/>
  <c r="N138" i="32"/>
  <c r="N162" i="32"/>
  <c r="Q164" i="32"/>
  <c r="Q165" i="32"/>
  <c r="U164" i="32"/>
  <c r="U165" i="32"/>
  <c r="D20" i="31" s="1"/>
  <c r="R31" i="22"/>
  <c r="R35" i="22"/>
  <c r="R38" i="22"/>
  <c r="R13" i="22"/>
  <c r="R21" i="22"/>
  <c r="R36" i="22"/>
  <c r="R26" i="22"/>
  <c r="R20" i="22"/>
  <c r="R40" i="22"/>
  <c r="R39" i="22"/>
  <c r="R7" i="22"/>
  <c r="R16" i="22"/>
  <c r="R44" i="22"/>
  <c r="R43" i="22"/>
  <c r="R12" i="22"/>
  <c r="R15" i="22"/>
  <c r="R30" i="22"/>
  <c r="R17" i="22"/>
  <c r="R8" i="22"/>
  <c r="R134" i="22"/>
  <c r="R137" i="22"/>
  <c r="R160" i="22"/>
  <c r="R161" i="22"/>
  <c r="T44" i="22"/>
  <c r="T36" i="22"/>
  <c r="T35" i="22"/>
  <c r="T20" i="22"/>
  <c r="T15" i="22"/>
  <c r="T7" i="22"/>
  <c r="T31" i="22"/>
  <c r="T13" i="22"/>
  <c r="T39" i="22"/>
  <c r="T40" i="22"/>
  <c r="T12" i="22"/>
  <c r="T8" i="22"/>
  <c r="T26" i="22"/>
  <c r="T43" i="22"/>
  <c r="T38" i="22"/>
  <c r="T16" i="22"/>
  <c r="T17" i="22"/>
  <c r="T30" i="22"/>
  <c r="T21" i="22"/>
  <c r="T134" i="22"/>
  <c r="T137" i="22"/>
  <c r="T160" i="22"/>
  <c r="T161" i="22"/>
  <c r="R31" i="29"/>
  <c r="R44" i="29"/>
  <c r="R15" i="29"/>
  <c r="R20" i="29"/>
  <c r="R30" i="29"/>
  <c r="R32" i="29" s="1"/>
  <c r="R40" i="29"/>
  <c r="R26" i="29"/>
  <c r="R7" i="29"/>
  <c r="R43" i="29"/>
  <c r="R36" i="29"/>
  <c r="R39" i="29"/>
  <c r="R8" i="29"/>
  <c r="R13" i="29"/>
  <c r="R16" i="29"/>
  <c r="R35" i="29"/>
  <c r="R38" i="29"/>
  <c r="R12" i="29"/>
  <c r="R21" i="29"/>
  <c r="R17" i="29"/>
  <c r="R158" i="29"/>
  <c r="R130" i="29"/>
  <c r="R133" i="29"/>
  <c r="R159" i="29"/>
  <c r="T16" i="29"/>
  <c r="T39" i="29"/>
  <c r="T38" i="29"/>
  <c r="T20" i="29"/>
  <c r="T21" i="29"/>
  <c r="T43" i="29"/>
  <c r="T36" i="29"/>
  <c r="T30" i="29"/>
  <c r="T17" i="29"/>
  <c r="T12" i="29"/>
  <c r="T15" i="29"/>
  <c r="T35" i="29"/>
  <c r="T44" i="29"/>
  <c r="T7" i="29"/>
  <c r="T13" i="29"/>
  <c r="T31" i="29"/>
  <c r="T40" i="29"/>
  <c r="T8" i="29"/>
  <c r="T26" i="29"/>
  <c r="T130" i="29"/>
  <c r="T133" i="29"/>
  <c r="T158" i="29"/>
  <c r="T159" i="29"/>
  <c r="U39" i="22"/>
  <c r="U43" i="22"/>
  <c r="U40" i="22"/>
  <c r="U26" i="22"/>
  <c r="U16" i="22"/>
  <c r="U17" i="22"/>
  <c r="U31" i="22"/>
  <c r="U8" i="22"/>
  <c r="U36" i="22"/>
  <c r="U35" i="22"/>
  <c r="U13" i="22"/>
  <c r="U12" i="22"/>
  <c r="U21" i="22"/>
  <c r="U30" i="22"/>
  <c r="U38" i="22"/>
  <c r="U7" i="22"/>
  <c r="U9" i="22" s="1"/>
  <c r="U44" i="22"/>
  <c r="U15" i="22"/>
  <c r="U20" i="22"/>
  <c r="U134" i="22"/>
  <c r="U137" i="22"/>
  <c r="U160" i="22"/>
  <c r="U161" i="22"/>
  <c r="R8" i="32"/>
  <c r="R40" i="32"/>
  <c r="R35" i="32"/>
  <c r="R12" i="32"/>
  <c r="R21" i="32"/>
  <c r="R13" i="32"/>
  <c r="R45" i="32"/>
  <c r="R43" i="32"/>
  <c r="R31" i="32"/>
  <c r="R7" i="32"/>
  <c r="R17" i="32"/>
  <c r="R30" i="32"/>
  <c r="R38" i="32"/>
  <c r="R26" i="32"/>
  <c r="R44" i="32"/>
  <c r="R36" i="32"/>
  <c r="R39" i="32"/>
  <c r="R15" i="32"/>
  <c r="R20" i="32"/>
  <c r="R16" i="32"/>
  <c r="R135" i="32"/>
  <c r="R138" i="32"/>
  <c r="R161" i="32"/>
  <c r="R162" i="32"/>
  <c r="T16" i="32"/>
  <c r="T17" i="32"/>
  <c r="T31" i="32"/>
  <c r="T30" i="32"/>
  <c r="T44" i="32"/>
  <c r="T36" i="32"/>
  <c r="T35" i="32"/>
  <c r="T7" i="32"/>
  <c r="T15" i="32"/>
  <c r="T20" i="32"/>
  <c r="T12" i="32"/>
  <c r="T40" i="32"/>
  <c r="T39" i="32"/>
  <c r="T8" i="32"/>
  <c r="T21" i="32"/>
  <c r="T45" i="32"/>
  <c r="T38" i="32"/>
  <c r="T43" i="32"/>
  <c r="T26" i="32"/>
  <c r="T13" i="32"/>
  <c r="T135" i="32"/>
  <c r="T138" i="32"/>
  <c r="T161" i="32"/>
  <c r="T162" i="32"/>
  <c r="U39" i="29"/>
  <c r="U36" i="29"/>
  <c r="U17" i="29"/>
  <c r="U40" i="29"/>
  <c r="U31" i="29"/>
  <c r="U8" i="29"/>
  <c r="U21" i="29"/>
  <c r="U38" i="29"/>
  <c r="U43" i="29"/>
  <c r="U7" i="29"/>
  <c r="U9" i="29" s="1"/>
  <c r="U12" i="29"/>
  <c r="U26" i="29"/>
  <c r="U44" i="29"/>
  <c r="U30" i="29"/>
  <c r="U35" i="29"/>
  <c r="U16" i="29"/>
  <c r="U20" i="29"/>
  <c r="U13" i="29"/>
  <c r="U15" i="29"/>
  <c r="U130" i="29"/>
  <c r="U133" i="29"/>
  <c r="U158" i="29"/>
  <c r="U159" i="29"/>
  <c r="U36" i="19"/>
  <c r="U38" i="19"/>
  <c r="U26" i="19"/>
  <c r="U15" i="19"/>
  <c r="U20" i="19"/>
  <c r="U44" i="19"/>
  <c r="U8" i="19"/>
  <c r="U40" i="19"/>
  <c r="U16" i="19"/>
  <c r="U30" i="19"/>
  <c r="U35" i="19"/>
  <c r="U130" i="19"/>
  <c r="U17" i="19"/>
  <c r="U13" i="19"/>
  <c r="U7" i="19"/>
  <c r="U9" i="19" s="1"/>
  <c r="U43" i="19"/>
  <c r="U31" i="19"/>
  <c r="U12" i="19"/>
  <c r="U39" i="19"/>
  <c r="U21" i="19"/>
  <c r="U158" i="19"/>
  <c r="U133" i="19"/>
  <c r="U159" i="19"/>
  <c r="R44" i="19"/>
  <c r="R38" i="19"/>
  <c r="R26" i="19"/>
  <c r="R17" i="19"/>
  <c r="R43" i="19"/>
  <c r="R39" i="19"/>
  <c r="R13" i="19"/>
  <c r="R36" i="19"/>
  <c r="R16" i="19"/>
  <c r="R35" i="19"/>
  <c r="R31" i="19"/>
  <c r="R8" i="19"/>
  <c r="R30" i="19"/>
  <c r="R12" i="19"/>
  <c r="R21" i="19"/>
  <c r="R40" i="19"/>
  <c r="R20" i="19"/>
  <c r="R15" i="19"/>
  <c r="R7" i="19"/>
  <c r="R130" i="19"/>
  <c r="R133" i="19"/>
  <c r="R158" i="19"/>
  <c r="R159" i="19"/>
  <c r="T36" i="19"/>
  <c r="T39" i="19"/>
  <c r="T15" i="19"/>
  <c r="T16" i="19"/>
  <c r="T35" i="19"/>
  <c r="T31" i="19"/>
  <c r="T20" i="19"/>
  <c r="T17" i="19"/>
  <c r="T44" i="19"/>
  <c r="T38" i="19"/>
  <c r="T30" i="19"/>
  <c r="T12" i="19"/>
  <c r="T7" i="19"/>
  <c r="T40" i="19"/>
  <c r="T26" i="19"/>
  <c r="T43" i="19"/>
  <c r="T21" i="19"/>
  <c r="T13" i="19"/>
  <c r="T8" i="19"/>
  <c r="T130" i="19"/>
  <c r="T158" i="19"/>
  <c r="T133" i="19"/>
  <c r="T159" i="19"/>
  <c r="U44" i="32"/>
  <c r="U36" i="32"/>
  <c r="U31" i="32"/>
  <c r="U26" i="32"/>
  <c r="U8" i="32"/>
  <c r="U20" i="32"/>
  <c r="U45" i="32"/>
  <c r="U40" i="32"/>
  <c r="U17" i="32"/>
  <c r="U16" i="32"/>
  <c r="U7" i="32"/>
  <c r="U39" i="32"/>
  <c r="U35" i="32"/>
  <c r="U21" i="32"/>
  <c r="U12" i="32"/>
  <c r="U15" i="32"/>
  <c r="U13" i="32"/>
  <c r="U43" i="32"/>
  <c r="U30" i="32"/>
  <c r="U32" i="32" s="1"/>
  <c r="U38" i="32"/>
  <c r="U135" i="32"/>
  <c r="U138" i="32"/>
  <c r="U161" i="32"/>
  <c r="U162" i="32"/>
  <c r="Q39" i="29"/>
  <c r="Q36" i="29"/>
  <c r="Q13" i="29"/>
  <c r="Q21" i="29"/>
  <c r="Q26" i="29"/>
  <c r="Q12" i="29"/>
  <c r="Q30" i="29"/>
  <c r="Q43" i="29"/>
  <c r="Q7" i="29"/>
  <c r="Q40" i="29"/>
  <c r="Q31" i="29"/>
  <c r="Q20" i="29"/>
  <c r="Q17" i="29"/>
  <c r="Q38" i="29"/>
  <c r="Q35" i="29"/>
  <c r="Q15" i="29"/>
  <c r="Q44" i="29"/>
  <c r="Q16" i="29"/>
  <c r="Q8" i="29"/>
  <c r="Q130" i="29"/>
  <c r="Q133" i="29"/>
  <c r="Q158" i="29"/>
  <c r="Q159" i="29"/>
  <c r="Q44" i="32"/>
  <c r="Q30" i="32"/>
  <c r="Q35" i="32"/>
  <c r="Q7" i="32"/>
  <c r="Q31" i="32"/>
  <c r="Q15" i="32"/>
  <c r="Q40" i="32"/>
  <c r="Q26" i="32"/>
  <c r="Q12" i="32"/>
  <c r="Q43" i="32"/>
  <c r="Q45" i="32"/>
  <c r="Q38" i="32"/>
  <c r="Q16" i="32"/>
  <c r="Q13" i="32"/>
  <c r="Q17" i="32"/>
  <c r="Q39" i="32"/>
  <c r="Q8" i="32"/>
  <c r="Q20" i="32"/>
  <c r="Q36" i="32"/>
  <c r="Q21" i="32"/>
  <c r="Q135" i="32"/>
  <c r="Q138" i="32"/>
  <c r="Q161" i="32"/>
  <c r="Q162" i="32"/>
  <c r="Q39" i="19"/>
  <c r="Q40" i="19"/>
  <c r="Q8" i="19"/>
  <c r="Q20" i="19"/>
  <c r="Q36" i="19"/>
  <c r="Q38" i="19"/>
  <c r="Q26" i="19"/>
  <c r="Q17" i="19"/>
  <c r="Q130" i="19"/>
  <c r="Q7" i="19"/>
  <c r="Q30" i="19"/>
  <c r="Q35" i="19"/>
  <c r="Q21" i="19"/>
  <c r="Q13" i="19"/>
  <c r="Q16" i="19"/>
  <c r="Q43" i="19"/>
  <c r="Q44" i="19"/>
  <c r="Q31" i="19"/>
  <c r="Q15" i="19"/>
  <c r="Q12" i="19"/>
  <c r="Q158" i="19"/>
  <c r="Q133" i="19"/>
  <c r="Q159" i="19"/>
  <c r="Q17" i="22"/>
  <c r="Q36" i="22"/>
  <c r="Q35" i="22"/>
  <c r="Q21" i="22"/>
  <c r="Q13" i="22"/>
  <c r="Q15" i="22"/>
  <c r="Q20" i="22"/>
  <c r="Q39" i="22"/>
  <c r="Q12" i="22"/>
  <c r="Q43" i="22"/>
  <c r="Q30" i="22"/>
  <c r="Q38" i="22"/>
  <c r="Q8" i="22"/>
  <c r="Q26" i="22"/>
  <c r="Q7" i="22"/>
  <c r="Q44" i="22"/>
  <c r="Q31" i="22"/>
  <c r="Q40" i="22"/>
  <c r="Q16" i="22"/>
  <c r="Q134" i="22"/>
  <c r="Q160" i="22"/>
  <c r="Q137" i="22"/>
  <c r="Q161" i="22"/>
  <c r="P44" i="22"/>
  <c r="P43" i="22"/>
  <c r="P17" i="22"/>
  <c r="P8" i="22"/>
  <c r="P16" i="22"/>
  <c r="P35" i="22"/>
  <c r="P21" i="22"/>
  <c r="P20" i="22"/>
  <c r="P39" i="22"/>
  <c r="P15" i="22"/>
  <c r="P137" i="22"/>
  <c r="P161" i="22"/>
  <c r="P43" i="29"/>
  <c r="T16" i="11"/>
  <c r="T43" i="11"/>
  <c r="T39" i="11"/>
  <c r="T36" i="11"/>
  <c r="T30" i="11"/>
  <c r="T31" i="11"/>
  <c r="T40" i="11"/>
  <c r="T35" i="11"/>
  <c r="T38" i="11"/>
  <c r="T44" i="11"/>
  <c r="U16" i="11"/>
  <c r="U44" i="11"/>
  <c r="U40" i="11"/>
  <c r="U38" i="11"/>
  <c r="U35" i="11"/>
  <c r="U31" i="11"/>
  <c r="U39" i="11"/>
  <c r="U30" i="11"/>
  <c r="U43" i="11"/>
  <c r="U36" i="11"/>
  <c r="R16" i="11"/>
  <c r="R44" i="11"/>
  <c r="R38" i="11"/>
  <c r="R31" i="11"/>
  <c r="R35" i="11"/>
  <c r="R40" i="11"/>
  <c r="R30" i="11"/>
  <c r="R36" i="11"/>
  <c r="R39" i="11"/>
  <c r="R43" i="11"/>
  <c r="Q16" i="11"/>
  <c r="Q44" i="11"/>
  <c r="Q40" i="11"/>
  <c r="Q38" i="11"/>
  <c r="Q35" i="11"/>
  <c r="Q31" i="11"/>
  <c r="Q30" i="11"/>
  <c r="Q43" i="11"/>
  <c r="Q36" i="11"/>
  <c r="Q39" i="11"/>
  <c r="N16" i="11"/>
  <c r="N44" i="11"/>
  <c r="N40" i="11"/>
  <c r="N38" i="11"/>
  <c r="N31" i="11"/>
  <c r="N35" i="11"/>
  <c r="N30" i="11"/>
  <c r="N36" i="11"/>
  <c r="N39" i="11"/>
  <c r="N43" i="11"/>
  <c r="O16" i="11"/>
  <c r="O43" i="11"/>
  <c r="O39" i="11"/>
  <c r="O36" i="11"/>
  <c r="O30" i="11"/>
  <c r="O38" i="11"/>
  <c r="O44" i="11"/>
  <c r="O31" i="11"/>
  <c r="O40" i="11"/>
  <c r="O35" i="11"/>
  <c r="R16" i="7"/>
  <c r="R43" i="7"/>
  <c r="R39" i="7"/>
  <c r="R36" i="7"/>
  <c r="R30" i="7"/>
  <c r="R44" i="7"/>
  <c r="R35" i="7"/>
  <c r="R31" i="7"/>
  <c r="R38" i="7"/>
  <c r="R40" i="7"/>
  <c r="U16" i="7"/>
  <c r="U44" i="7"/>
  <c r="U40" i="7"/>
  <c r="U43" i="7"/>
  <c r="U36" i="7"/>
  <c r="U38" i="7"/>
  <c r="U35" i="7"/>
  <c r="U31" i="7"/>
  <c r="U30" i="7"/>
  <c r="U39" i="7"/>
  <c r="N16" i="7"/>
  <c r="N43" i="7"/>
  <c r="N39" i="7"/>
  <c r="N36" i="7"/>
  <c r="N30" i="7"/>
  <c r="N44" i="7"/>
  <c r="N35" i="7"/>
  <c r="N31" i="7"/>
  <c r="N38" i="7"/>
  <c r="N40" i="7"/>
  <c r="Q16" i="7"/>
  <c r="Q38" i="7"/>
  <c r="Q35" i="7"/>
  <c r="Q31" i="7"/>
  <c r="Q43" i="7"/>
  <c r="Q36" i="7"/>
  <c r="Q44" i="7"/>
  <c r="Q40" i="7"/>
  <c r="Q30" i="7"/>
  <c r="Q39" i="7"/>
  <c r="D54" i="20"/>
  <c r="D51" i="20"/>
  <c r="D36" i="20"/>
  <c r="D37" i="20"/>
  <c r="D56" i="20"/>
  <c r="H65" i="20"/>
  <c r="AG65" i="20" s="1"/>
  <c r="D63" i="20"/>
  <c r="H60" i="20"/>
  <c r="AG60" i="20" s="1"/>
  <c r="D57" i="1"/>
  <c r="D55" i="20"/>
  <c r="G73" i="20"/>
  <c r="AF73" i="20" s="1"/>
  <c r="G65" i="20"/>
  <c r="AF65" i="20" s="1"/>
  <c r="K63" i="20"/>
  <c r="AJ63" i="20" s="1"/>
  <c r="G63" i="20"/>
  <c r="AF63" i="20" s="1"/>
  <c r="K61" i="20"/>
  <c r="AJ61" i="20" s="1"/>
  <c r="G61" i="20"/>
  <c r="AF61" i="20" s="1"/>
  <c r="K60" i="20"/>
  <c r="AJ60" i="20" s="1"/>
  <c r="G60" i="20"/>
  <c r="AF60" i="20" s="1"/>
  <c r="K57" i="1"/>
  <c r="K55" i="20"/>
  <c r="D65" i="20"/>
  <c r="H61" i="20"/>
  <c r="AG61" i="20" s="1"/>
  <c r="D60" i="20"/>
  <c r="K73" i="20"/>
  <c r="AJ73" i="20" s="1"/>
  <c r="F73" i="20"/>
  <c r="AE73" i="20" s="1"/>
  <c r="J63" i="20"/>
  <c r="AI63" i="20" s="1"/>
  <c r="J61" i="20"/>
  <c r="AI61" i="20" s="1"/>
  <c r="F61" i="20"/>
  <c r="AE61" i="20" s="1"/>
  <c r="J60" i="20"/>
  <c r="AI60" i="20" s="1"/>
  <c r="F60" i="20"/>
  <c r="AE60" i="20" s="1"/>
  <c r="H73" i="20"/>
  <c r="AG73" i="20" s="1"/>
  <c r="D73" i="20"/>
  <c r="H63" i="20"/>
  <c r="AG63" i="20" s="1"/>
  <c r="D61" i="20"/>
  <c r="K65" i="20"/>
  <c r="AJ65" i="20" s="1"/>
  <c r="J73" i="20"/>
  <c r="AI73" i="20" s="1"/>
  <c r="J65" i="20"/>
  <c r="AI65" i="20" s="1"/>
  <c r="F65" i="20"/>
  <c r="AE65" i="20" s="1"/>
  <c r="F63" i="20"/>
  <c r="AE63" i="20" s="1"/>
  <c r="I73" i="20"/>
  <c r="AH73" i="20" s="1"/>
  <c r="E73" i="20"/>
  <c r="AD73" i="20" s="1"/>
  <c r="I65" i="20"/>
  <c r="AH65" i="20" s="1"/>
  <c r="E65" i="20"/>
  <c r="AD65" i="20" s="1"/>
  <c r="I63" i="20"/>
  <c r="AH63" i="20" s="1"/>
  <c r="E63" i="20"/>
  <c r="AD63" i="20" s="1"/>
  <c r="I61" i="20"/>
  <c r="AH61" i="20" s="1"/>
  <c r="E61" i="20"/>
  <c r="AD61" i="20" s="1"/>
  <c r="I60" i="20"/>
  <c r="AH60" i="20" s="1"/>
  <c r="E60" i="20"/>
  <c r="AD60" i="20" s="1"/>
  <c r="J45" i="1"/>
  <c r="J45" i="20" s="1"/>
  <c r="J97" i="1"/>
  <c r="J97" i="20" s="1"/>
  <c r="F45" i="1"/>
  <c r="F45" i="20" s="1"/>
  <c r="F97" i="1"/>
  <c r="F97" i="20" s="1"/>
  <c r="J43" i="1"/>
  <c r="J43" i="20" s="1"/>
  <c r="J96" i="1"/>
  <c r="J96" i="20" s="1"/>
  <c r="F43" i="1"/>
  <c r="F43" i="20" s="1"/>
  <c r="F96" i="1"/>
  <c r="F96" i="20" s="1"/>
  <c r="K45" i="1"/>
  <c r="K45" i="20" s="1"/>
  <c r="K97" i="1"/>
  <c r="K97" i="20" s="1"/>
  <c r="G45" i="1"/>
  <c r="G45" i="20" s="1"/>
  <c r="G97" i="1"/>
  <c r="G97" i="20" s="1"/>
  <c r="K43" i="1"/>
  <c r="K43" i="20" s="1"/>
  <c r="K96" i="1"/>
  <c r="K96" i="20" s="1"/>
  <c r="G43" i="1"/>
  <c r="G43" i="20" s="1"/>
  <c r="G96" i="1"/>
  <c r="G96" i="20" s="1"/>
  <c r="H43" i="1"/>
  <c r="H43" i="20" s="1"/>
  <c r="H96" i="1"/>
  <c r="H96" i="20" s="1"/>
  <c r="D43" i="1"/>
  <c r="D96" i="1"/>
  <c r="I45" i="1"/>
  <c r="I45" i="20" s="1"/>
  <c r="I97" i="1"/>
  <c r="I97" i="20" s="1"/>
  <c r="E45" i="1"/>
  <c r="E45" i="20" s="1"/>
  <c r="E97" i="1"/>
  <c r="E97" i="20" s="1"/>
  <c r="I43" i="1"/>
  <c r="I43" i="20" s="1"/>
  <c r="I96" i="1"/>
  <c r="I96" i="20" s="1"/>
  <c r="E43" i="1"/>
  <c r="E43" i="20" s="1"/>
  <c r="E96" i="1"/>
  <c r="E96" i="20" s="1"/>
  <c r="U13" i="7"/>
  <c r="U12" i="7"/>
  <c r="N12" i="7"/>
  <c r="N13" i="7"/>
  <c r="Q12" i="7"/>
  <c r="Q13" i="7"/>
  <c r="U7" i="11"/>
  <c r="U13" i="11"/>
  <c r="U12" i="11"/>
  <c r="U26" i="11"/>
  <c r="U8" i="11"/>
  <c r="U17" i="11"/>
  <c r="U15" i="11"/>
  <c r="N7" i="11"/>
  <c r="N13" i="11"/>
  <c r="N26" i="11"/>
  <c r="N15" i="11"/>
  <c r="N17" i="11"/>
  <c r="N12" i="11"/>
  <c r="N8" i="11"/>
  <c r="O7" i="11"/>
  <c r="O13" i="11"/>
  <c r="O17" i="11"/>
  <c r="O15" i="11"/>
  <c r="O26" i="11"/>
  <c r="O8" i="11"/>
  <c r="O12" i="11"/>
  <c r="R13" i="7"/>
  <c r="R12" i="7"/>
  <c r="T13" i="11"/>
  <c r="T7" i="11"/>
  <c r="T12" i="11"/>
  <c r="T17" i="11"/>
  <c r="T8" i="11"/>
  <c r="T26" i="11"/>
  <c r="T15" i="11"/>
  <c r="Q7" i="11"/>
  <c r="Q13" i="11"/>
  <c r="Q12" i="11"/>
  <c r="Q15" i="11"/>
  <c r="Q26" i="11"/>
  <c r="Q17" i="11"/>
  <c r="Q8" i="11"/>
  <c r="R7" i="11"/>
  <c r="R13" i="11"/>
  <c r="R26" i="11"/>
  <c r="R17" i="11"/>
  <c r="R12" i="11"/>
  <c r="R8" i="11"/>
  <c r="R15" i="11"/>
  <c r="E140" i="7"/>
  <c r="I140" i="7"/>
  <c r="D140" i="7"/>
  <c r="D146" i="7" s="1"/>
  <c r="G140" i="7"/>
  <c r="K140" i="7"/>
  <c r="F130" i="7"/>
  <c r="F133" i="7" s="1"/>
  <c r="G57" i="1"/>
  <c r="H51" i="1"/>
  <c r="H51" i="20" s="1"/>
  <c r="H57" i="1"/>
  <c r="I51" i="1"/>
  <c r="I51" i="20" s="1"/>
  <c r="E51" i="1"/>
  <c r="E51" i="20" s="1"/>
  <c r="L73" i="1"/>
  <c r="L73" i="20" s="1"/>
  <c r="L61" i="1"/>
  <c r="L61" i="20" s="1"/>
  <c r="I57" i="1"/>
  <c r="J51" i="1"/>
  <c r="J51" i="20" s="1"/>
  <c r="E57" i="1"/>
  <c r="F51" i="1"/>
  <c r="F51" i="20" s="1"/>
  <c r="J57" i="1"/>
  <c r="K51" i="1"/>
  <c r="K51" i="20" s="1"/>
  <c r="F57" i="1"/>
  <c r="G51" i="1"/>
  <c r="G51" i="20" s="1"/>
  <c r="D132" i="7"/>
  <c r="H132" i="7"/>
  <c r="D53" i="1"/>
  <c r="F53" i="1"/>
  <c r="F53" i="20" s="1"/>
  <c r="J53" i="1"/>
  <c r="J53" i="20" s="1"/>
  <c r="G54" i="1"/>
  <c r="G54" i="20" s="1"/>
  <c r="K54" i="1"/>
  <c r="K54" i="20" s="1"/>
  <c r="F140" i="7"/>
  <c r="F146" i="7" s="1"/>
  <c r="J140" i="7"/>
  <c r="J146" i="7" s="1"/>
  <c r="E53" i="1"/>
  <c r="E53" i="20" s="1"/>
  <c r="I53" i="1"/>
  <c r="I53" i="20" s="1"/>
  <c r="F54" i="1"/>
  <c r="F54" i="20" s="1"/>
  <c r="J54" i="1"/>
  <c r="J54" i="20" s="1"/>
  <c r="H53" i="1"/>
  <c r="H53" i="20" s="1"/>
  <c r="E54" i="1"/>
  <c r="E54" i="20" s="1"/>
  <c r="I54" i="1"/>
  <c r="I54" i="20" s="1"/>
  <c r="H140" i="7"/>
  <c r="H146" i="7" s="1"/>
  <c r="G53" i="1"/>
  <c r="G53" i="20" s="1"/>
  <c r="K53" i="1"/>
  <c r="K53" i="20" s="1"/>
  <c r="L65" i="1"/>
  <c r="L65" i="20" s="1"/>
  <c r="L63" i="1"/>
  <c r="L63" i="20" s="1"/>
  <c r="K38" i="1"/>
  <c r="L60" i="1"/>
  <c r="L60" i="20" s="1"/>
  <c r="H130" i="7"/>
  <c r="D130" i="7"/>
  <c r="I130" i="7"/>
  <c r="E130" i="7"/>
  <c r="G38" i="1"/>
  <c r="J130" i="7"/>
  <c r="K130" i="7"/>
  <c r="G130" i="7"/>
  <c r="I38" i="1"/>
  <c r="E38" i="1"/>
  <c r="J38" i="1"/>
  <c r="F38" i="1"/>
  <c r="D38" i="1"/>
  <c r="L37" i="1"/>
  <c r="L37" i="20" s="1"/>
  <c r="H38" i="1"/>
  <c r="L36" i="1"/>
  <c r="L36" i="20" s="1"/>
  <c r="T46" i="47" l="1"/>
  <c r="Q32" i="47"/>
  <c r="S23" i="47"/>
  <c r="R50" i="55"/>
  <c r="P33" i="55"/>
  <c r="Q47" i="56"/>
  <c r="S46" i="47"/>
  <c r="O24" i="56"/>
  <c r="O47" i="56"/>
  <c r="N47" i="49"/>
  <c r="S47" i="56"/>
  <c r="Q23" i="47"/>
  <c r="R33" i="55"/>
  <c r="T33" i="55"/>
  <c r="N23" i="49"/>
  <c r="P138" i="39"/>
  <c r="P17" i="39"/>
  <c r="P158" i="42"/>
  <c r="P134" i="56"/>
  <c r="P31" i="56"/>
  <c r="P16" i="56"/>
  <c r="P18" i="56"/>
  <c r="P22" i="56"/>
  <c r="P24" i="56" s="1"/>
  <c r="P13" i="56"/>
  <c r="P35" i="19"/>
  <c r="P13" i="39"/>
  <c r="P7" i="39"/>
  <c r="P131" i="56"/>
  <c r="P27" i="56"/>
  <c r="V27" i="56" s="1"/>
  <c r="P41" i="56"/>
  <c r="P47" i="56" s="1"/>
  <c r="P36" i="56"/>
  <c r="V36" i="56" s="1"/>
  <c r="V41" i="56"/>
  <c r="R24" i="55"/>
  <c r="V9" i="55"/>
  <c r="U50" i="55"/>
  <c r="P24" i="55"/>
  <c r="V50" i="55"/>
  <c r="V24" i="55"/>
  <c r="S9" i="55"/>
  <c r="S24" i="55"/>
  <c r="S33" i="55"/>
  <c r="Q37" i="55"/>
  <c r="W37" i="55" s="1"/>
  <c r="Q42" i="55"/>
  <c r="W42" i="55" s="1"/>
  <c r="Q12" i="55"/>
  <c r="W12" i="55" s="1"/>
  <c r="Q18" i="55"/>
  <c r="W18" i="55" s="1"/>
  <c r="Q43" i="55"/>
  <c r="W43" i="55" s="1"/>
  <c r="Q36" i="55"/>
  <c r="W36" i="55" s="1"/>
  <c r="Q17" i="55"/>
  <c r="W17" i="55" s="1"/>
  <c r="Q21" i="55"/>
  <c r="W21" i="55" s="1"/>
  <c r="Q27" i="55"/>
  <c r="W27" i="55" s="1"/>
  <c r="Q48" i="55"/>
  <c r="W48" i="55" s="1"/>
  <c r="Q46" i="55"/>
  <c r="W46" i="55" s="1"/>
  <c r="Q22" i="55"/>
  <c r="W22" i="55" s="1"/>
  <c r="Q47" i="55"/>
  <c r="W47" i="55" s="1"/>
  <c r="Q8" i="55"/>
  <c r="W8" i="55" s="1"/>
  <c r="Q13" i="55"/>
  <c r="W13" i="55" s="1"/>
  <c r="Q7" i="55"/>
  <c r="Q32" i="55"/>
  <c r="W32" i="55" s="1"/>
  <c r="Q16" i="55"/>
  <c r="Q31" i="55"/>
  <c r="Q41" i="55"/>
  <c r="W41" i="55" s="1"/>
  <c r="Q155" i="55"/>
  <c r="Q181" i="55"/>
  <c r="Q158" i="55"/>
  <c r="Q182" i="55"/>
  <c r="U9" i="55"/>
  <c r="P50" i="55"/>
  <c r="S50" i="55"/>
  <c r="T9" i="55"/>
  <c r="T50" i="55"/>
  <c r="U24" i="55"/>
  <c r="P9" i="55"/>
  <c r="V33" i="55"/>
  <c r="T24" i="55"/>
  <c r="U33" i="55"/>
  <c r="R9" i="47"/>
  <c r="P8" i="19"/>
  <c r="P12" i="42"/>
  <c r="P43" i="42"/>
  <c r="P12" i="11"/>
  <c r="P36" i="11"/>
  <c r="P134" i="22"/>
  <c r="P40" i="22"/>
  <c r="P12" i="22"/>
  <c r="P26" i="22"/>
  <c r="P13" i="22"/>
  <c r="P7" i="42"/>
  <c r="P44" i="45"/>
  <c r="P138" i="45"/>
  <c r="R32" i="49"/>
  <c r="U46" i="47"/>
  <c r="P160" i="22"/>
  <c r="P7" i="22"/>
  <c r="P9" i="22" s="1"/>
  <c r="P36" i="22"/>
  <c r="P31" i="22"/>
  <c r="P32" i="22" s="1"/>
  <c r="P38" i="22"/>
  <c r="P17" i="42"/>
  <c r="P21" i="42"/>
  <c r="V18" i="56"/>
  <c r="V13" i="56"/>
  <c r="P30" i="29"/>
  <c r="P133" i="42"/>
  <c r="P35" i="42"/>
  <c r="P8" i="42"/>
  <c r="P39" i="42"/>
  <c r="P20" i="42"/>
  <c r="P31" i="42"/>
  <c r="P32" i="42" s="1"/>
  <c r="P130" i="42"/>
  <c r="P13" i="42"/>
  <c r="P38" i="42"/>
  <c r="P26" i="42"/>
  <c r="P15" i="42"/>
  <c r="S32" i="47"/>
  <c r="P16" i="29"/>
  <c r="P36" i="36"/>
  <c r="P159" i="42"/>
  <c r="P40" i="42"/>
  <c r="P16" i="42"/>
  <c r="P36" i="42"/>
  <c r="P44" i="42"/>
  <c r="D15" i="46"/>
  <c r="D14" i="26" s="1"/>
  <c r="R32" i="47"/>
  <c r="P38" i="11"/>
  <c r="P158" i="19"/>
  <c r="P12" i="19"/>
  <c r="P135" i="39"/>
  <c r="P45" i="39"/>
  <c r="P12" i="39"/>
  <c r="P15" i="39"/>
  <c r="P30" i="39"/>
  <c r="P36" i="39"/>
  <c r="P162" i="39"/>
  <c r="P39" i="39"/>
  <c r="P40" i="39"/>
  <c r="P38" i="39"/>
  <c r="P31" i="39"/>
  <c r="P16" i="39"/>
  <c r="P13" i="11"/>
  <c r="P15" i="19"/>
  <c r="P161" i="39"/>
  <c r="P44" i="39"/>
  <c r="P21" i="39"/>
  <c r="P26" i="39"/>
  <c r="P8" i="39"/>
  <c r="U9" i="47"/>
  <c r="R46" i="47"/>
  <c r="O46" i="47"/>
  <c r="V45" i="56"/>
  <c r="T23" i="47"/>
  <c r="V8" i="56"/>
  <c r="V40" i="56"/>
  <c r="P39" i="11"/>
  <c r="V39" i="11" s="1"/>
  <c r="P130" i="19"/>
  <c r="P30" i="19"/>
  <c r="P17" i="19"/>
  <c r="P161" i="45"/>
  <c r="P45" i="45"/>
  <c r="Q9" i="49"/>
  <c r="V12" i="56"/>
  <c r="V37" i="56"/>
  <c r="P33" i="56"/>
  <c r="T23" i="42"/>
  <c r="P26" i="11"/>
  <c r="P44" i="11"/>
  <c r="P40" i="19"/>
  <c r="P16" i="19"/>
  <c r="P43" i="19"/>
  <c r="P39" i="45"/>
  <c r="R23" i="49"/>
  <c r="O23" i="47"/>
  <c r="R23" i="47"/>
  <c r="V32" i="56"/>
  <c r="V44" i="56"/>
  <c r="V21" i="56"/>
  <c r="P31" i="29"/>
  <c r="P35" i="29"/>
  <c r="P13" i="29"/>
  <c r="V31" i="56"/>
  <c r="N33" i="56"/>
  <c r="N9" i="56"/>
  <c r="V7" i="56"/>
  <c r="N47" i="56"/>
  <c r="V39" i="56"/>
  <c r="P9" i="56"/>
  <c r="P133" i="29"/>
  <c r="P8" i="29"/>
  <c r="P12" i="29"/>
  <c r="P135" i="45"/>
  <c r="P20" i="45"/>
  <c r="U23" i="47"/>
  <c r="P158" i="29"/>
  <c r="P39" i="29"/>
  <c r="P20" i="29"/>
  <c r="P7" i="45"/>
  <c r="P31" i="45"/>
  <c r="R9" i="49"/>
  <c r="O9" i="47"/>
  <c r="V16" i="56"/>
  <c r="N24" i="56"/>
  <c r="V17" i="56"/>
  <c r="P40" i="36"/>
  <c r="T47" i="49"/>
  <c r="U47" i="49"/>
  <c r="O23" i="49"/>
  <c r="S47" i="49"/>
  <c r="P38" i="36"/>
  <c r="T9" i="49"/>
  <c r="T23" i="49"/>
  <c r="O32" i="47"/>
  <c r="U23" i="49"/>
  <c r="O32" i="49"/>
  <c r="O9" i="49"/>
  <c r="S9" i="49"/>
  <c r="S23" i="49"/>
  <c r="Q32" i="49"/>
  <c r="P133" i="36"/>
  <c r="P40" i="49"/>
  <c r="V40" i="49" s="1"/>
  <c r="P17" i="49"/>
  <c r="V17" i="49" s="1"/>
  <c r="D7" i="48" s="1"/>
  <c r="P7" i="49"/>
  <c r="V7" i="49" s="1"/>
  <c r="P21" i="49"/>
  <c r="V21" i="49" s="1"/>
  <c r="D6" i="48" s="1"/>
  <c r="P39" i="49"/>
  <c r="V39" i="49" s="1"/>
  <c r="P38" i="49"/>
  <c r="P45" i="49"/>
  <c r="V45" i="49" s="1"/>
  <c r="P43" i="49"/>
  <c r="V43" i="49" s="1"/>
  <c r="P31" i="49"/>
  <c r="V31" i="49" s="1"/>
  <c r="P26" i="49"/>
  <c r="V26" i="49" s="1"/>
  <c r="D9" i="48" s="1"/>
  <c r="P36" i="49"/>
  <c r="V36" i="49" s="1"/>
  <c r="P15" i="49"/>
  <c r="P12" i="49"/>
  <c r="V12" i="49" s="1"/>
  <c r="D12" i="48" s="1"/>
  <c r="P30" i="49"/>
  <c r="P8" i="49"/>
  <c r="P20" i="49"/>
  <c r="V20" i="49" s="1"/>
  <c r="D5" i="48" s="1"/>
  <c r="P44" i="49"/>
  <c r="V44" i="49" s="1"/>
  <c r="P16" i="49"/>
  <c r="V16" i="49" s="1"/>
  <c r="D4" i="48" s="1"/>
  <c r="P13" i="49"/>
  <c r="V13" i="49" s="1"/>
  <c r="D13" i="48" s="1"/>
  <c r="P35" i="49"/>
  <c r="V35" i="49" s="1"/>
  <c r="P135" i="49"/>
  <c r="P138" i="49"/>
  <c r="P161" i="49"/>
  <c r="P162" i="49"/>
  <c r="P43" i="36"/>
  <c r="P39" i="36"/>
  <c r="P30" i="45"/>
  <c r="P38" i="45"/>
  <c r="P26" i="45"/>
  <c r="T32" i="49"/>
  <c r="O47" i="49"/>
  <c r="R47" i="49"/>
  <c r="Q23" i="49"/>
  <c r="Q47" i="49"/>
  <c r="D14" i="48"/>
  <c r="R9" i="42"/>
  <c r="U9" i="42"/>
  <c r="P20" i="32"/>
  <c r="P40" i="7"/>
  <c r="O161" i="29"/>
  <c r="D8" i="40"/>
  <c r="P8" i="32"/>
  <c r="P36" i="7"/>
  <c r="P15" i="11"/>
  <c r="P7" i="11"/>
  <c r="P40" i="11"/>
  <c r="P35" i="11"/>
  <c r="P43" i="11"/>
  <c r="P159" i="19"/>
  <c r="P13" i="19"/>
  <c r="P26" i="19"/>
  <c r="P38" i="19"/>
  <c r="P39" i="19"/>
  <c r="P20" i="19"/>
  <c r="P40" i="32"/>
  <c r="P21" i="32"/>
  <c r="P130" i="29"/>
  <c r="P40" i="29"/>
  <c r="P44" i="29"/>
  <c r="P26" i="29"/>
  <c r="P36" i="29"/>
  <c r="P30" i="7"/>
  <c r="P138" i="32"/>
  <c r="P17" i="11"/>
  <c r="P8" i="11"/>
  <c r="P31" i="11"/>
  <c r="P30" i="11"/>
  <c r="P133" i="19"/>
  <c r="P21" i="19"/>
  <c r="P7" i="19"/>
  <c r="P44" i="19"/>
  <c r="P36" i="19"/>
  <c r="P38" i="32"/>
  <c r="P159" i="29"/>
  <c r="P21" i="29"/>
  <c r="P7" i="29"/>
  <c r="P9" i="29" s="1"/>
  <c r="P17" i="29"/>
  <c r="P15" i="29"/>
  <c r="P162" i="32"/>
  <c r="P39" i="32"/>
  <c r="P36" i="32"/>
  <c r="P13" i="32"/>
  <c r="P15" i="32"/>
  <c r="P12" i="32"/>
  <c r="P38" i="7"/>
  <c r="P43" i="7"/>
  <c r="P16" i="7"/>
  <c r="T32" i="42"/>
  <c r="P161" i="32"/>
  <c r="P17" i="32"/>
  <c r="P45" i="32"/>
  <c r="P31" i="32"/>
  <c r="P43" i="32"/>
  <c r="P7" i="32"/>
  <c r="P9" i="32" s="1"/>
  <c r="P31" i="7"/>
  <c r="P12" i="7"/>
  <c r="P35" i="7"/>
  <c r="P13" i="7"/>
  <c r="U23" i="42"/>
  <c r="R32" i="22"/>
  <c r="P135" i="32"/>
  <c r="P16" i="32"/>
  <c r="P26" i="32"/>
  <c r="P35" i="32"/>
  <c r="P30" i="32"/>
  <c r="P39" i="7"/>
  <c r="D15" i="1"/>
  <c r="R161" i="42"/>
  <c r="P161" i="42"/>
  <c r="P159" i="36"/>
  <c r="P30" i="36"/>
  <c r="P8" i="36"/>
  <c r="P9" i="36" s="1"/>
  <c r="P12" i="36"/>
  <c r="P17" i="36"/>
  <c r="P35" i="36"/>
  <c r="R32" i="42"/>
  <c r="P158" i="36"/>
  <c r="P44" i="36"/>
  <c r="P31" i="36"/>
  <c r="P15" i="36"/>
  <c r="P16" i="36"/>
  <c r="P13" i="36"/>
  <c r="P130" i="36"/>
  <c r="P26" i="36"/>
  <c r="P20" i="36"/>
  <c r="P21" i="36"/>
  <c r="T9" i="42"/>
  <c r="D9" i="46"/>
  <c r="R23" i="42"/>
  <c r="R46" i="42"/>
  <c r="N46" i="47"/>
  <c r="P8" i="45"/>
  <c r="P162" i="45"/>
  <c r="P40" i="45"/>
  <c r="P43" i="45"/>
  <c r="P35" i="45"/>
  <c r="P13" i="45"/>
  <c r="N32" i="47"/>
  <c r="N23" i="47"/>
  <c r="P16" i="45"/>
  <c r="P12" i="45"/>
  <c r="P21" i="45"/>
  <c r="P17" i="45"/>
  <c r="P15" i="45"/>
  <c r="P31" i="47"/>
  <c r="V31" i="47" s="1"/>
  <c r="P21" i="47"/>
  <c r="V21" i="47" s="1"/>
  <c r="P13" i="47"/>
  <c r="V13" i="47" s="1"/>
  <c r="P39" i="47"/>
  <c r="V39" i="47" s="1"/>
  <c r="P7" i="47"/>
  <c r="V7" i="47" s="1"/>
  <c r="P130" i="47"/>
  <c r="P44" i="47"/>
  <c r="V44" i="47" s="1"/>
  <c r="P8" i="47"/>
  <c r="P36" i="47"/>
  <c r="V36" i="47" s="1"/>
  <c r="P17" i="47"/>
  <c r="V17" i="47" s="1"/>
  <c r="P26" i="47"/>
  <c r="V26" i="47" s="1"/>
  <c r="P35" i="47"/>
  <c r="V35" i="47" s="1"/>
  <c r="P12" i="47"/>
  <c r="V12" i="47" s="1"/>
  <c r="P38" i="47"/>
  <c r="V38" i="47" s="1"/>
  <c r="P43" i="47"/>
  <c r="V43" i="47" s="1"/>
  <c r="P15" i="47"/>
  <c r="P20" i="47"/>
  <c r="V20" i="47" s="1"/>
  <c r="P40" i="47"/>
  <c r="V40" i="47" s="1"/>
  <c r="P16" i="47"/>
  <c r="V16" i="47" s="1"/>
  <c r="P30" i="47"/>
  <c r="P158" i="47"/>
  <c r="P133" i="47"/>
  <c r="P159" i="47"/>
  <c r="N9" i="47"/>
  <c r="U32" i="42"/>
  <c r="O39" i="42"/>
  <c r="T46" i="42"/>
  <c r="U46" i="42"/>
  <c r="O40" i="42"/>
  <c r="O21" i="42"/>
  <c r="O130" i="42"/>
  <c r="O31" i="42"/>
  <c r="S35" i="32"/>
  <c r="O133" i="42"/>
  <c r="O44" i="42"/>
  <c r="O15" i="42"/>
  <c r="O13" i="42"/>
  <c r="O16" i="42"/>
  <c r="O17" i="42"/>
  <c r="O161" i="19"/>
  <c r="O21" i="19"/>
  <c r="O159" i="42"/>
  <c r="O38" i="42"/>
  <c r="O8" i="42"/>
  <c r="O43" i="42"/>
  <c r="O20" i="42"/>
  <c r="O26" i="42"/>
  <c r="O158" i="42"/>
  <c r="O30" i="42"/>
  <c r="O7" i="42"/>
  <c r="O12" i="42"/>
  <c r="O35" i="42"/>
  <c r="S35" i="7"/>
  <c r="S12" i="7"/>
  <c r="S38" i="32"/>
  <c r="S138" i="32"/>
  <c r="S30" i="7"/>
  <c r="S15" i="32"/>
  <c r="Q32" i="42"/>
  <c r="Q46" i="42"/>
  <c r="D3" i="40"/>
  <c r="W3" i="40" s="1"/>
  <c r="S38" i="7"/>
  <c r="S16" i="7"/>
  <c r="V16" i="7" s="1"/>
  <c r="D4" i="20" s="1"/>
  <c r="S43" i="32"/>
  <c r="S36" i="7"/>
  <c r="S21" i="32"/>
  <c r="D7" i="34"/>
  <c r="W7" i="34" s="1"/>
  <c r="Q9" i="42"/>
  <c r="D4" i="40"/>
  <c r="N46" i="42"/>
  <c r="N23" i="42"/>
  <c r="Q23" i="42"/>
  <c r="N9" i="42"/>
  <c r="O26" i="29"/>
  <c r="O164" i="32"/>
  <c r="U9" i="45"/>
  <c r="U23" i="45"/>
  <c r="R9" i="45"/>
  <c r="Q32" i="45"/>
  <c r="U32" i="45"/>
  <c r="S36" i="45"/>
  <c r="S43" i="45"/>
  <c r="S12" i="45"/>
  <c r="S16" i="45"/>
  <c r="S13" i="45"/>
  <c r="S39" i="45"/>
  <c r="S30" i="45"/>
  <c r="S20" i="45"/>
  <c r="S17" i="45"/>
  <c r="S45" i="45"/>
  <c r="S35" i="45"/>
  <c r="S26" i="45"/>
  <c r="S31" i="45"/>
  <c r="S44" i="45"/>
  <c r="S15" i="45"/>
  <c r="S40" i="45"/>
  <c r="S7" i="45"/>
  <c r="S21" i="45"/>
  <c r="S38" i="45"/>
  <c r="S8" i="45"/>
  <c r="S135" i="45"/>
  <c r="S161" i="45"/>
  <c r="S138" i="45"/>
  <c r="S162" i="45"/>
  <c r="Q23" i="45"/>
  <c r="Q47" i="45"/>
  <c r="N23" i="45"/>
  <c r="O39" i="45"/>
  <c r="O16" i="45"/>
  <c r="O45" i="45"/>
  <c r="O43" i="45"/>
  <c r="O12" i="45"/>
  <c r="O8" i="45"/>
  <c r="O13" i="45"/>
  <c r="O21" i="45"/>
  <c r="O15" i="45"/>
  <c r="O20" i="45"/>
  <c r="O30" i="45"/>
  <c r="O35" i="45"/>
  <c r="O38" i="45"/>
  <c r="O31" i="45"/>
  <c r="O26" i="45"/>
  <c r="O40" i="45"/>
  <c r="O17" i="45"/>
  <c r="O7" i="45"/>
  <c r="O44" i="45"/>
  <c r="O36" i="45"/>
  <c r="O135" i="45"/>
  <c r="O161" i="45"/>
  <c r="O162" i="45"/>
  <c r="O138" i="45"/>
  <c r="O135" i="32"/>
  <c r="T32" i="45"/>
  <c r="T9" i="45"/>
  <c r="R23" i="45"/>
  <c r="R164" i="45"/>
  <c r="R165" i="45"/>
  <c r="Q9" i="45"/>
  <c r="N9" i="45"/>
  <c r="N47" i="45"/>
  <c r="N32" i="45"/>
  <c r="P164" i="45"/>
  <c r="P165" i="45"/>
  <c r="T47" i="45"/>
  <c r="T23" i="45"/>
  <c r="U47" i="45"/>
  <c r="R47" i="45"/>
  <c r="D13" i="40"/>
  <c r="W13" i="40" s="1"/>
  <c r="D5" i="40"/>
  <c r="W5" i="40" s="1"/>
  <c r="D10" i="40"/>
  <c r="W10" i="40" s="1"/>
  <c r="D15" i="41"/>
  <c r="S31" i="11"/>
  <c r="O163" i="22"/>
  <c r="S16" i="11"/>
  <c r="V16" i="11" s="1"/>
  <c r="D4" i="9" s="1"/>
  <c r="S35" i="19"/>
  <c r="D6" i="40"/>
  <c r="W6" i="40" s="1"/>
  <c r="O13" i="19"/>
  <c r="S20" i="19"/>
  <c r="O13" i="29"/>
  <c r="O36" i="32"/>
  <c r="D9" i="41"/>
  <c r="O43" i="29"/>
  <c r="O16" i="32"/>
  <c r="S161" i="19"/>
  <c r="O161" i="42"/>
  <c r="O162" i="42"/>
  <c r="O159" i="29"/>
  <c r="O17" i="29"/>
  <c r="O39" i="32"/>
  <c r="D3" i="30"/>
  <c r="W3" i="30" s="1"/>
  <c r="T161" i="42"/>
  <c r="T162" i="42"/>
  <c r="S163" i="22"/>
  <c r="S161" i="42"/>
  <c r="S162" i="42"/>
  <c r="S161" i="29"/>
  <c r="D15" i="18"/>
  <c r="S15" i="11"/>
  <c r="S21" i="19"/>
  <c r="S35" i="42"/>
  <c r="S8" i="42"/>
  <c r="S130" i="42"/>
  <c r="S17" i="42"/>
  <c r="S30" i="42"/>
  <c r="S40" i="42"/>
  <c r="S7" i="42"/>
  <c r="S13" i="42"/>
  <c r="S20" i="42"/>
  <c r="S12" i="42"/>
  <c r="S39" i="42"/>
  <c r="S36" i="42"/>
  <c r="S31" i="42"/>
  <c r="V31" i="42" s="1"/>
  <c r="S38" i="42"/>
  <c r="S43" i="42"/>
  <c r="S21" i="42"/>
  <c r="S26" i="42"/>
  <c r="S16" i="42"/>
  <c r="S44" i="42"/>
  <c r="S15" i="42"/>
  <c r="S158" i="42"/>
  <c r="S133" i="42"/>
  <c r="S159" i="42"/>
  <c r="S13" i="19"/>
  <c r="D12" i="40"/>
  <c r="W12" i="40" s="1"/>
  <c r="D7" i="40"/>
  <c r="W7" i="40" s="1"/>
  <c r="D13" i="30"/>
  <c r="W13" i="30" s="1"/>
  <c r="D14" i="40"/>
  <c r="O12" i="22"/>
  <c r="S8" i="11"/>
  <c r="S40" i="11"/>
  <c r="O43" i="19"/>
  <c r="S133" i="19"/>
  <c r="S17" i="19"/>
  <c r="S40" i="19"/>
  <c r="S13" i="11"/>
  <c r="V13" i="11" s="1"/>
  <c r="D13" i="9" s="1"/>
  <c r="O35" i="7"/>
  <c r="S36" i="11"/>
  <c r="O20" i="19"/>
  <c r="S26" i="29"/>
  <c r="S40" i="22"/>
  <c r="S16" i="19"/>
  <c r="S130" i="19"/>
  <c r="S12" i="11"/>
  <c r="S7" i="11"/>
  <c r="S31" i="7"/>
  <c r="S44" i="7"/>
  <c r="S38" i="11"/>
  <c r="S30" i="11"/>
  <c r="O31" i="19"/>
  <c r="O8" i="19"/>
  <c r="S8" i="32"/>
  <c r="S31" i="32"/>
  <c r="S44" i="32"/>
  <c r="S159" i="19"/>
  <c r="S36" i="19"/>
  <c r="S39" i="19"/>
  <c r="S44" i="19"/>
  <c r="S43" i="19"/>
  <c r="D15" i="28"/>
  <c r="U9" i="36"/>
  <c r="U47" i="39"/>
  <c r="Q9" i="36"/>
  <c r="S26" i="11"/>
  <c r="S13" i="7"/>
  <c r="S40" i="7"/>
  <c r="S39" i="7"/>
  <c r="S44" i="11"/>
  <c r="S43" i="11"/>
  <c r="O133" i="19"/>
  <c r="O26" i="19"/>
  <c r="S135" i="32"/>
  <c r="S16" i="32"/>
  <c r="S7" i="32"/>
  <c r="S158" i="19"/>
  <c r="S15" i="19"/>
  <c r="S7" i="19"/>
  <c r="S9" i="19" s="1"/>
  <c r="S26" i="19"/>
  <c r="D9" i="18"/>
  <c r="D7" i="30"/>
  <c r="W7" i="30" s="1"/>
  <c r="T46" i="7"/>
  <c r="U32" i="39"/>
  <c r="D10" i="30"/>
  <c r="W10" i="30" s="1"/>
  <c r="T32" i="7"/>
  <c r="O13" i="7"/>
  <c r="O39" i="29"/>
  <c r="O40" i="29"/>
  <c r="O31" i="32"/>
  <c r="O26" i="32"/>
  <c r="O7" i="22"/>
  <c r="S30" i="29"/>
  <c r="S134" i="22"/>
  <c r="O31" i="7"/>
  <c r="O133" i="29"/>
  <c r="O44" i="29"/>
  <c r="O138" i="32"/>
  <c r="O21" i="32"/>
  <c r="O13" i="32"/>
  <c r="O35" i="22"/>
  <c r="S21" i="22"/>
  <c r="D20" i="37"/>
  <c r="S165" i="32"/>
  <c r="O30" i="7"/>
  <c r="O44" i="7"/>
  <c r="O38" i="22"/>
  <c r="O39" i="22"/>
  <c r="S133" i="29"/>
  <c r="S15" i="29"/>
  <c r="S7" i="29"/>
  <c r="S30" i="22"/>
  <c r="S13" i="22"/>
  <c r="S38" i="22"/>
  <c r="R47" i="39"/>
  <c r="Q32" i="36"/>
  <c r="D10" i="34"/>
  <c r="W10" i="34" s="1"/>
  <c r="R23" i="36"/>
  <c r="R9" i="36"/>
  <c r="D5" i="30"/>
  <c r="W5" i="30" s="1"/>
  <c r="T47" i="39"/>
  <c r="O40" i="7"/>
  <c r="O36" i="7"/>
  <c r="O43" i="7"/>
  <c r="O137" i="22"/>
  <c r="O21" i="22"/>
  <c r="O44" i="22"/>
  <c r="S130" i="29"/>
  <c r="S38" i="29"/>
  <c r="S20" i="29"/>
  <c r="S17" i="22"/>
  <c r="S15" i="22"/>
  <c r="U9" i="39"/>
  <c r="S17" i="11"/>
  <c r="O12" i="7"/>
  <c r="O38" i="7"/>
  <c r="O39" i="7"/>
  <c r="S35" i="11"/>
  <c r="O21" i="29"/>
  <c r="O12" i="29"/>
  <c r="O36" i="29"/>
  <c r="O20" i="32"/>
  <c r="O35" i="32"/>
  <c r="O44" i="32"/>
  <c r="O134" i="22"/>
  <c r="O30" i="22"/>
  <c r="O13" i="22"/>
  <c r="O158" i="19"/>
  <c r="O35" i="19"/>
  <c r="O39" i="19"/>
  <c r="S35" i="29"/>
  <c r="S17" i="29"/>
  <c r="S31" i="29"/>
  <c r="S137" i="22"/>
  <c r="S39" i="22"/>
  <c r="S31" i="22"/>
  <c r="S31" i="19"/>
  <c r="S12" i="19"/>
  <c r="S38" i="19"/>
  <c r="S30" i="19"/>
  <c r="T32" i="36"/>
  <c r="T32" i="39"/>
  <c r="U23" i="36"/>
  <c r="T9" i="36"/>
  <c r="S161" i="36"/>
  <c r="S162" i="36"/>
  <c r="P164" i="39"/>
  <c r="P165" i="39"/>
  <c r="T164" i="39"/>
  <c r="T165" i="39"/>
  <c r="Q23" i="39"/>
  <c r="Q9" i="39"/>
  <c r="N23" i="39"/>
  <c r="D3" i="34"/>
  <c r="W3" i="34" s="1"/>
  <c r="D9" i="35"/>
  <c r="Q46" i="36"/>
  <c r="N9" i="36"/>
  <c r="N46" i="36"/>
  <c r="N23" i="36"/>
  <c r="O43" i="36"/>
  <c r="O8" i="36"/>
  <c r="O15" i="36"/>
  <c r="O36" i="36"/>
  <c r="O44" i="36"/>
  <c r="O35" i="36"/>
  <c r="O12" i="36"/>
  <c r="O13" i="36"/>
  <c r="O26" i="36"/>
  <c r="O16" i="36"/>
  <c r="O7" i="36"/>
  <c r="O30" i="36"/>
  <c r="O31" i="36"/>
  <c r="O130" i="36"/>
  <c r="O20" i="36"/>
  <c r="O40" i="36"/>
  <c r="O39" i="36"/>
  <c r="O21" i="36"/>
  <c r="O38" i="36"/>
  <c r="O17" i="36"/>
  <c r="O133" i="36"/>
  <c r="O158" i="36"/>
  <c r="O159" i="36"/>
  <c r="O158" i="29"/>
  <c r="O8" i="29"/>
  <c r="O15" i="29"/>
  <c r="O7" i="29"/>
  <c r="O31" i="29"/>
  <c r="O35" i="29"/>
  <c r="O161" i="32"/>
  <c r="O15" i="32"/>
  <c r="O38" i="32"/>
  <c r="O43" i="32"/>
  <c r="O8" i="32"/>
  <c r="O7" i="32"/>
  <c r="O161" i="22"/>
  <c r="O17" i="22"/>
  <c r="O8" i="22"/>
  <c r="O40" i="22"/>
  <c r="O31" i="22"/>
  <c r="O36" i="22"/>
  <c r="V36" i="22" s="1"/>
  <c r="O159" i="19"/>
  <c r="O7" i="19"/>
  <c r="O44" i="19"/>
  <c r="O16" i="19"/>
  <c r="O12" i="19"/>
  <c r="O38" i="19"/>
  <c r="S162" i="32"/>
  <c r="S39" i="32"/>
  <c r="S20" i="32"/>
  <c r="S26" i="32"/>
  <c r="S45" i="32"/>
  <c r="S36" i="32"/>
  <c r="U46" i="29"/>
  <c r="S159" i="29"/>
  <c r="S8" i="29"/>
  <c r="S12" i="29"/>
  <c r="S39" i="29"/>
  <c r="S44" i="29"/>
  <c r="S43" i="29"/>
  <c r="U32" i="22"/>
  <c r="S160" i="22"/>
  <c r="S43" i="22"/>
  <c r="S35" i="22"/>
  <c r="S44" i="22"/>
  <c r="S8" i="22"/>
  <c r="S16" i="22"/>
  <c r="V16" i="22" s="1"/>
  <c r="D4" i="21" s="1"/>
  <c r="T23" i="36"/>
  <c r="T46" i="36"/>
  <c r="D5" i="34"/>
  <c r="W5" i="34" s="1"/>
  <c r="S164" i="39"/>
  <c r="S165" i="39"/>
  <c r="D4" i="34"/>
  <c r="Q47" i="39"/>
  <c r="Q32" i="39"/>
  <c r="R32" i="39"/>
  <c r="O161" i="36"/>
  <c r="O162" i="36"/>
  <c r="Q23" i="36"/>
  <c r="O44" i="39"/>
  <c r="O36" i="39"/>
  <c r="O12" i="39"/>
  <c r="O40" i="39"/>
  <c r="O8" i="39"/>
  <c r="O17" i="39"/>
  <c r="O7" i="39"/>
  <c r="O21" i="39"/>
  <c r="O26" i="39"/>
  <c r="O45" i="39"/>
  <c r="O13" i="39"/>
  <c r="O35" i="39"/>
  <c r="O20" i="39"/>
  <c r="O15" i="39"/>
  <c r="O31" i="39"/>
  <c r="O16" i="39"/>
  <c r="O30" i="39"/>
  <c r="O38" i="39"/>
  <c r="O43" i="39"/>
  <c r="O39" i="39"/>
  <c r="O135" i="39"/>
  <c r="O161" i="39"/>
  <c r="O138" i="39"/>
  <c r="O162" i="39"/>
  <c r="D9" i="28"/>
  <c r="D12" i="34"/>
  <c r="W12" i="34" s="1"/>
  <c r="D15" i="35"/>
  <c r="D8" i="34"/>
  <c r="N32" i="39"/>
  <c r="N9" i="39"/>
  <c r="N47" i="39"/>
  <c r="O164" i="39"/>
  <c r="O165" i="39"/>
  <c r="R161" i="36"/>
  <c r="R162" i="36"/>
  <c r="N32" i="36"/>
  <c r="S43" i="36"/>
  <c r="S30" i="36"/>
  <c r="S17" i="36"/>
  <c r="S7" i="36"/>
  <c r="S26" i="36"/>
  <c r="S21" i="36"/>
  <c r="S13" i="36"/>
  <c r="S39" i="36"/>
  <c r="S12" i="36"/>
  <c r="S16" i="36"/>
  <c r="S40" i="36"/>
  <c r="S38" i="36"/>
  <c r="S8" i="36"/>
  <c r="S36" i="36"/>
  <c r="S20" i="36"/>
  <c r="S35" i="36"/>
  <c r="S31" i="36"/>
  <c r="S15" i="36"/>
  <c r="S130" i="36"/>
  <c r="S44" i="36"/>
  <c r="S158" i="36"/>
  <c r="S133" i="36"/>
  <c r="S159" i="36"/>
  <c r="T23" i="39"/>
  <c r="O130" i="29"/>
  <c r="O38" i="29"/>
  <c r="O30" i="29"/>
  <c r="O20" i="29"/>
  <c r="O162" i="32"/>
  <c r="O12" i="32"/>
  <c r="O17" i="32"/>
  <c r="O30" i="32"/>
  <c r="O40" i="32"/>
  <c r="O160" i="22"/>
  <c r="O43" i="22"/>
  <c r="O20" i="22"/>
  <c r="O26" i="22"/>
  <c r="O15" i="22"/>
  <c r="O130" i="19"/>
  <c r="O30" i="19"/>
  <c r="O36" i="19"/>
  <c r="O17" i="19"/>
  <c r="O15" i="19"/>
  <c r="S161" i="32"/>
  <c r="S17" i="32"/>
  <c r="S40" i="32"/>
  <c r="S30" i="32"/>
  <c r="S13" i="32"/>
  <c r="S158" i="29"/>
  <c r="S36" i="29"/>
  <c r="S13" i="29"/>
  <c r="S16" i="29"/>
  <c r="V16" i="29" s="1"/>
  <c r="S21" i="29"/>
  <c r="S161" i="22"/>
  <c r="S12" i="22"/>
  <c r="S20" i="22"/>
  <c r="S26" i="22"/>
  <c r="S7" i="22"/>
  <c r="U46" i="36"/>
  <c r="U32" i="36"/>
  <c r="P161" i="36"/>
  <c r="P162" i="36"/>
  <c r="T161" i="36"/>
  <c r="T162" i="36"/>
  <c r="U23" i="39"/>
  <c r="D6" i="34"/>
  <c r="W6" i="34" s="1"/>
  <c r="R23" i="39"/>
  <c r="R164" i="39"/>
  <c r="R165" i="39"/>
  <c r="R32" i="36"/>
  <c r="R46" i="36"/>
  <c r="S21" i="39"/>
  <c r="S35" i="39"/>
  <c r="S44" i="39"/>
  <c r="S31" i="39"/>
  <c r="S43" i="39"/>
  <c r="S39" i="39"/>
  <c r="S12" i="39"/>
  <c r="S13" i="39"/>
  <c r="S45" i="39"/>
  <c r="S17" i="39"/>
  <c r="S40" i="39"/>
  <c r="S16" i="39"/>
  <c r="S26" i="39"/>
  <c r="S38" i="39"/>
  <c r="S20" i="39"/>
  <c r="S8" i="39"/>
  <c r="S15" i="39"/>
  <c r="S36" i="39"/>
  <c r="S7" i="39"/>
  <c r="S30" i="39"/>
  <c r="S32" i="39" s="1"/>
  <c r="S135" i="39"/>
  <c r="S161" i="39"/>
  <c r="S138" i="39"/>
  <c r="S162" i="39"/>
  <c r="T9" i="39"/>
  <c r="D13" i="34"/>
  <c r="W13" i="34" s="1"/>
  <c r="D16" i="27"/>
  <c r="D9" i="27"/>
  <c r="N23" i="32"/>
  <c r="N32" i="22"/>
  <c r="N9" i="32"/>
  <c r="T32" i="19"/>
  <c r="U23" i="22"/>
  <c r="P23" i="22"/>
  <c r="R163" i="22"/>
  <c r="R164" i="22"/>
  <c r="P164" i="32"/>
  <c r="P165" i="32"/>
  <c r="R161" i="29"/>
  <c r="R162" i="29"/>
  <c r="P161" i="19"/>
  <c r="P162" i="19"/>
  <c r="N46" i="29"/>
  <c r="N32" i="29"/>
  <c r="T161" i="29"/>
  <c r="T162" i="29"/>
  <c r="N46" i="22"/>
  <c r="N23" i="22"/>
  <c r="N46" i="19"/>
  <c r="N9" i="19"/>
  <c r="T163" i="22"/>
  <c r="T164" i="22"/>
  <c r="Q23" i="29"/>
  <c r="U47" i="32"/>
  <c r="U23" i="32"/>
  <c r="R23" i="19"/>
  <c r="R23" i="22"/>
  <c r="N47" i="32"/>
  <c r="R164" i="32"/>
  <c r="R165" i="32"/>
  <c r="P163" i="22"/>
  <c r="P164" i="22"/>
  <c r="N9" i="29"/>
  <c r="T164" i="32"/>
  <c r="T165" i="32"/>
  <c r="N9" i="22"/>
  <c r="N23" i="19"/>
  <c r="D20" i="33"/>
  <c r="N32" i="32"/>
  <c r="R161" i="19"/>
  <c r="R162" i="19"/>
  <c r="P161" i="29"/>
  <c r="P162" i="29"/>
  <c r="N23" i="29"/>
  <c r="T162" i="19"/>
  <c r="T161" i="19"/>
  <c r="N32" i="19"/>
  <c r="P32" i="19"/>
  <c r="U9" i="32"/>
  <c r="R32" i="19"/>
  <c r="R9" i="32"/>
  <c r="T46" i="29"/>
  <c r="R46" i="22"/>
  <c r="R9" i="19"/>
  <c r="R32" i="32"/>
  <c r="T32" i="22"/>
  <c r="R46" i="19"/>
  <c r="R23" i="29"/>
  <c r="T46" i="19"/>
  <c r="T23" i="29"/>
  <c r="R9" i="22"/>
  <c r="Q32" i="19"/>
  <c r="T9" i="19"/>
  <c r="U32" i="29"/>
  <c r="T47" i="32"/>
  <c r="T23" i="32"/>
  <c r="R47" i="32"/>
  <c r="T9" i="29"/>
  <c r="T46" i="22"/>
  <c r="T23" i="19"/>
  <c r="T32" i="29"/>
  <c r="T23" i="22"/>
  <c r="U23" i="19"/>
  <c r="U23" i="29"/>
  <c r="R23" i="32"/>
  <c r="U32" i="19"/>
  <c r="U46" i="19"/>
  <c r="T9" i="32"/>
  <c r="T32" i="32"/>
  <c r="U46" i="22"/>
  <c r="R46" i="29"/>
  <c r="R9" i="29"/>
  <c r="T9" i="22"/>
  <c r="Q46" i="22"/>
  <c r="Q47" i="32"/>
  <c r="Q9" i="32"/>
  <c r="Q32" i="29"/>
  <c r="Q9" i="22"/>
  <c r="Q32" i="22"/>
  <c r="Q23" i="19"/>
  <c r="Q46" i="29"/>
  <c r="Q23" i="22"/>
  <c r="Q9" i="19"/>
  <c r="Q46" i="19"/>
  <c r="Q23" i="32"/>
  <c r="Q32" i="32"/>
  <c r="Q9" i="29"/>
  <c r="R32" i="11"/>
  <c r="O32" i="11"/>
  <c r="R46" i="11"/>
  <c r="N32" i="11"/>
  <c r="T32" i="11"/>
  <c r="Q46" i="11"/>
  <c r="T46" i="11"/>
  <c r="U32" i="11"/>
  <c r="U46" i="11"/>
  <c r="O46" i="11"/>
  <c r="N46" i="11"/>
  <c r="Q32" i="11"/>
  <c r="F38" i="20"/>
  <c r="H38" i="20"/>
  <c r="K38" i="20"/>
  <c r="E38" i="20"/>
  <c r="J38" i="20"/>
  <c r="I38" i="20"/>
  <c r="G38" i="20"/>
  <c r="U46" i="7"/>
  <c r="N46" i="7"/>
  <c r="N32" i="7"/>
  <c r="U32" i="7"/>
  <c r="Q46" i="7"/>
  <c r="Q32" i="7"/>
  <c r="R46" i="7"/>
  <c r="R32" i="7"/>
  <c r="D53" i="20"/>
  <c r="D96" i="20"/>
  <c r="D43" i="20"/>
  <c r="D38" i="20"/>
  <c r="AC60" i="20"/>
  <c r="AK60" i="20" s="1"/>
  <c r="AC65" i="20"/>
  <c r="AK65" i="20" s="1"/>
  <c r="AC63" i="20"/>
  <c r="AK63" i="20" s="1"/>
  <c r="AC61" i="20"/>
  <c r="AK61" i="20" s="1"/>
  <c r="AC73" i="20"/>
  <c r="AK73" i="20" s="1"/>
  <c r="Q9" i="11"/>
  <c r="K62" i="1"/>
  <c r="K146" i="7"/>
  <c r="I62" i="1"/>
  <c r="I146" i="7"/>
  <c r="G62" i="1"/>
  <c r="G146" i="7"/>
  <c r="E62" i="1"/>
  <c r="E146" i="7"/>
  <c r="F98" i="1"/>
  <c r="F98" i="20" s="1"/>
  <c r="H95" i="1"/>
  <c r="H95" i="20" s="1"/>
  <c r="F95" i="1"/>
  <c r="F95" i="20" s="1"/>
  <c r="J95" i="1"/>
  <c r="J95" i="20" s="1"/>
  <c r="D95" i="1"/>
  <c r="D97" i="1"/>
  <c r="K95" i="1"/>
  <c r="K95" i="20" s="1"/>
  <c r="I95" i="1"/>
  <c r="I95" i="20" s="1"/>
  <c r="H45" i="1"/>
  <c r="H45" i="20" s="1"/>
  <c r="H97" i="1"/>
  <c r="H97" i="20" s="1"/>
  <c r="G95" i="1"/>
  <c r="G95" i="20" s="1"/>
  <c r="E95" i="1"/>
  <c r="E95" i="20" s="1"/>
  <c r="E27" i="1"/>
  <c r="E28" i="26" s="1"/>
  <c r="H27" i="1"/>
  <c r="H28" i="26" s="1"/>
  <c r="G27" i="1"/>
  <c r="G28" i="26" s="1"/>
  <c r="K27" i="1"/>
  <c r="K28" i="26" s="1"/>
  <c r="J27" i="1"/>
  <c r="J28" i="26" s="1"/>
  <c r="T9" i="11"/>
  <c r="U9" i="11"/>
  <c r="N9" i="11"/>
  <c r="R9" i="11"/>
  <c r="O9" i="11"/>
  <c r="I27" i="1"/>
  <c r="I28" i="26" s="1"/>
  <c r="F27" i="1"/>
  <c r="F28" i="26" s="1"/>
  <c r="D62" i="1"/>
  <c r="U130" i="7"/>
  <c r="K158" i="7"/>
  <c r="S130" i="7"/>
  <c r="I158" i="7"/>
  <c r="G133" i="7"/>
  <c r="Q130" i="7"/>
  <c r="G158" i="7"/>
  <c r="O130" i="7"/>
  <c r="E158" i="7"/>
  <c r="P130" i="7"/>
  <c r="F158" i="7"/>
  <c r="F159" i="7"/>
  <c r="P133" i="7"/>
  <c r="H158" i="7"/>
  <c r="R130" i="7"/>
  <c r="J133" i="7"/>
  <c r="T130" i="7"/>
  <c r="J158" i="7"/>
  <c r="D42" i="1"/>
  <c r="D158" i="7"/>
  <c r="N161" i="7" s="1"/>
  <c r="N130" i="7"/>
  <c r="H62" i="1"/>
  <c r="J62" i="1"/>
  <c r="F62" i="1"/>
  <c r="H133" i="7"/>
  <c r="L68" i="1"/>
  <c r="L68" i="20" s="1"/>
  <c r="D27" i="1"/>
  <c r="D133" i="7"/>
  <c r="E133" i="7"/>
  <c r="I133" i="7"/>
  <c r="K133" i="7"/>
  <c r="D9" i="7"/>
  <c r="G23" i="7"/>
  <c r="G81" i="1" s="1"/>
  <c r="K23" i="7"/>
  <c r="K81" i="1" s="1"/>
  <c r="D23" i="7"/>
  <c r="D81" i="1" s="1"/>
  <c r="H23" i="7"/>
  <c r="H81" i="1" s="1"/>
  <c r="L38" i="1"/>
  <c r="K9" i="7"/>
  <c r="G9" i="7"/>
  <c r="L17" i="7"/>
  <c r="E7" i="20" s="1"/>
  <c r="X7" i="20" s="1"/>
  <c r="L8" i="7"/>
  <c r="E12" i="20" s="1"/>
  <c r="X12" i="20" s="1"/>
  <c r="L7" i="7"/>
  <c r="L21" i="7"/>
  <c r="E6" i="20" s="1"/>
  <c r="X6" i="20" s="1"/>
  <c r="I9" i="7"/>
  <c r="E9" i="7"/>
  <c r="L15" i="7"/>
  <c r="J9" i="7"/>
  <c r="F9" i="7"/>
  <c r="L20" i="7"/>
  <c r="E5" i="20" s="1"/>
  <c r="X5" i="20" s="1"/>
  <c r="F23" i="7"/>
  <c r="F81" i="1" s="1"/>
  <c r="J23" i="7"/>
  <c r="J81" i="1" s="1"/>
  <c r="H9" i="7"/>
  <c r="E23" i="7"/>
  <c r="E81" i="1" s="1"/>
  <c r="I23" i="7"/>
  <c r="I81" i="1" s="1"/>
  <c r="L26" i="7"/>
  <c r="E10" i="20" s="1"/>
  <c r="X10" i="20" s="1"/>
  <c r="O9" i="45" l="1"/>
  <c r="P9" i="39"/>
  <c r="P46" i="22"/>
  <c r="V8" i="19"/>
  <c r="D12" i="30" s="1"/>
  <c r="W12" i="30" s="1"/>
  <c r="V39" i="42"/>
  <c r="P9" i="19"/>
  <c r="V36" i="11"/>
  <c r="V22" i="56"/>
  <c r="W50" i="55"/>
  <c r="Q50" i="55"/>
  <c r="Q9" i="55"/>
  <c r="W7" i="55"/>
  <c r="V7" i="42"/>
  <c r="Q33" i="55"/>
  <c r="W31" i="55"/>
  <c r="W33" i="55" s="1"/>
  <c r="Q24" i="55"/>
  <c r="W16" i="55"/>
  <c r="P32" i="29"/>
  <c r="P47" i="39"/>
  <c r="P32" i="39"/>
  <c r="P46" i="42"/>
  <c r="V12" i="11"/>
  <c r="D12" i="9" s="1"/>
  <c r="P23" i="42"/>
  <c r="V26" i="11"/>
  <c r="D9" i="9" s="1"/>
  <c r="V38" i="11"/>
  <c r="V40" i="42"/>
  <c r="P9" i="42"/>
  <c r="V36" i="42"/>
  <c r="P23" i="39"/>
  <c r="V40" i="19"/>
  <c r="P32" i="45"/>
  <c r="V47" i="56"/>
  <c r="V44" i="11"/>
  <c r="V33" i="56"/>
  <c r="V24" i="56"/>
  <c r="P9" i="45"/>
  <c r="P32" i="36"/>
  <c r="P32" i="11"/>
  <c r="P46" i="29"/>
  <c r="V9" i="56"/>
  <c r="P9" i="49"/>
  <c r="V8" i="49"/>
  <c r="D11" i="48" s="1"/>
  <c r="D15" i="48" s="1"/>
  <c r="P32" i="49"/>
  <c r="V30" i="49"/>
  <c r="V32" i="49" s="1"/>
  <c r="P47" i="49"/>
  <c r="V38" i="49"/>
  <c r="V47" i="49" s="1"/>
  <c r="V15" i="22"/>
  <c r="D3" i="21" s="1"/>
  <c r="V12" i="32"/>
  <c r="D12" i="31" s="1"/>
  <c r="V35" i="11"/>
  <c r="V17" i="11"/>
  <c r="D7" i="9" s="1"/>
  <c r="W7" i="9" s="1"/>
  <c r="P32" i="32"/>
  <c r="P23" i="49"/>
  <c r="V15" i="49"/>
  <c r="V40" i="36"/>
  <c r="V44" i="29"/>
  <c r="V38" i="19"/>
  <c r="V13" i="22"/>
  <c r="D13" i="21" s="1"/>
  <c r="D13" i="24" s="1"/>
  <c r="P46" i="36"/>
  <c r="P23" i="32"/>
  <c r="D17" i="46"/>
  <c r="D16" i="26" s="1"/>
  <c r="D9" i="26"/>
  <c r="V20" i="29"/>
  <c r="P32" i="7"/>
  <c r="P23" i="19"/>
  <c r="V30" i="22"/>
  <c r="V31" i="7"/>
  <c r="P32" i="47"/>
  <c r="P46" i="7"/>
  <c r="P23" i="29"/>
  <c r="P47" i="32"/>
  <c r="P46" i="19"/>
  <c r="P9" i="11"/>
  <c r="O32" i="19"/>
  <c r="V16" i="19"/>
  <c r="D4" i="30" s="1"/>
  <c r="V31" i="19"/>
  <c r="V31" i="11"/>
  <c r="P23" i="36"/>
  <c r="V31" i="32"/>
  <c r="P46" i="11"/>
  <c r="V40" i="29"/>
  <c r="V43" i="11"/>
  <c r="V15" i="11"/>
  <c r="D3" i="9" s="1"/>
  <c r="P47" i="45"/>
  <c r="V7" i="11"/>
  <c r="D14" i="9" s="1"/>
  <c r="W14" i="9" s="1"/>
  <c r="P9" i="47"/>
  <c r="V44" i="36"/>
  <c r="V13" i="7"/>
  <c r="V43" i="7"/>
  <c r="V30" i="47"/>
  <c r="V32" i="47" s="1"/>
  <c r="V8" i="36"/>
  <c r="V46" i="47"/>
  <c r="V26" i="29"/>
  <c r="P23" i="47"/>
  <c r="P23" i="45"/>
  <c r="V15" i="47"/>
  <c r="V23" i="47" s="1"/>
  <c r="V8" i="47"/>
  <c r="V9" i="47" s="1"/>
  <c r="P46" i="47"/>
  <c r="V35" i="32"/>
  <c r="V20" i="42"/>
  <c r="O9" i="42"/>
  <c r="O23" i="42"/>
  <c r="V13" i="19"/>
  <c r="V21" i="42"/>
  <c r="V16" i="42"/>
  <c r="O32" i="42"/>
  <c r="V21" i="19"/>
  <c r="D6" i="30" s="1"/>
  <c r="W6" i="30" s="1"/>
  <c r="V36" i="32"/>
  <c r="V16" i="32"/>
  <c r="D4" i="31" s="1"/>
  <c r="D4" i="33" s="1"/>
  <c r="O46" i="42"/>
  <c r="V13" i="42"/>
  <c r="V35" i="7"/>
  <c r="V17" i="42"/>
  <c r="V35" i="42"/>
  <c r="V44" i="42"/>
  <c r="V43" i="42"/>
  <c r="V30" i="7"/>
  <c r="V26" i="42"/>
  <c r="V30" i="42"/>
  <c r="V32" i="42" s="1"/>
  <c r="V26" i="45"/>
  <c r="D9" i="44" s="1"/>
  <c r="V21" i="45"/>
  <c r="D6" i="44" s="1"/>
  <c r="V38" i="42"/>
  <c r="V12" i="42"/>
  <c r="V8" i="42"/>
  <c r="V15" i="32"/>
  <c r="D3" i="31" s="1"/>
  <c r="V12" i="7"/>
  <c r="V38" i="7"/>
  <c r="S32" i="11"/>
  <c r="S32" i="7"/>
  <c r="V39" i="45"/>
  <c r="V21" i="32"/>
  <c r="D6" i="31" s="1"/>
  <c r="V36" i="45"/>
  <c r="V43" i="45"/>
  <c r="V20" i="45"/>
  <c r="D5" i="44" s="1"/>
  <c r="V36" i="7"/>
  <c r="V20" i="19"/>
  <c r="V43" i="32"/>
  <c r="V44" i="45"/>
  <c r="V13" i="45"/>
  <c r="D13" i="44" s="1"/>
  <c r="V45" i="45"/>
  <c r="V38" i="45"/>
  <c r="V35" i="45"/>
  <c r="V31" i="45"/>
  <c r="O32" i="45"/>
  <c r="V8" i="45"/>
  <c r="D11" i="44" s="1"/>
  <c r="V16" i="45"/>
  <c r="D4" i="44" s="1"/>
  <c r="V7" i="45"/>
  <c r="D14" i="44" s="1"/>
  <c r="O23" i="45"/>
  <c r="V15" i="45"/>
  <c r="D3" i="44" s="1"/>
  <c r="V12" i="45"/>
  <c r="D12" i="44" s="1"/>
  <c r="V17" i="29"/>
  <c r="V38" i="22"/>
  <c r="V17" i="45"/>
  <c r="D7" i="44" s="1"/>
  <c r="S32" i="45"/>
  <c r="V12" i="22"/>
  <c r="D12" i="21" s="1"/>
  <c r="V30" i="29"/>
  <c r="V35" i="22"/>
  <c r="V30" i="45"/>
  <c r="V40" i="45"/>
  <c r="S9" i="45"/>
  <c r="V36" i="19"/>
  <c r="D17" i="28"/>
  <c r="V8" i="32"/>
  <c r="D11" i="31" s="1"/>
  <c r="V21" i="36"/>
  <c r="S9" i="32"/>
  <c r="S47" i="45"/>
  <c r="S23" i="45"/>
  <c r="V35" i="29"/>
  <c r="S32" i="29"/>
  <c r="V39" i="7"/>
  <c r="V30" i="11"/>
  <c r="S9" i="22"/>
  <c r="V40" i="22"/>
  <c r="O47" i="45"/>
  <c r="V13" i="32"/>
  <c r="D13" i="31" s="1"/>
  <c r="V39" i="32"/>
  <c r="V17" i="22"/>
  <c r="D7" i="21" s="1"/>
  <c r="V35" i="19"/>
  <c r="D17" i="41"/>
  <c r="D9" i="40"/>
  <c r="W9" i="40" s="1"/>
  <c r="D17" i="18"/>
  <c r="V13" i="29"/>
  <c r="V43" i="29"/>
  <c r="V31" i="29"/>
  <c r="V15" i="36"/>
  <c r="D15" i="30"/>
  <c r="W15" i="30" s="1"/>
  <c r="O32" i="7"/>
  <c r="V12" i="19"/>
  <c r="V20" i="32"/>
  <c r="D5" i="31" s="1"/>
  <c r="V39" i="22"/>
  <c r="V26" i="19"/>
  <c r="S46" i="7"/>
  <c r="V40" i="32"/>
  <c r="S32" i="36"/>
  <c r="V12" i="36"/>
  <c r="V15" i="29"/>
  <c r="S46" i="42"/>
  <c r="O23" i="22"/>
  <c r="O32" i="32"/>
  <c r="V7" i="36"/>
  <c r="V39" i="19"/>
  <c r="V7" i="22"/>
  <c r="D14" i="21" s="1"/>
  <c r="O46" i="29"/>
  <c r="S46" i="19"/>
  <c r="S46" i="11"/>
  <c r="S32" i="32"/>
  <c r="V15" i="19"/>
  <c r="V43" i="22"/>
  <c r="V30" i="36"/>
  <c r="V36" i="36"/>
  <c r="V36" i="29"/>
  <c r="V21" i="22"/>
  <c r="D6" i="21" s="1"/>
  <c r="S23" i="32"/>
  <c r="S23" i="19"/>
  <c r="V17" i="19"/>
  <c r="S9" i="11"/>
  <c r="S32" i="42"/>
  <c r="S23" i="42"/>
  <c r="V15" i="42"/>
  <c r="S9" i="42"/>
  <c r="D15" i="34"/>
  <c r="W15" i="34" s="1"/>
  <c r="D9" i="30"/>
  <c r="W9" i="30" s="1"/>
  <c r="D15" i="40"/>
  <c r="W15" i="40" s="1"/>
  <c r="V8" i="11"/>
  <c r="D11" i="9" s="1"/>
  <c r="V40" i="11"/>
  <c r="V7" i="32"/>
  <c r="D14" i="31" s="1"/>
  <c r="O23" i="32"/>
  <c r="V40" i="7"/>
  <c r="O9" i="22"/>
  <c r="O9" i="19"/>
  <c r="V44" i="32"/>
  <c r="V44" i="7"/>
  <c r="V43" i="19"/>
  <c r="O23" i="29"/>
  <c r="V31" i="39"/>
  <c r="V12" i="39"/>
  <c r="D12" i="38" s="1"/>
  <c r="S47" i="32"/>
  <c r="O46" i="19"/>
  <c r="V26" i="32"/>
  <c r="D9" i="31" s="1"/>
  <c r="S32" i="19"/>
  <c r="V12" i="29"/>
  <c r="S46" i="29"/>
  <c r="V44" i="22"/>
  <c r="V40" i="39"/>
  <c r="V13" i="39"/>
  <c r="D13" i="38" s="1"/>
  <c r="V8" i="29"/>
  <c r="O32" i="22"/>
  <c r="O23" i="19"/>
  <c r="V20" i="22"/>
  <c r="D5" i="21" s="1"/>
  <c r="D5" i="33" s="1"/>
  <c r="S23" i="39"/>
  <c r="V43" i="39"/>
  <c r="S23" i="29"/>
  <c r="V26" i="22"/>
  <c r="D9" i="21" s="1"/>
  <c r="V26" i="36"/>
  <c r="V43" i="36"/>
  <c r="O32" i="39"/>
  <c r="V8" i="39"/>
  <c r="D11" i="38" s="1"/>
  <c r="V39" i="29"/>
  <c r="V8" i="22"/>
  <c r="D11" i="21" s="1"/>
  <c r="V20" i="39"/>
  <c r="D5" i="38" s="1"/>
  <c r="V44" i="39"/>
  <c r="O47" i="32"/>
  <c r="V17" i="36"/>
  <c r="V13" i="36"/>
  <c r="S32" i="22"/>
  <c r="O46" i="7"/>
  <c r="O9" i="32"/>
  <c r="V38" i="29"/>
  <c r="S9" i="29"/>
  <c r="V31" i="22"/>
  <c r="V32" i="22" s="1"/>
  <c r="V16" i="36"/>
  <c r="V39" i="39"/>
  <c r="V16" i="39"/>
  <c r="D4" i="38" s="1"/>
  <c r="V35" i="39"/>
  <c r="S46" i="22"/>
  <c r="O46" i="22"/>
  <c r="O9" i="29"/>
  <c r="V20" i="36"/>
  <c r="O9" i="36"/>
  <c r="V17" i="32"/>
  <c r="D7" i="31" s="1"/>
  <c r="V44" i="19"/>
  <c r="V35" i="36"/>
  <c r="V30" i="39"/>
  <c r="O47" i="39"/>
  <c r="O23" i="39"/>
  <c r="V45" i="39"/>
  <c r="V17" i="39"/>
  <c r="D7" i="38" s="1"/>
  <c r="V36" i="39"/>
  <c r="V39" i="36"/>
  <c r="O32" i="29"/>
  <c r="S46" i="36"/>
  <c r="V26" i="39"/>
  <c r="D9" i="38" s="1"/>
  <c r="O46" i="36"/>
  <c r="O23" i="36"/>
  <c r="D9" i="34"/>
  <c r="W9" i="34" s="1"/>
  <c r="D17" i="35"/>
  <c r="V15" i="39"/>
  <c r="V30" i="19"/>
  <c r="V38" i="32"/>
  <c r="V7" i="29"/>
  <c r="V7" i="19"/>
  <c r="V9" i="19" s="1"/>
  <c r="V30" i="32"/>
  <c r="V45" i="32"/>
  <c r="S23" i="22"/>
  <c r="S9" i="39"/>
  <c r="V38" i="39"/>
  <c r="V7" i="39"/>
  <c r="V21" i="39"/>
  <c r="D6" i="38" s="1"/>
  <c r="V31" i="36"/>
  <c r="V32" i="36" s="1"/>
  <c r="V21" i="29"/>
  <c r="S9" i="36"/>
  <c r="S47" i="39"/>
  <c r="S23" i="36"/>
  <c r="O9" i="39"/>
  <c r="O32" i="36"/>
  <c r="V38" i="36"/>
  <c r="D18" i="27"/>
  <c r="D4" i="24"/>
  <c r="E20" i="26"/>
  <c r="D20" i="26" s="1"/>
  <c r="E19" i="1"/>
  <c r="D19" i="1" s="1"/>
  <c r="D3" i="1"/>
  <c r="D9" i="1" s="1"/>
  <c r="D17" i="1" s="1"/>
  <c r="I86" i="1"/>
  <c r="I86" i="20" s="1"/>
  <c r="I81" i="20"/>
  <c r="F86" i="1"/>
  <c r="F86" i="20" s="1"/>
  <c r="F81" i="20"/>
  <c r="G81" i="20"/>
  <c r="G86" i="1"/>
  <c r="G86" i="20" s="1"/>
  <c r="H81" i="20"/>
  <c r="H86" i="1"/>
  <c r="H86" i="20" s="1"/>
  <c r="K86" i="1"/>
  <c r="K86" i="20" s="1"/>
  <c r="K81" i="20"/>
  <c r="E86" i="1"/>
  <c r="E86" i="20" s="1"/>
  <c r="E81" i="20"/>
  <c r="J81" i="20"/>
  <c r="J86" i="1"/>
  <c r="J86" i="20" s="1"/>
  <c r="D81" i="20"/>
  <c r="L81" i="1"/>
  <c r="D86" i="1"/>
  <c r="J27" i="20"/>
  <c r="J33" i="1"/>
  <c r="G27" i="20"/>
  <c r="G33" i="1"/>
  <c r="H27" i="20"/>
  <c r="H33" i="1"/>
  <c r="I27" i="20"/>
  <c r="I33" i="1"/>
  <c r="K27" i="20"/>
  <c r="K33" i="1"/>
  <c r="L38" i="20"/>
  <c r="F27" i="20"/>
  <c r="F33" i="1"/>
  <c r="E27" i="20"/>
  <c r="E33" i="1"/>
  <c r="D28" i="26"/>
  <c r="D33" i="1"/>
  <c r="W12" i="9"/>
  <c r="W13" i="9"/>
  <c r="W9" i="9"/>
  <c r="D97" i="20"/>
  <c r="D95" i="20"/>
  <c r="D27" i="20"/>
  <c r="H62" i="20"/>
  <c r="AG62" i="20" s="1"/>
  <c r="E62" i="20"/>
  <c r="AD62" i="20" s="1"/>
  <c r="I62" i="20"/>
  <c r="AH62" i="20" s="1"/>
  <c r="F62" i="20"/>
  <c r="AE62" i="20" s="1"/>
  <c r="D62" i="20"/>
  <c r="G62" i="20"/>
  <c r="AF62" i="20" s="1"/>
  <c r="K62" i="20"/>
  <c r="AJ62" i="20" s="1"/>
  <c r="J62" i="20"/>
  <c r="AI62" i="20" s="1"/>
  <c r="D46" i="1"/>
  <c r="D47" i="1" s="1"/>
  <c r="D42" i="20"/>
  <c r="K98" i="1"/>
  <c r="D98" i="1"/>
  <c r="J98" i="1"/>
  <c r="J98" i="20" s="1"/>
  <c r="G98" i="1"/>
  <c r="G98" i="20" s="1"/>
  <c r="E98" i="1"/>
  <c r="E98" i="20" s="1"/>
  <c r="H98" i="1"/>
  <c r="H98" i="20" s="1"/>
  <c r="I98" i="1"/>
  <c r="I98" i="20" s="1"/>
  <c r="N83" i="1"/>
  <c r="N83" i="20" s="1"/>
  <c r="N87" i="1"/>
  <c r="N87" i="20" s="1"/>
  <c r="N84" i="1"/>
  <c r="N84" i="20" s="1"/>
  <c r="N85" i="1"/>
  <c r="N85" i="20" s="1"/>
  <c r="N89" i="1"/>
  <c r="N89" i="20" s="1"/>
  <c r="M84" i="1"/>
  <c r="M84" i="20" s="1"/>
  <c r="M83" i="1"/>
  <c r="M83" i="20" s="1"/>
  <c r="M87" i="1"/>
  <c r="M87" i="20" s="1"/>
  <c r="M85" i="1"/>
  <c r="M85" i="20" s="1"/>
  <c r="M89" i="1"/>
  <c r="M89" i="20" s="1"/>
  <c r="L158" i="7"/>
  <c r="N158" i="7"/>
  <c r="P159" i="7"/>
  <c r="P162" i="7"/>
  <c r="O158" i="7"/>
  <c r="O161" i="7"/>
  <c r="U158" i="7"/>
  <c r="U161" i="7"/>
  <c r="T158" i="7"/>
  <c r="T161" i="7"/>
  <c r="R158" i="7"/>
  <c r="R161" i="7"/>
  <c r="P158" i="7"/>
  <c r="P161" i="7"/>
  <c r="Q158" i="7"/>
  <c r="Q161" i="7"/>
  <c r="S158" i="7"/>
  <c r="S161" i="7"/>
  <c r="I159" i="7"/>
  <c r="S133" i="7"/>
  <c r="K159" i="7"/>
  <c r="U133" i="7"/>
  <c r="J159" i="7"/>
  <c r="T133" i="7"/>
  <c r="G159" i="7"/>
  <c r="Q133" i="7"/>
  <c r="D159" i="7"/>
  <c r="N133" i="7"/>
  <c r="H159" i="7"/>
  <c r="R133" i="7"/>
  <c r="E159" i="7"/>
  <c r="O133" i="7"/>
  <c r="L62" i="1"/>
  <c r="L62" i="20" s="1"/>
  <c r="L9" i="7"/>
  <c r="E13" i="20"/>
  <c r="X13" i="20" s="1"/>
  <c r="G28" i="1"/>
  <c r="G29" i="26" s="1"/>
  <c r="G30" i="26" s="1"/>
  <c r="H28" i="1"/>
  <c r="H29" i="26" s="1"/>
  <c r="H30" i="26" s="1"/>
  <c r="E28" i="1"/>
  <c r="E29" i="26" s="1"/>
  <c r="E30" i="26" s="1"/>
  <c r="F28" i="1"/>
  <c r="F29" i="26" s="1"/>
  <c r="F30" i="26" s="1"/>
  <c r="L23" i="7"/>
  <c r="L26" i="1"/>
  <c r="D28" i="1"/>
  <c r="D29" i="26" s="1"/>
  <c r="D30" i="26" s="1"/>
  <c r="L27" i="1"/>
  <c r="K28" i="1"/>
  <c r="K29" i="26" s="1"/>
  <c r="K30" i="26" s="1"/>
  <c r="I28" i="1"/>
  <c r="I29" i="26" s="1"/>
  <c r="I30" i="26" s="1"/>
  <c r="J28" i="1"/>
  <c r="J29" i="26" s="1"/>
  <c r="J30" i="26" s="1"/>
  <c r="V9" i="42" l="1"/>
  <c r="W24" i="55"/>
  <c r="W9" i="55"/>
  <c r="D9" i="24"/>
  <c r="D7" i="24"/>
  <c r="V32" i="7"/>
  <c r="V32" i="32"/>
  <c r="V32" i="19"/>
  <c r="V23" i="49"/>
  <c r="D3" i="48"/>
  <c r="D8" i="48" s="1"/>
  <c r="D17" i="48" s="1"/>
  <c r="D13" i="33"/>
  <c r="D12" i="33"/>
  <c r="V9" i="49"/>
  <c r="V46" i="11"/>
  <c r="V32" i="11"/>
  <c r="V9" i="36"/>
  <c r="L26" i="20"/>
  <c r="L27" i="26"/>
  <c r="L27" i="20"/>
  <c r="L28" i="26"/>
  <c r="D7" i="43"/>
  <c r="V23" i="42"/>
  <c r="V46" i="42"/>
  <c r="D11" i="33"/>
  <c r="D12" i="24"/>
  <c r="V32" i="45"/>
  <c r="D6" i="33"/>
  <c r="D15" i="44"/>
  <c r="V9" i="45"/>
  <c r="V47" i="45"/>
  <c r="D17" i="30"/>
  <c r="W17" i="30" s="1"/>
  <c r="D8" i="44"/>
  <c r="V32" i="29"/>
  <c r="V23" i="45"/>
  <c r="D17" i="34"/>
  <c r="W17" i="34" s="1"/>
  <c r="V23" i="19"/>
  <c r="D7" i="33"/>
  <c r="D4" i="37"/>
  <c r="D4" i="43"/>
  <c r="D11" i="37"/>
  <c r="D11" i="43"/>
  <c r="D13" i="37"/>
  <c r="D13" i="43"/>
  <c r="D6" i="37"/>
  <c r="D6" i="43"/>
  <c r="D9" i="37"/>
  <c r="D9" i="43"/>
  <c r="D5" i="37"/>
  <c r="D5" i="43"/>
  <c r="D12" i="37"/>
  <c r="D12" i="43"/>
  <c r="V46" i="22"/>
  <c r="V23" i="29"/>
  <c r="V23" i="36"/>
  <c r="V46" i="7"/>
  <c r="V46" i="29"/>
  <c r="V9" i="11"/>
  <c r="D17" i="40"/>
  <c r="W17" i="40" s="1"/>
  <c r="V9" i="32"/>
  <c r="V47" i="32"/>
  <c r="D7" i="37"/>
  <c r="V32" i="39"/>
  <c r="D15" i="21"/>
  <c r="V23" i="22"/>
  <c r="D9" i="33"/>
  <c r="V46" i="36"/>
  <c r="V46" i="19"/>
  <c r="V9" i="22"/>
  <c r="V9" i="29"/>
  <c r="V23" i="32"/>
  <c r="V47" i="39"/>
  <c r="D3" i="38"/>
  <c r="V23" i="39"/>
  <c r="V9" i="39"/>
  <c r="D14" i="38"/>
  <c r="D8" i="31"/>
  <c r="D3" i="24"/>
  <c r="D3" i="33"/>
  <c r="D8" i="21"/>
  <c r="D14" i="24"/>
  <c r="D15" i="31"/>
  <c r="D14" i="33"/>
  <c r="K98" i="20"/>
  <c r="E20" i="1"/>
  <c r="D20" i="1" s="1"/>
  <c r="L81" i="20"/>
  <c r="E3" i="1"/>
  <c r="L86" i="1"/>
  <c r="L86" i="20" s="1"/>
  <c r="D86" i="20"/>
  <c r="I34" i="1"/>
  <c r="I33" i="20"/>
  <c r="E34" i="1"/>
  <c r="E33" i="20"/>
  <c r="K34" i="1"/>
  <c r="K33" i="20"/>
  <c r="H34" i="1"/>
  <c r="H33" i="20"/>
  <c r="J34" i="1"/>
  <c r="J33" i="20"/>
  <c r="G34" i="1"/>
  <c r="G33" i="20"/>
  <c r="F34" i="1"/>
  <c r="F33" i="20"/>
  <c r="D33" i="20"/>
  <c r="L33" i="1"/>
  <c r="L33" i="20" s="1"/>
  <c r="D34" i="1"/>
  <c r="D28" i="20"/>
  <c r="W11" i="9"/>
  <c r="D11" i="24"/>
  <c r="D98" i="20"/>
  <c r="AC62" i="20"/>
  <c r="AK62" i="20" s="1"/>
  <c r="K28" i="20"/>
  <c r="I28" i="20"/>
  <c r="H28" i="20"/>
  <c r="E19" i="20"/>
  <c r="X19" i="20" s="1"/>
  <c r="G28" i="20"/>
  <c r="F28" i="20"/>
  <c r="J28" i="20"/>
  <c r="E28" i="20"/>
  <c r="E42" i="1"/>
  <c r="D46" i="20"/>
  <c r="N90" i="1"/>
  <c r="N90" i="20" s="1"/>
  <c r="N81" i="1"/>
  <c r="N81" i="20" s="1"/>
  <c r="D15" i="9"/>
  <c r="W3" i="9"/>
  <c r="M81" i="1"/>
  <c r="M81" i="20" s="1"/>
  <c r="M90" i="1"/>
  <c r="M90" i="20" s="1"/>
  <c r="L159" i="7"/>
  <c r="N159" i="7"/>
  <c r="N162" i="7"/>
  <c r="O159" i="7"/>
  <c r="O162" i="7"/>
  <c r="Q159" i="7"/>
  <c r="Q162" i="7"/>
  <c r="U159" i="7"/>
  <c r="U162" i="7"/>
  <c r="R159" i="7"/>
  <c r="R162" i="7"/>
  <c r="T159" i="7"/>
  <c r="T162" i="7"/>
  <c r="S159" i="7"/>
  <c r="S162" i="7"/>
  <c r="L28" i="1"/>
  <c r="L29" i="26" s="1"/>
  <c r="L30" i="26" s="1"/>
  <c r="D17" i="44" l="1"/>
  <c r="D8" i="38"/>
  <c r="D8" i="43" s="1"/>
  <c r="D3" i="43"/>
  <c r="D15" i="38"/>
  <c r="D15" i="43" s="1"/>
  <c r="D14" i="43"/>
  <c r="D8" i="33"/>
  <c r="D3" i="37"/>
  <c r="D14" i="37"/>
  <c r="D17" i="31"/>
  <c r="D17" i="21"/>
  <c r="D15" i="33"/>
  <c r="E9" i="1"/>
  <c r="M86" i="1" s="1"/>
  <c r="M86" i="20" s="1"/>
  <c r="E3" i="20"/>
  <c r="X3" i="20" s="1"/>
  <c r="F39" i="1"/>
  <c r="F34" i="20"/>
  <c r="J39" i="1"/>
  <c r="J34" i="20"/>
  <c r="K39" i="1"/>
  <c r="K34" i="20"/>
  <c r="I39" i="1"/>
  <c r="I34" i="20"/>
  <c r="G39" i="1"/>
  <c r="G34" i="20"/>
  <c r="H39" i="1"/>
  <c r="H34" i="20"/>
  <c r="E39" i="1"/>
  <c r="E34" i="20"/>
  <c r="D39" i="1"/>
  <c r="L34" i="1"/>
  <c r="D34" i="20"/>
  <c r="W15" i="9"/>
  <c r="D15" i="24"/>
  <c r="E20" i="20"/>
  <c r="X20" i="20" s="1"/>
  <c r="E46" i="1"/>
  <c r="E42" i="20"/>
  <c r="D19" i="20"/>
  <c r="W19" i="20" s="1"/>
  <c r="L28" i="20"/>
  <c r="N91" i="1"/>
  <c r="N91" i="20" s="1"/>
  <c r="E15" i="20"/>
  <c r="X15" i="20" s="1"/>
  <c r="N86" i="1"/>
  <c r="N86" i="20" s="1"/>
  <c r="M91" i="1"/>
  <c r="M91" i="20" s="1"/>
  <c r="D8" i="37" l="1"/>
  <c r="D15" i="37"/>
  <c r="D17" i="38"/>
  <c r="D17" i="43" s="1"/>
  <c r="D17" i="33"/>
  <c r="E17" i="1"/>
  <c r="E17" i="20" s="1"/>
  <c r="X17" i="20" s="1"/>
  <c r="E9" i="20"/>
  <c r="X9" i="20" s="1"/>
  <c r="L39" i="1"/>
  <c r="L34" i="20"/>
  <c r="F42" i="1"/>
  <c r="E46" i="20"/>
  <c r="E47" i="1"/>
  <c r="D20" i="20"/>
  <c r="W20" i="20" s="1"/>
  <c r="D17" i="37" l="1"/>
  <c r="F46" i="1"/>
  <c r="F42" i="20"/>
  <c r="F47" i="1" l="1"/>
  <c r="F46" i="20"/>
  <c r="G42" i="1"/>
  <c r="G46" i="1" l="1"/>
  <c r="G42" i="20"/>
  <c r="P17" i="7"/>
  <c r="P15" i="7"/>
  <c r="P21" i="7"/>
  <c r="P8" i="7"/>
  <c r="P20" i="7"/>
  <c r="P7" i="7"/>
  <c r="P26" i="7"/>
  <c r="S8" i="7"/>
  <c r="S26" i="7"/>
  <c r="S7" i="7"/>
  <c r="S21" i="7"/>
  <c r="S17" i="7"/>
  <c r="S15" i="7"/>
  <c r="S20" i="7"/>
  <c r="Q7" i="7"/>
  <c r="Q21" i="7"/>
  <c r="Q15" i="7"/>
  <c r="Q8" i="7"/>
  <c r="Q17" i="7"/>
  <c r="Q20" i="7"/>
  <c r="Q26" i="7"/>
  <c r="U17" i="7"/>
  <c r="U7" i="7"/>
  <c r="U20" i="7"/>
  <c r="U8" i="7"/>
  <c r="U15" i="7"/>
  <c r="U21" i="7"/>
  <c r="U26" i="7"/>
  <c r="T26" i="7"/>
  <c r="T20" i="7"/>
  <c r="T7" i="7"/>
  <c r="T8" i="7"/>
  <c r="T15" i="7"/>
  <c r="T21" i="7"/>
  <c r="T17" i="7"/>
  <c r="O26" i="7"/>
  <c r="O20" i="7"/>
  <c r="O15" i="7"/>
  <c r="O7" i="7"/>
  <c r="O8" i="7"/>
  <c r="O21" i="7"/>
  <c r="O17" i="7"/>
  <c r="N26" i="7"/>
  <c r="N17" i="7"/>
  <c r="N7" i="7"/>
  <c r="N21" i="7"/>
  <c r="N8" i="7"/>
  <c r="N15" i="7"/>
  <c r="N20" i="7"/>
  <c r="R20" i="7"/>
  <c r="R21" i="7"/>
  <c r="R26" i="7"/>
  <c r="R15" i="7"/>
  <c r="R17" i="7"/>
  <c r="R7" i="7"/>
  <c r="R8" i="7"/>
  <c r="G47" i="1" l="1"/>
  <c r="G46" i="20"/>
  <c r="H42" i="1"/>
  <c r="S9" i="7"/>
  <c r="R9" i="7"/>
  <c r="P9" i="7"/>
  <c r="V8" i="7"/>
  <c r="T23" i="7"/>
  <c r="U23" i="7"/>
  <c r="O23" i="7"/>
  <c r="R23" i="7"/>
  <c r="V26" i="7"/>
  <c r="S23" i="7"/>
  <c r="P23" i="7"/>
  <c r="O9" i="7"/>
  <c r="Q9" i="7"/>
  <c r="N23" i="7"/>
  <c r="V15" i="7"/>
  <c r="D3" i="20" s="1"/>
  <c r="W3" i="20" s="1"/>
  <c r="N9" i="7"/>
  <c r="V7" i="7"/>
  <c r="V17" i="7"/>
  <c r="U9" i="7"/>
  <c r="V20" i="7"/>
  <c r="V21" i="7"/>
  <c r="T9" i="7"/>
  <c r="Q23" i="7"/>
  <c r="D12" i="20" l="1"/>
  <c r="W12" i="20" s="1"/>
  <c r="H46" i="1"/>
  <c r="H42" i="20"/>
  <c r="D6" i="20"/>
  <c r="W6" i="20" s="1"/>
  <c r="D10" i="20"/>
  <c r="W10" i="20" s="1"/>
  <c r="D5" i="20"/>
  <c r="W5" i="20" s="1"/>
  <c r="D7" i="20"/>
  <c r="W7" i="20" s="1"/>
  <c r="V23" i="7"/>
  <c r="V9" i="7"/>
  <c r="D13" i="20"/>
  <c r="W13" i="20" s="1"/>
  <c r="I42" i="1" l="1"/>
  <c r="H46" i="20"/>
  <c r="H47" i="1"/>
  <c r="D9" i="20" l="1"/>
  <c r="W9" i="20" s="1"/>
  <c r="D15" i="20"/>
  <c r="W15" i="20" s="1"/>
  <c r="I46" i="1"/>
  <c r="I42" i="20"/>
  <c r="D17" i="20" l="1"/>
  <c r="W17" i="20" s="1"/>
  <c r="I46" i="20"/>
  <c r="J42" i="1"/>
  <c r="I47" i="1"/>
  <c r="J46" i="1" l="1"/>
  <c r="J42" i="20"/>
  <c r="E88" i="9"/>
  <c r="E88" i="24" s="1"/>
  <c r="O21" i="11"/>
  <c r="J88" i="9"/>
  <c r="J88" i="24" s="1"/>
  <c r="T21" i="11"/>
  <c r="F88" i="9"/>
  <c r="F88" i="24" s="1"/>
  <c r="P21" i="11"/>
  <c r="K88" i="9"/>
  <c r="K88" i="24" s="1"/>
  <c r="U21" i="11"/>
  <c r="I88" i="9"/>
  <c r="I88" i="24" s="1"/>
  <c r="S21" i="11"/>
  <c r="G88" i="9"/>
  <c r="G88" i="24" s="1"/>
  <c r="Q21" i="11"/>
  <c r="H88" i="9"/>
  <c r="H88" i="24" s="1"/>
  <c r="R21" i="11"/>
  <c r="D88" i="9"/>
  <c r="L21" i="11"/>
  <c r="E6" i="9" s="1"/>
  <c r="E6" i="24" s="1"/>
  <c r="N21" i="11"/>
  <c r="D88" i="24" l="1"/>
  <c r="J46" i="20"/>
  <c r="K42" i="1"/>
  <c r="J47" i="1"/>
  <c r="V21" i="11"/>
  <c r="D6" i="9" s="1"/>
  <c r="F87" i="9"/>
  <c r="F87" i="24" s="1"/>
  <c r="F23" i="11"/>
  <c r="P20" i="11"/>
  <c r="P23" i="11" s="1"/>
  <c r="K87" i="9"/>
  <c r="K87" i="24" s="1"/>
  <c r="K23" i="11"/>
  <c r="U20" i="11"/>
  <c r="U23" i="11" s="1"/>
  <c r="I87" i="9"/>
  <c r="I87" i="24" s="1"/>
  <c r="I23" i="11"/>
  <c r="S20" i="11"/>
  <c r="S23" i="11" s="1"/>
  <c r="L88" i="9"/>
  <c r="L88" i="24" s="1"/>
  <c r="D87" i="9"/>
  <c r="L20" i="11"/>
  <c r="D23" i="11"/>
  <c r="N20" i="11"/>
  <c r="E87" i="9"/>
  <c r="E87" i="24" s="1"/>
  <c r="E23" i="11"/>
  <c r="O20" i="11"/>
  <c r="O23" i="11" s="1"/>
  <c r="H87" i="9"/>
  <c r="H87" i="24" s="1"/>
  <c r="H23" i="11"/>
  <c r="R20" i="11"/>
  <c r="R23" i="11" s="1"/>
  <c r="J87" i="9"/>
  <c r="J87" i="24" s="1"/>
  <c r="J23" i="11"/>
  <c r="T20" i="11"/>
  <c r="T23" i="11" s="1"/>
  <c r="M88" i="9"/>
  <c r="M88" i="24" s="1"/>
  <c r="X6" i="9"/>
  <c r="G87" i="9"/>
  <c r="G87" i="24" s="1"/>
  <c r="G23" i="11"/>
  <c r="Q20" i="11"/>
  <c r="Q23" i="11" s="1"/>
  <c r="D87" i="24" l="1"/>
  <c r="W6" i="9"/>
  <c r="D6" i="24"/>
  <c r="K46" i="1"/>
  <c r="K42" i="20"/>
  <c r="N88" i="9"/>
  <c r="N88" i="24" s="1"/>
  <c r="F90" i="9"/>
  <c r="N23" i="11"/>
  <c r="V20" i="11"/>
  <c r="L87" i="9"/>
  <c r="L87" i="24" s="1"/>
  <c r="D90" i="9"/>
  <c r="G90" i="9"/>
  <c r="I90" i="9"/>
  <c r="J90" i="9"/>
  <c r="H90" i="9"/>
  <c r="E90" i="9"/>
  <c r="K90" i="9"/>
  <c r="E5" i="9"/>
  <c r="E5" i="24" s="1"/>
  <c r="L23" i="11"/>
  <c r="L32" i="9" l="1"/>
  <c r="L32" i="24" s="1"/>
  <c r="E99" i="9"/>
  <c r="E99" i="24" s="1"/>
  <c r="E90" i="24"/>
  <c r="J99" i="9"/>
  <c r="J99" i="24" s="1"/>
  <c r="J90" i="24"/>
  <c r="G99" i="9"/>
  <c r="G99" i="24" s="1"/>
  <c r="G90" i="24"/>
  <c r="D90" i="24"/>
  <c r="K99" i="9"/>
  <c r="K99" i="24" s="1"/>
  <c r="K90" i="24"/>
  <c r="F99" i="9"/>
  <c r="F99" i="24" s="1"/>
  <c r="F90" i="24"/>
  <c r="H99" i="9"/>
  <c r="H99" i="24" s="1"/>
  <c r="H90" i="24"/>
  <c r="I99" i="9"/>
  <c r="I99" i="24" s="1"/>
  <c r="I90" i="24"/>
  <c r="K46" i="20"/>
  <c r="N46" i="1"/>
  <c r="K47" i="1"/>
  <c r="X5" i="9"/>
  <c r="E8" i="9"/>
  <c r="E8" i="24" s="1"/>
  <c r="E17" i="24" s="1"/>
  <c r="M87" i="9"/>
  <c r="D99" i="9"/>
  <c r="L90" i="9"/>
  <c r="L90" i="24" s="1"/>
  <c r="D5" i="9"/>
  <c r="D5" i="24" s="1"/>
  <c r="V23" i="11"/>
  <c r="L99" i="9" l="1"/>
  <c r="L99" i="24" s="1"/>
  <c r="D99" i="24"/>
  <c r="N87" i="9"/>
  <c r="N87" i="24" s="1"/>
  <c r="M87" i="24"/>
  <c r="W5" i="9"/>
  <c r="D8" i="9"/>
  <c r="D8" i="24" s="1"/>
  <c r="D17" i="24" s="1"/>
  <c r="X8" i="9"/>
  <c r="E17" i="9"/>
  <c r="M90" i="9"/>
  <c r="N90" i="9" l="1"/>
  <c r="N90" i="24" s="1"/>
  <c r="M90" i="24"/>
  <c r="W8" i="9"/>
  <c r="D17" i="9"/>
  <c r="W17" i="9" s="1"/>
  <c r="X17" i="9"/>
  <c r="M99" i="9"/>
  <c r="J136" i="11"/>
  <c r="J63" i="9"/>
  <c r="I63" i="9"/>
  <c r="I136" i="11"/>
  <c r="K136" i="11"/>
  <c r="K63" i="9"/>
  <c r="AI63" i="9" l="1"/>
  <c r="I63" i="24"/>
  <c r="AK63" i="9"/>
  <c r="K63" i="24"/>
  <c r="AJ63" i="9"/>
  <c r="J63" i="24"/>
  <c r="N99" i="9"/>
  <c r="N99" i="24" s="1"/>
  <c r="M99" i="24"/>
  <c r="J53" i="9"/>
  <c r="J53" i="24" s="1"/>
  <c r="J105" i="9"/>
  <c r="J105" i="24" s="1"/>
  <c r="K53" i="9"/>
  <c r="K53" i="24" s="1"/>
  <c r="K105" i="9"/>
  <c r="K105" i="24" s="1"/>
  <c r="I53" i="9"/>
  <c r="I53" i="24" s="1"/>
  <c r="I105" i="9"/>
  <c r="I105" i="24" s="1"/>
  <c r="H136" i="11"/>
  <c r="H63" i="9"/>
  <c r="G136" i="11"/>
  <c r="G63" i="9"/>
  <c r="AH63" i="9" l="1"/>
  <c r="H63" i="24"/>
  <c r="AG63" i="9"/>
  <c r="G63" i="24"/>
  <c r="G53" i="9"/>
  <c r="G53" i="24" s="1"/>
  <c r="G105" i="9"/>
  <c r="G105" i="24" s="1"/>
  <c r="H53" i="9"/>
  <c r="H53" i="24" s="1"/>
  <c r="H105" i="9"/>
  <c r="H105" i="24" s="1"/>
  <c r="F63" i="9"/>
  <c r="F136" i="11"/>
  <c r="E63" i="9"/>
  <c r="E136" i="11"/>
  <c r="AF63" i="9" l="1"/>
  <c r="F63" i="24"/>
  <c r="AE63" i="9"/>
  <c r="E63" i="24"/>
  <c r="E53" i="9"/>
  <c r="E53" i="24" s="1"/>
  <c r="E105" i="9"/>
  <c r="E105" i="24" s="1"/>
  <c r="F53" i="9"/>
  <c r="F53" i="24" s="1"/>
  <c r="F105" i="9"/>
  <c r="F105" i="24" s="1"/>
  <c r="D136" i="11"/>
  <c r="D63" i="9"/>
  <c r="AD63" i="9" l="1"/>
  <c r="AL63" i="9" s="1"/>
  <c r="D63" i="24"/>
  <c r="D53" i="9"/>
  <c r="D105" i="9"/>
  <c r="D105" i="24" l="1"/>
  <c r="D53" i="24"/>
  <c r="D64" i="9"/>
  <c r="D137" i="11"/>
  <c r="D106" i="9" s="1"/>
  <c r="D106" i="24" l="1"/>
  <c r="AD64" i="9"/>
  <c r="D64" i="24"/>
  <c r="E64" i="9"/>
  <c r="E137" i="11"/>
  <c r="AE64" i="9" l="1"/>
  <c r="E64" i="24"/>
  <c r="E55" i="9"/>
  <c r="E55" i="24" s="1"/>
  <c r="E106" i="9"/>
  <c r="E106" i="24" s="1"/>
  <c r="D61" i="9"/>
  <c r="D61" i="24" l="1"/>
  <c r="AD61" i="9"/>
  <c r="D65" i="9"/>
  <c r="D135" i="11"/>
  <c r="D104" i="9" s="1"/>
  <c r="AD65" i="9" l="1"/>
  <c r="D65" i="24"/>
  <c r="E22" i="27"/>
  <c r="D22" i="27" s="1"/>
  <c r="D104" i="24"/>
  <c r="D52" i="9"/>
  <c r="D161" i="11"/>
  <c r="D138" i="11"/>
  <c r="D107" i="9" s="1"/>
  <c r="N135" i="11"/>
  <c r="F64" i="9"/>
  <c r="F137" i="11"/>
  <c r="D56" i="9" l="1"/>
  <c r="D58" i="9" s="1"/>
  <c r="D52" i="24"/>
  <c r="D107" i="24"/>
  <c r="AF64" i="9"/>
  <c r="F64" i="24"/>
  <c r="F55" i="9"/>
  <c r="F55" i="24" s="1"/>
  <c r="F106" i="9"/>
  <c r="F106" i="24" s="1"/>
  <c r="N164" i="11"/>
  <c r="D19" i="9" s="1"/>
  <c r="E19" i="9"/>
  <c r="N161" i="11"/>
  <c r="D139" i="11"/>
  <c r="E135" i="11"/>
  <c r="E104" i="9" s="1"/>
  <c r="E104" i="24" s="1"/>
  <c r="D162" i="11"/>
  <c r="N138" i="11"/>
  <c r="E61" i="9"/>
  <c r="E61" i="24" s="1"/>
  <c r="E52" i="9" l="1"/>
  <c r="E52" i="24" s="1"/>
  <c r="W19" i="9"/>
  <c r="D19" i="24"/>
  <c r="X19" i="9"/>
  <c r="E19" i="24"/>
  <c r="D56" i="24"/>
  <c r="AE61" i="9"/>
  <c r="E65" i="9"/>
  <c r="E138" i="11"/>
  <c r="E107" i="9" s="1"/>
  <c r="E107" i="24" s="1"/>
  <c r="E161" i="11"/>
  <c r="O135" i="11"/>
  <c r="N162" i="11"/>
  <c r="N165" i="11"/>
  <c r="E56" i="9" l="1"/>
  <c r="E58" i="9" s="1"/>
  <c r="AE65" i="9"/>
  <c r="E65" i="24"/>
  <c r="F135" i="11"/>
  <c r="F104" i="9" s="1"/>
  <c r="F104" i="24" s="1"/>
  <c r="E162" i="11"/>
  <c r="O138" i="11"/>
  <c r="O161" i="11"/>
  <c r="O164" i="11"/>
  <c r="E139" i="11"/>
  <c r="E56" i="24" l="1"/>
  <c r="F52" i="9"/>
  <c r="P135" i="11"/>
  <c r="F138" i="11"/>
  <c r="F107" i="9" s="1"/>
  <c r="F107" i="24" s="1"/>
  <c r="F161" i="11"/>
  <c r="O162" i="11"/>
  <c r="O165" i="11"/>
  <c r="F61" i="9"/>
  <c r="F61" i="24" s="1"/>
  <c r="F56" i="9" l="1"/>
  <c r="F52" i="24"/>
  <c r="P138" i="11"/>
  <c r="F162" i="11"/>
  <c r="G135" i="11"/>
  <c r="G104" i="9" s="1"/>
  <c r="G104" i="24" s="1"/>
  <c r="P164" i="11"/>
  <c r="P161" i="11"/>
  <c r="AF61" i="9"/>
  <c r="F65" i="9"/>
  <c r="F65" i="24" s="1"/>
  <c r="G64" i="9"/>
  <c r="G137" i="11"/>
  <c r="G106" i="9" s="1"/>
  <c r="G106" i="24" s="1"/>
  <c r="F56" i="24" l="1"/>
  <c r="G52" i="9"/>
  <c r="G52" i="24" s="1"/>
  <c r="AG64" i="9"/>
  <c r="G64" i="24"/>
  <c r="G55" i="9"/>
  <c r="AF65" i="9"/>
  <c r="F58" i="9"/>
  <c r="P162" i="11"/>
  <c r="P165" i="11"/>
  <c r="G161" i="11"/>
  <c r="Q135" i="11"/>
  <c r="G138" i="11"/>
  <c r="G107" i="9" s="1"/>
  <c r="G107" i="24" s="1"/>
  <c r="F139" i="11"/>
  <c r="G56" i="9" l="1"/>
  <c r="G55" i="24"/>
  <c r="Q164" i="11"/>
  <c r="Q161" i="11"/>
  <c r="Q138" i="11"/>
  <c r="H135" i="11"/>
  <c r="H104" i="9" s="1"/>
  <c r="H104" i="24" s="1"/>
  <c r="G162" i="11"/>
  <c r="G61" i="9"/>
  <c r="G61" i="24" s="1"/>
  <c r="H52" i="9" l="1"/>
  <c r="H52" i="24" s="1"/>
  <c r="G56" i="24"/>
  <c r="Q165" i="11"/>
  <c r="Q162" i="11"/>
  <c r="AG61" i="9"/>
  <c r="G65" i="9"/>
  <c r="G65" i="24" s="1"/>
  <c r="H161" i="11"/>
  <c r="R135" i="11"/>
  <c r="H64" i="9" l="1"/>
  <c r="H137" i="11"/>
  <c r="R161" i="11"/>
  <c r="R164" i="11"/>
  <c r="AG65" i="9"/>
  <c r="G58" i="9"/>
  <c r="G139" i="11"/>
  <c r="AH64" i="9" l="1"/>
  <c r="H64" i="24"/>
  <c r="H55" i="9"/>
  <c r="H106" i="9"/>
  <c r="H106" i="24" s="1"/>
  <c r="H138" i="11"/>
  <c r="H107" i="9" s="1"/>
  <c r="H107" i="24" s="1"/>
  <c r="I64" i="9"/>
  <c r="I137" i="11"/>
  <c r="H61" i="9"/>
  <c r="H61" i="24" s="1"/>
  <c r="H56" i="9" l="1"/>
  <c r="H56" i="24" s="1"/>
  <c r="H55" i="24"/>
  <c r="AI64" i="9"/>
  <c r="I64" i="24"/>
  <c r="I55" i="9"/>
  <c r="I55" i="24" s="1"/>
  <c r="I106" i="9"/>
  <c r="I106" i="24" s="1"/>
  <c r="AH61" i="9"/>
  <c r="H65" i="9"/>
  <c r="H162" i="11"/>
  <c r="R138" i="11"/>
  <c r="I135" i="11"/>
  <c r="I104" i="9" s="1"/>
  <c r="I104" i="24" s="1"/>
  <c r="I52" i="9" l="1"/>
  <c r="I52" i="24" s="1"/>
  <c r="AH65" i="9"/>
  <c r="H65" i="24"/>
  <c r="H58" i="9"/>
  <c r="R165" i="11"/>
  <c r="R162" i="11"/>
  <c r="I161" i="11"/>
  <c r="S135" i="11"/>
  <c r="I138" i="11"/>
  <c r="I107" i="9" s="1"/>
  <c r="I107" i="24" s="1"/>
  <c r="H139" i="11"/>
  <c r="I56" i="9" l="1"/>
  <c r="I56" i="24" s="1"/>
  <c r="S161" i="11"/>
  <c r="S164" i="11"/>
  <c r="J135" i="11"/>
  <c r="J104" i="9" s="1"/>
  <c r="J104" i="24" s="1"/>
  <c r="I162" i="11"/>
  <c r="S138" i="11"/>
  <c r="I61" i="9"/>
  <c r="I61" i="24" s="1"/>
  <c r="J52" i="9" l="1"/>
  <c r="J52" i="24" s="1"/>
  <c r="AI61" i="9"/>
  <c r="I65" i="9"/>
  <c r="I65" i="24" s="1"/>
  <c r="J161" i="11"/>
  <c r="T135" i="11"/>
  <c r="S165" i="11"/>
  <c r="S162" i="11"/>
  <c r="AI65" i="9" l="1"/>
  <c r="I58" i="9"/>
  <c r="T161" i="11"/>
  <c r="T164" i="11"/>
  <c r="I139" i="11" l="1"/>
  <c r="J64" i="9"/>
  <c r="J137" i="11"/>
  <c r="J61" i="9"/>
  <c r="J61" i="24" s="1"/>
  <c r="AJ64" i="9" l="1"/>
  <c r="J64" i="24"/>
  <c r="J55" i="9"/>
  <c r="J106" i="9"/>
  <c r="J106" i="24" s="1"/>
  <c r="AJ61" i="9"/>
  <c r="J65" i="9"/>
  <c r="J138" i="11"/>
  <c r="J107" i="9" s="1"/>
  <c r="J107" i="24" s="1"/>
  <c r="AJ65" i="9" l="1"/>
  <c r="J65" i="24"/>
  <c r="J56" i="9"/>
  <c r="J56" i="24" s="1"/>
  <c r="J55" i="24"/>
  <c r="J162" i="11"/>
  <c r="T138" i="11"/>
  <c r="K135" i="11"/>
  <c r="K104" i="9" s="1"/>
  <c r="K104" i="24" s="1"/>
  <c r="K52" i="9" l="1"/>
  <c r="K52" i="24" s="1"/>
  <c r="J58" i="9"/>
  <c r="J139" i="11"/>
  <c r="T162" i="11"/>
  <c r="T165" i="11"/>
  <c r="U135" i="11"/>
  <c r="K161" i="11"/>
  <c r="K61" i="9"/>
  <c r="K61" i="24" s="1"/>
  <c r="AK61" i="9" l="1"/>
  <c r="AL61" i="9" s="1"/>
  <c r="L161" i="11"/>
  <c r="U161" i="11"/>
  <c r="U164" i="11"/>
  <c r="K64" i="9"/>
  <c r="K137" i="11"/>
  <c r="AK64" i="9" l="1"/>
  <c r="AL64" i="9" s="1"/>
  <c r="K64" i="24"/>
  <c r="K55" i="9"/>
  <c r="K106" i="9"/>
  <c r="K106" i="24" s="1"/>
  <c r="K65" i="9"/>
  <c r="K138" i="11"/>
  <c r="K107" i="9" s="1"/>
  <c r="K107" i="24" s="1"/>
  <c r="K56" i="9" l="1"/>
  <c r="K56" i="24" s="1"/>
  <c r="K55" i="24"/>
  <c r="AK65" i="9"/>
  <c r="AL65" i="9" s="1"/>
  <c r="K65" i="24"/>
  <c r="K139" i="11"/>
  <c r="K162" i="11"/>
  <c r="U138" i="11"/>
  <c r="N56" i="9" l="1"/>
  <c r="K58" i="9"/>
  <c r="E20" i="9"/>
  <c r="U165" i="11"/>
  <c r="D20" i="9" s="1"/>
  <c r="U162" i="11"/>
  <c r="L162" i="11"/>
  <c r="W20" i="9" l="1"/>
  <c r="D20" i="24"/>
  <c r="X20" i="9"/>
  <c r="E20" i="24"/>
  <c r="AK71" i="9"/>
  <c r="AJ71" i="9"/>
  <c r="AH71" i="9"/>
  <c r="AF71" i="9"/>
  <c r="AD71" i="9"/>
  <c r="AG71" i="9" l="1"/>
  <c r="AI71" i="9"/>
  <c r="AE71" i="9"/>
  <c r="AL71" i="9" l="1"/>
  <c r="AG74" i="9" l="1"/>
  <c r="AJ74" i="9"/>
  <c r="AH74" i="9"/>
  <c r="AF74" i="9"/>
  <c r="AI74" i="9"/>
  <c r="AK74" i="9"/>
  <c r="AE74" i="9" l="1"/>
  <c r="AD74" i="9" l="1"/>
  <c r="AL74" i="9" s="1"/>
  <c r="AH70" i="9" l="1"/>
  <c r="AJ70" i="9" l="1"/>
  <c r="AG70" i="9"/>
  <c r="AK70" i="9"/>
  <c r="AI70" i="9"/>
  <c r="AF70" i="9" l="1"/>
  <c r="AE70" i="9" l="1"/>
  <c r="AD70" i="9" l="1"/>
  <c r="AL70" i="9" s="1"/>
  <c r="AD76" i="9" l="1"/>
  <c r="AD73" i="9" l="1"/>
  <c r="AE76" i="9"/>
  <c r="AF76" i="9" l="1"/>
  <c r="AG76" i="9" l="1"/>
  <c r="AH76" i="9" l="1"/>
  <c r="AD75" i="9" l="1"/>
  <c r="D78" i="9"/>
  <c r="D78" i="24" l="1"/>
  <c r="D80" i="9"/>
  <c r="AD78" i="9"/>
  <c r="AD80" i="9" l="1"/>
  <c r="D80" i="24"/>
  <c r="D82" i="9"/>
  <c r="AI76" i="9"/>
  <c r="AJ76" i="9" l="1"/>
  <c r="AE73" i="9" l="1"/>
  <c r="D153" i="9"/>
  <c r="AK76" i="9" l="1"/>
  <c r="AL76" i="9" s="1"/>
  <c r="AE75" i="9" l="1"/>
  <c r="E78" i="9"/>
  <c r="E78" i="24" s="1"/>
  <c r="AE78" i="9" l="1"/>
  <c r="E80" i="9"/>
  <c r="AE80" i="9" l="1"/>
  <c r="E80" i="24"/>
  <c r="E82" i="9"/>
  <c r="E82" i="24" l="1"/>
  <c r="G82" i="24" s="1"/>
  <c r="AF73" i="9"/>
  <c r="E153" i="9" l="1"/>
  <c r="AF75" i="9" l="1"/>
  <c r="F78" i="9"/>
  <c r="F78" i="24" s="1"/>
  <c r="F80" i="9" l="1"/>
  <c r="AF78" i="9"/>
  <c r="AF80" i="9" l="1"/>
  <c r="F80" i="24"/>
  <c r="H82" i="33" s="1"/>
  <c r="F82" i="9"/>
  <c r="F153" i="9" l="1"/>
  <c r="AG73" i="9" l="1"/>
  <c r="AG75" i="9" l="1"/>
  <c r="G78" i="9"/>
  <c r="G78" i="24" s="1"/>
  <c r="AG78" i="9" l="1"/>
  <c r="G80" i="9"/>
  <c r="AG80" i="9" l="1"/>
  <c r="G80" i="24"/>
  <c r="H82" i="37" s="1"/>
  <c r="G82" i="9"/>
  <c r="AH73" i="9" l="1"/>
  <c r="G153" i="9"/>
  <c r="AH75" i="9" l="1"/>
  <c r="H78" i="9"/>
  <c r="H78" i="24" s="1"/>
  <c r="H80" i="9" l="1"/>
  <c r="AH78" i="9"/>
  <c r="AH80" i="9" l="1"/>
  <c r="H80" i="24"/>
  <c r="H82" i="43" s="1"/>
  <c r="H82" i="9"/>
  <c r="H153" i="9" l="1"/>
  <c r="AI73" i="9" l="1"/>
  <c r="AI75" i="9" l="1"/>
  <c r="I78" i="9"/>
  <c r="I78" i="24" s="1"/>
  <c r="AI78" i="9" l="1"/>
  <c r="I80" i="9"/>
  <c r="AI80" i="9" l="1"/>
  <c r="I80" i="24"/>
  <c r="I82" i="9"/>
  <c r="I153" i="9" l="1"/>
  <c r="AJ73" i="9" l="1"/>
  <c r="AJ75" i="9" l="1"/>
  <c r="J78" i="9"/>
  <c r="J78" i="24" s="1"/>
  <c r="AJ78" i="9" l="1"/>
  <c r="J80" i="9"/>
  <c r="AJ80" i="9" l="1"/>
  <c r="J80" i="24"/>
  <c r="J82" i="9"/>
  <c r="J153" i="9" l="1"/>
  <c r="AK73" i="9" l="1"/>
  <c r="AL73" i="9" s="1"/>
  <c r="AK75" i="9" l="1"/>
  <c r="AL75" i="9" s="1"/>
  <c r="K78" i="9"/>
  <c r="K78" i="24" s="1"/>
  <c r="AK78" i="9" l="1"/>
  <c r="AL78" i="9" s="1"/>
  <c r="K80" i="9"/>
  <c r="K80" i="24" s="1"/>
  <c r="N80" i="9" l="1"/>
  <c r="AK80" i="9"/>
  <c r="AL80" i="9" s="1"/>
  <c r="K82" i="9"/>
  <c r="K153" i="9" l="1"/>
  <c r="J137" i="1" l="1"/>
  <c r="J137" i="20" s="1"/>
  <c r="I139" i="1"/>
  <c r="I139" i="20" s="1"/>
  <c r="G137" i="1"/>
  <c r="G137" i="20" s="1"/>
  <c r="D137" i="1"/>
  <c r="F137" i="1"/>
  <c r="F137" i="20" s="1"/>
  <c r="K139" i="1"/>
  <c r="K139" i="20" s="1"/>
  <c r="E137" i="1"/>
  <c r="E137" i="20" s="1"/>
  <c r="J139" i="1"/>
  <c r="J139" i="20" s="1"/>
  <c r="D139" i="1"/>
  <c r="I137" i="1"/>
  <c r="I137" i="20" s="1"/>
  <c r="H139" i="1"/>
  <c r="H139" i="20" s="1"/>
  <c r="H137" i="1"/>
  <c r="H137" i="20" s="1"/>
  <c r="F139" i="1"/>
  <c r="F139" i="20" s="1"/>
  <c r="K137" i="1"/>
  <c r="K137" i="20" s="1"/>
  <c r="E139" i="1"/>
  <c r="E139" i="20" s="1"/>
  <c r="G139" i="1"/>
  <c r="G139" i="20" s="1"/>
  <c r="D137" i="20" l="1"/>
  <c r="D139" i="20"/>
  <c r="F140" i="1"/>
  <c r="F140" i="20" s="1"/>
  <c r="I140" i="1"/>
  <c r="I140" i="20" s="1"/>
  <c r="G140" i="1"/>
  <c r="G140" i="20" s="1"/>
  <c r="E140" i="1"/>
  <c r="E140" i="20" s="1"/>
  <c r="K140" i="1"/>
  <c r="K140" i="20" s="1"/>
  <c r="J140" i="1"/>
  <c r="J140" i="20" s="1"/>
  <c r="H140" i="1"/>
  <c r="H140" i="20" s="1"/>
  <c r="K136" i="1" l="1"/>
  <c r="K136" i="20" s="1"/>
  <c r="I136" i="1"/>
  <c r="I136" i="20" s="1"/>
  <c r="G136" i="1"/>
  <c r="G136" i="20" s="1"/>
  <c r="J136" i="1"/>
  <c r="J136" i="20" s="1"/>
  <c r="E136" i="1"/>
  <c r="E136" i="20" s="1"/>
  <c r="D140" i="1"/>
  <c r="H136" i="1"/>
  <c r="H136" i="20" s="1"/>
  <c r="F136" i="1"/>
  <c r="F136" i="20" s="1"/>
  <c r="D140" i="20" l="1"/>
  <c r="D136" i="1"/>
  <c r="D136" i="20" l="1"/>
  <c r="D142" i="1"/>
  <c r="D142" i="20" l="1"/>
  <c r="E142" i="1"/>
  <c r="E142" i="20" s="1"/>
  <c r="F142" i="1" l="1"/>
  <c r="F142" i="20" s="1"/>
  <c r="G142" i="1" l="1"/>
  <c r="G142" i="20" s="1"/>
  <c r="H142" i="1" l="1"/>
  <c r="H142" i="20" s="1"/>
  <c r="I142" i="1" l="1"/>
  <c r="I142" i="20" s="1"/>
  <c r="J142" i="1" l="1"/>
  <c r="J142" i="20" s="1"/>
  <c r="K142" i="1" l="1"/>
  <c r="K142" i="20" s="1"/>
  <c r="L66" i="1" l="1"/>
  <c r="L66" i="20" s="1"/>
  <c r="G69" i="1" l="1"/>
  <c r="G69" i="20" s="1"/>
  <c r="I69" i="1"/>
  <c r="I69" i="20" s="1"/>
  <c r="F69" i="1"/>
  <c r="F69" i="20" s="1"/>
  <c r="E69" i="1"/>
  <c r="E69" i="20" s="1"/>
  <c r="J69" i="1"/>
  <c r="J69" i="20" s="1"/>
  <c r="K69" i="1"/>
  <c r="K69" i="20" s="1"/>
  <c r="H69" i="1"/>
  <c r="H69" i="20" s="1"/>
  <c r="L64" i="1" l="1"/>
  <c r="L64" i="20" s="1"/>
  <c r="D69" i="1"/>
  <c r="D69" i="20" l="1"/>
  <c r="L69" i="1"/>
  <c r="L69" i="20" s="1"/>
  <c r="D141" i="1"/>
  <c r="D144" i="1" l="1"/>
  <c r="D141" i="20"/>
  <c r="D145" i="1" l="1"/>
  <c r="D144" i="20"/>
  <c r="D74" i="1"/>
  <c r="D74" i="20" l="1"/>
  <c r="D75" i="1"/>
  <c r="AC74" i="20" l="1"/>
  <c r="E74" i="1"/>
  <c r="E74" i="20" s="1"/>
  <c r="AD74" i="20" s="1"/>
  <c r="E141" i="1"/>
  <c r="E76" i="20" l="1"/>
  <c r="E77" i="20" s="1"/>
  <c r="E144" i="1"/>
  <c r="E144" i="20" s="1"/>
  <c r="E146" i="20" s="1"/>
  <c r="E147" i="20" s="1"/>
  <c r="E141" i="20"/>
  <c r="E75" i="1" l="1"/>
  <c r="E145" i="1" l="1"/>
  <c r="F74" i="1" l="1"/>
  <c r="F74" i="20" s="1"/>
  <c r="F141" i="1"/>
  <c r="AE74" i="20" l="1"/>
  <c r="F77" i="30"/>
  <c r="F144" i="1"/>
  <c r="F144" i="20" s="1"/>
  <c r="F147" i="30" s="1"/>
  <c r="F141" i="20"/>
  <c r="F75" i="1"/>
  <c r="F145" i="1" l="1"/>
  <c r="G141" i="1"/>
  <c r="G144" i="1" l="1"/>
  <c r="G144" i="20" s="1"/>
  <c r="G147" i="34" s="1"/>
  <c r="G141" i="20"/>
  <c r="G74" i="1"/>
  <c r="G74" i="20" s="1"/>
  <c r="AF74" i="20" l="1"/>
  <c r="G77" i="34"/>
  <c r="G145" i="1"/>
  <c r="G75" i="1"/>
  <c r="H141" i="1" l="1"/>
  <c r="H144" i="1" l="1"/>
  <c r="H144" i="20" s="1"/>
  <c r="H147" i="40" s="1"/>
  <c r="H141" i="20"/>
  <c r="H74" i="1"/>
  <c r="H74" i="20" s="1"/>
  <c r="AG74" i="20" l="1"/>
  <c r="H77" i="40"/>
  <c r="H75" i="1"/>
  <c r="H145" i="1" l="1"/>
  <c r="I141" i="1" l="1"/>
  <c r="I144" i="1" l="1"/>
  <c r="I144" i="20" s="1"/>
  <c r="I141" i="20"/>
  <c r="I74" i="1"/>
  <c r="I145" i="1" l="1"/>
  <c r="I74" i="20"/>
  <c r="AH74" i="20" s="1"/>
  <c r="I75" i="1"/>
  <c r="J141" i="1" l="1"/>
  <c r="J144" i="1" l="1"/>
  <c r="J144" i="20" s="1"/>
  <c r="J141" i="20"/>
  <c r="J74" i="1"/>
  <c r="J74" i="20" l="1"/>
  <c r="AI74" i="20" s="1"/>
  <c r="J145" i="1"/>
  <c r="J75" i="1" l="1"/>
  <c r="K74" i="1" l="1"/>
  <c r="K74" i="20" s="1"/>
  <c r="AJ74" i="20" s="1"/>
  <c r="AK74" i="20" s="1"/>
  <c r="K141" i="1"/>
  <c r="K144" i="1" l="1"/>
  <c r="K144" i="20" s="1"/>
  <c r="K141" i="20"/>
  <c r="L72" i="1"/>
  <c r="N74" i="1"/>
  <c r="K75" i="1"/>
  <c r="K145" i="1" l="1"/>
  <c r="L74" i="1"/>
  <c r="L74" i="20" s="1"/>
  <c r="L72" i="20"/>
  <c r="L75" i="1" l="1"/>
  <c r="D83" i="27" l="1"/>
  <c r="D84" i="27" s="1"/>
  <c r="D172" i="27" l="1"/>
  <c r="D173" i="27" s="1"/>
  <c r="D82" i="48" l="1"/>
  <c r="J82" i="48" l="1"/>
  <c r="K82" i="48" l="1"/>
  <c r="D155" i="48" l="1"/>
  <c r="E82" i="48" l="1"/>
  <c r="E83" i="27"/>
  <c r="E84" i="27" s="1"/>
  <c r="E172" i="27" l="1"/>
  <c r="E173" i="27" s="1"/>
  <c r="E155" i="48" l="1"/>
  <c r="F155" i="48" l="1"/>
  <c r="F172" i="27" l="1"/>
  <c r="F173" i="27" s="1"/>
  <c r="F82" i="48" l="1"/>
  <c r="F83" i="27" l="1"/>
  <c r="F84" i="27" s="1"/>
  <c r="G155" i="48" l="1"/>
  <c r="H155" i="48" l="1"/>
  <c r="I155" i="48" l="1"/>
  <c r="J155" i="48" l="1"/>
  <c r="K155" i="48" l="1"/>
  <c r="G82" i="48" l="1"/>
  <c r="G172" i="27"/>
  <c r="G173" i="27" s="1"/>
  <c r="G83" i="27" l="1"/>
  <c r="G84" i="27" s="1"/>
  <c r="H82" i="48" l="1"/>
  <c r="H83" i="27" l="1"/>
  <c r="H84" i="27" s="1"/>
  <c r="H172" i="27"/>
  <c r="H173" i="27" s="1"/>
  <c r="I82" i="48" l="1"/>
  <c r="I83" i="27" l="1"/>
  <c r="I84" i="27" s="1"/>
  <c r="J85" i="27" s="1"/>
  <c r="I172" i="27"/>
  <c r="I173" i="27" s="1"/>
  <c r="J174" i="27" s="1"/>
  <c r="J177" i="27" s="1"/>
  <c r="F282" i="55" l="1"/>
  <c r="F283" i="55"/>
  <c r="F285" i="55"/>
  <c r="E283" i="55"/>
  <c r="F284" i="55" s="1"/>
  <c r="E282" i="55"/>
  <c r="E284" i="55" s="1"/>
  <c r="E285" i="55"/>
  <c r="G282" i="55" l="1"/>
  <c r="G283" i="55"/>
  <c r="G285" i="55"/>
  <c r="G284" i="55"/>
  <c r="H282" i="55" l="1"/>
  <c r="H284" i="55" s="1"/>
  <c r="H285" i="55"/>
  <c r="H283" i="55"/>
  <c r="I282" i="55" l="1"/>
  <c r="I284" i="55" s="1"/>
  <c r="I285" i="55"/>
  <c r="I283" i="55"/>
  <c r="G170" i="55" l="1"/>
  <c r="G173" i="55"/>
  <c r="I173" i="55"/>
  <c r="I170" i="55"/>
  <c r="H170" i="55"/>
  <c r="H173" i="55"/>
  <c r="F173" i="55"/>
  <c r="F170" i="55"/>
  <c r="K282" i="55" l="1"/>
  <c r="K284" i="55" s="1"/>
  <c r="J282" i="55" l="1"/>
  <c r="J284" i="55" s="1"/>
  <c r="J285" i="55"/>
  <c r="J283" i="55"/>
  <c r="F286" i="55" l="1"/>
  <c r="E286" i="55"/>
  <c r="G286" i="55"/>
  <c r="I286" i="55"/>
  <c r="H286" i="55"/>
  <c r="L282" i="55"/>
  <c r="L284" i="55" s="1"/>
  <c r="K173" i="55" l="1"/>
  <c r="K170" i="55"/>
  <c r="J173" i="55"/>
  <c r="J170" i="55"/>
  <c r="L173" i="55" l="1"/>
  <c r="L170" i="55"/>
</calcChain>
</file>

<file path=xl/sharedStrings.xml><?xml version="1.0" encoding="utf-8"?>
<sst xmlns="http://schemas.openxmlformats.org/spreadsheetml/2006/main" count="10294" uniqueCount="456">
  <si>
    <t>November 2019 Annual Iteration</t>
  </si>
  <si>
    <t>Baseline databook</t>
  </si>
  <si>
    <t>This databook is a summary of data contained in Ofgem’s price control financial model (PCFM) iteration of November 2019 including Ofgem’s baseline view of expenditure</t>
  </si>
  <si>
    <t>It does not reflect National Grid forecasts or views of levels of future investment or revenues</t>
  </si>
  <si>
    <t>Updates to previous databook</t>
  </si>
  <si>
    <t xml:space="preserve">Data reflects Ofgem’s updated baseline view </t>
  </si>
  <si>
    <t>Additional updates from 2018 databook reflects Ofgem’s November 2019 iteration including updates for 2018/19 actual spend and Ofgem’s view of 2018/19 outputs delivered (shown in row ‘outputs adjustments’)</t>
  </si>
  <si>
    <t>RPI used for nominal data has been updated to reflect actual for 18/19 and a revised forecast of RPI post 18/19</t>
  </si>
  <si>
    <t xml:space="preserve"> Allowed Cost of Debt</t>
  </si>
  <si>
    <t>RPI</t>
  </si>
  <si>
    <t>13/14</t>
  </si>
  <si>
    <t>14/15</t>
  </si>
  <si>
    <t>15/16</t>
  </si>
  <si>
    <t>16/17</t>
  </si>
  <si>
    <t>17/18</t>
  </si>
  <si>
    <t>18/19</t>
  </si>
  <si>
    <t>19/20</t>
  </si>
  <si>
    <t>20/21</t>
  </si>
  <si>
    <t>Finance Package</t>
  </si>
  <si>
    <t>Below are the key parameters in the determination of NGGT's revenue. These parameters are set for the T1 period, and are not subject to any annual amendments.</t>
  </si>
  <si>
    <t>NGGT</t>
  </si>
  <si>
    <t>Final proposals</t>
  </si>
  <si>
    <t>Cost of equity</t>
  </si>
  <si>
    <t>6.8%</t>
  </si>
  <si>
    <t xml:space="preserve">Cost of debt </t>
  </si>
  <si>
    <t>index</t>
  </si>
  <si>
    <t>Gearing</t>
  </si>
  <si>
    <t>62.5%</t>
  </si>
  <si>
    <t>Transitional measures</t>
  </si>
  <si>
    <t>N/A</t>
  </si>
  <si>
    <t>Totex capitalisation rate (TO)</t>
  </si>
  <si>
    <t>64%</t>
  </si>
  <si>
    <t>UM Totex capitalisation rate (TO)</t>
  </si>
  <si>
    <t>90%</t>
  </si>
  <si>
    <t>Totex capitalisation rate (SO)</t>
  </si>
  <si>
    <t>Totex incentive rate</t>
  </si>
  <si>
    <t>44%</t>
  </si>
  <si>
    <t>Totex and RAV Summary</t>
  </si>
  <si>
    <t xml:space="preserve">The below table reconciles NGGT's allowances to the allowed totex revenue. Where actual spend differs from the set allowances, NGGT bare 44% of the reward/cost, via the Totex Incentive Mechanism.
Non-controllable opex is not subject to this mechanism, with the associated revenue being as per allowances irrespective of spend.
 </t>
  </si>
  <si>
    <t>National Grid Gas Transmission Summary (£bn)</t>
  </si>
  <si>
    <t>8 year total (nominal)</t>
  </si>
  <si>
    <t xml:space="preserve">8 year total (09/10 prices) </t>
  </si>
  <si>
    <t>TO capex - load-related</t>
  </si>
  <si>
    <t>TO capex - non-load related</t>
  </si>
  <si>
    <t xml:space="preserve">Uncertainty mechanism capex </t>
  </si>
  <si>
    <t xml:space="preserve">Uncertainty mechanism opex </t>
  </si>
  <si>
    <t xml:space="preserve">Controllable opex </t>
  </si>
  <si>
    <t>Totex Incentive Mechanism</t>
  </si>
  <si>
    <t xml:space="preserve">TO Totex </t>
  </si>
  <si>
    <t xml:space="preserve">SO capex </t>
  </si>
  <si>
    <t xml:space="preserve">SO Totex </t>
  </si>
  <si>
    <t xml:space="preserve">NGGT Controllable Totex </t>
  </si>
  <si>
    <t xml:space="preserve">Non controllable opex </t>
  </si>
  <si>
    <t xml:space="preserve">RAV at 31 March 2013 </t>
  </si>
  <si>
    <t xml:space="preserve">RAV at 31 March 2021 </t>
  </si>
  <si>
    <t>TO Fast/Slow Money Split &amp; RAV Roll Forward</t>
  </si>
  <si>
    <t>The below compares the baseline allowances, as set at final proposals to the current allowances; primarily adjusting for the outcomes of the Mid-Period Review and Re-opener decisions.
We also show the recorded spend up to 18/19 (nb. 19/20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(baseline spend: 64%, uncertainty spend: 90%), of the Totex revenue is 'capitalised'. The capitalised proportion is referred to as 'Slow money' and will be added to the RAV, to be recovered over the next 45 years. The 'Fast money' is the remaining proportion, which impacts the allowed revenue for the year in question.</t>
  </si>
  <si>
    <t>NGGT TO Totex</t>
  </si>
  <si>
    <t xml:space="preserve">£m (2009/10 prices) </t>
  </si>
  <si>
    <t xml:space="preserve">2013/14 </t>
  </si>
  <si>
    <t xml:space="preserve">2014/15 </t>
  </si>
  <si>
    <t xml:space="preserve">2015/16 </t>
  </si>
  <si>
    <t xml:space="preserve">2016/17 </t>
  </si>
  <si>
    <t xml:space="preserve">2017/18 </t>
  </si>
  <si>
    <t xml:space="preserve">2018/19 </t>
  </si>
  <si>
    <t xml:space="preserve">2019/20 </t>
  </si>
  <si>
    <t xml:space="preserve">2020/21 </t>
  </si>
  <si>
    <t xml:space="preserve">Totals </t>
  </si>
  <si>
    <t>Baseline Load-related Capex allowances</t>
  </si>
  <si>
    <t>Baseline Non-load related Capex allowances</t>
  </si>
  <si>
    <t>Baseline Regulatory Controllable Opex allowances</t>
  </si>
  <si>
    <t>Totex allowances</t>
  </si>
  <si>
    <t xml:space="preserve">Outputs adjustment </t>
  </si>
  <si>
    <t>Updated Totex allowance</t>
  </si>
  <si>
    <t>Load-related Capex spend</t>
  </si>
  <si>
    <t>Non-load related Capex spend</t>
  </si>
  <si>
    <t>Regulatory Controllable Opex spend</t>
  </si>
  <si>
    <t>Totex spend</t>
  </si>
  <si>
    <t xml:space="preserve">Post-sharing Totex </t>
  </si>
  <si>
    <t xml:space="preserve">Fast money </t>
  </si>
  <si>
    <t xml:space="preserve">Slow money </t>
  </si>
  <si>
    <t>The below shows the opening RAV balance, brought forward from the previous price control and adjusted for the 'TPCR4' rollover year. The slow money is then added to the RAV, increasing the carrying value. 
The RAV is 'depreciated' each year. This is the proportion of the RAV that is recovered as revenue, decreasing the carrying value.</t>
  </si>
  <si>
    <t>NGGT TO RAV</t>
  </si>
  <si>
    <t>Opening (excl shadow RAV)</t>
  </si>
  <si>
    <t>Update for TPCR4 Actuals</t>
  </si>
  <si>
    <t xml:space="preserve">Transfers in </t>
  </si>
  <si>
    <t xml:space="preserve">Additions </t>
  </si>
  <si>
    <t xml:space="preserve">Depreciation </t>
  </si>
  <si>
    <t>Closing Balance (excl shadow RAV)</t>
  </si>
  <si>
    <t xml:space="preserve">Shadow RAV </t>
  </si>
  <si>
    <t>NGGT TO RAV &amp; Shadow RAV</t>
  </si>
  <si>
    <t xml:space="preserve">Opening </t>
  </si>
  <si>
    <t xml:space="preserve">Depreciation (Existing Assets) </t>
  </si>
  <si>
    <t xml:space="preserve">Depreciation (New Assets) </t>
  </si>
  <si>
    <t xml:space="preserve">Closing Balance </t>
  </si>
  <si>
    <t>TO Allowed Revenue Collection</t>
  </si>
  <si>
    <t>The components of the TO total revenue are shown below. In addition to the Totex revenue, which includes Fast money, Non-controllable opex costs and Depreciation &amp; RAV Return, NGGT recover revenue for directly allowed costs such as Pensions and Tax.
An IQI adjustment is made to reflect the efficiency incentive score, based on the licensee's original business case submission. Further adjustments are required to account for impact of previous price controls.</t>
  </si>
  <si>
    <t>NGGT TO Revenue</t>
  </si>
  <si>
    <t xml:space="preserve">Non controllable costs </t>
  </si>
  <si>
    <t xml:space="preserve">Pensions </t>
  </si>
  <si>
    <t xml:space="preserve">Equity injection costs </t>
  </si>
  <si>
    <t xml:space="preserve">IQI adjustment </t>
  </si>
  <si>
    <t xml:space="preserve">Tax allowance </t>
  </si>
  <si>
    <t xml:space="preserve">Depreciation &amp; return on RAV </t>
  </si>
  <si>
    <t xml:space="preserve">Revenue adjustments </t>
  </si>
  <si>
    <t xml:space="preserve">Regulated revenue </t>
  </si>
  <si>
    <t xml:space="preserve">Excluded service revenue </t>
  </si>
  <si>
    <t xml:space="preserve">Total revenue </t>
  </si>
  <si>
    <t>The MOD term required to adjust final proposal's revenue to the recalculated value is shown below. 
The table shows how the 20/21 MOD has correctly adjusted base revenue to match, in PV terms, the current PCFM view of revenues up to the latest year MOD has been published for.</t>
  </si>
  <si>
    <t>NGGT TO MOD</t>
  </si>
  <si>
    <t>Baseline Regulated Base Revenue</t>
  </si>
  <si>
    <t xml:space="preserve">MOD adjustment </t>
  </si>
  <si>
    <t>Annual Iteration Base Revenue</t>
  </si>
  <si>
    <t>Present (20-21) Value</t>
  </si>
  <si>
    <t>Regulated base revenue: Nov 2019 model run</t>
  </si>
  <si>
    <t>SO Fast/Slow Money Split RAV Roll Forward</t>
  </si>
  <si>
    <t>The below compares the baseline allowances, as set at final proposals to the current allowances; primarily adjusting for the outcomes of the Re-opener decision.
Actual spend is shown up to 18/19 (nb. 19/20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(37.4%), of the Totex revenue is 'capitalised'. The capitalised proportion is referred to as 'Slow money' and will be added to the RAV, to be recovered over the next 7 years. The 'Fast money' is the remaining proportion, which impacts to the allowed revenue for the year in question.</t>
  </si>
  <si>
    <t>NGGT SO Totex</t>
  </si>
  <si>
    <t xml:space="preserve">Total </t>
  </si>
  <si>
    <t>Capex allowances</t>
  </si>
  <si>
    <t>Regulatory Controllable Opex allowances</t>
  </si>
  <si>
    <t>Capex spend</t>
  </si>
  <si>
    <t>SO RAV</t>
  </si>
  <si>
    <t>SO Allowed Revenue Calculation</t>
  </si>
  <si>
    <t>The components of the SO total revenue are shown below. In addition to the Totex revenue, which includes Fast money and Depreciation &amp; RAV Return, NGGT recover revenue for directly allowed costs such as Tax.
The additional revenue adjustments primarily reflect pension scheme allowances.</t>
  </si>
  <si>
    <t>NGGT SO Revenue</t>
  </si>
  <si>
    <t>NGGT SO Revenue Driver Income</t>
  </si>
  <si>
    <t>The MOD term required to adjust final proposal's revenue to the recalculated value is shown below. 
The table shows how the 20/21 MOD has correctly adjusted base revenue to match, in PV terms, the current PCFM view of revenues, up to 20/21.</t>
  </si>
  <si>
    <t>NGGT SO MOD</t>
  </si>
  <si>
    <t>Totex Summary and Total RAV (Incl. Shadow &amp; SO RAV)</t>
  </si>
  <si>
    <t>The below table consolidates the controllable totex information previously presented, giving a total NGGT view.
Controllable totex allowances are reconciled to the allowed totex revenue, considering the impact of the Totex Incentive Mechanism.</t>
  </si>
  <si>
    <t>NGGT Totex</t>
  </si>
  <si>
    <t>TO baseline capex allowances - load-related</t>
  </si>
  <si>
    <t>TO baseline capex allowances - non-load related</t>
  </si>
  <si>
    <t>Uncertainty mechanism capex allowances</t>
  </si>
  <si>
    <t>Uncertainty mechanism opex allowances</t>
  </si>
  <si>
    <t>Controllable opex allowances</t>
  </si>
  <si>
    <t>Totex incentive mechanism</t>
  </si>
  <si>
    <t xml:space="preserve">SO baseline capex </t>
  </si>
  <si>
    <t>The below consolidates the TO and SO RAVs, giving a total NGGT view</t>
  </si>
  <si>
    <t>Total RAV (including shadow &amp; SO RAV)</t>
  </si>
  <si>
    <t>Revenue Drivers</t>
  </si>
  <si>
    <t>Existing revenue drivers income</t>
  </si>
  <si>
    <t>Existing revenue drivers investment</t>
  </si>
  <si>
    <t>Below are the key parameters in the determination of NGET's revenue. These parameters are set for the T1 period, and are not subject to any annual amendments.</t>
  </si>
  <si>
    <t>NGET</t>
  </si>
  <si>
    <t>7.0%</t>
  </si>
  <si>
    <t>60%</t>
  </si>
  <si>
    <t>85%</t>
  </si>
  <si>
    <t>27.9%</t>
  </si>
  <si>
    <t>47%</t>
  </si>
  <si>
    <t xml:space="preserve">The below table reconciles NGET's allowances to the allowed totex revenue. Where actual spend differs from the set allowances, NGET bare 47% of the reward/cost, via the Totex Incentive Mechanism.
Non-controllable opex is not subject to this mechanism, with the associated revenue being as per allowances irrespective of spend.
 </t>
  </si>
  <si>
    <t>National Grid Electricity Transmission Summary (£bn)</t>
  </si>
  <si>
    <t xml:space="preserve">NGET Controllable Totex </t>
  </si>
  <si>
    <t>TO Fast/Slow Money Split RAV Roll Forward</t>
  </si>
  <si>
    <t>The below compares the baseline allowances, as set at final proposals to the current allowances; primarily adjusting for the outcomes of Volume-Drivers, the Mid-Period Review and Re-opener decisions.
We also show the recorded spend up to 17/18 (nb. 18/19 onwards assumes spend is equal to allowances). 
Where actual spend differs from the set allowances, NGET bare 47% of the reward/cost, via the Totex Incentive Mechanism. The impact of this 'sharing' mechanism is shown on the 'Post-sharing Totex' line, which represents the amount of revenue NGET are allowed to recover in relation to Totex spend.
A proportion (85%), of the Totex revenue is 'capitalised'. The capitalised proportion is referred to as 'Slow money' and will be added to the RAV, to be recovered over the next 23-45 years. The 'Fast money' is the remaining proportion, which impacts to the allowed revenue for the year in question.</t>
  </si>
  <si>
    <t>NGET TO Totex</t>
  </si>
  <si>
    <t>Baseline Capex allowances</t>
  </si>
  <si>
    <t>Baseline Totex allowance</t>
  </si>
  <si>
    <t xml:space="preserve">Post-sharing totex </t>
  </si>
  <si>
    <t>NGET TO RAV</t>
  </si>
  <si>
    <t>Opening  (excl Shadow RAV)</t>
  </si>
  <si>
    <t>Closing Balance (excl Shadow RAV)</t>
  </si>
  <si>
    <t xml:space="preserve">Closing shadow RAV </t>
  </si>
  <si>
    <t>NGET TO RAV (including Shadow RAV)</t>
  </si>
  <si>
    <t>Slow Money</t>
  </si>
  <si>
    <t>The components of the TO total revenue are shown below. In addition to the Totex revenue, which includes Fast money, Non-controllable opex costs and Depreciation &amp; RAV Return, NGET recover revenue for directly allowed costs such as Pensions and Tax.
An IQI adjustment is made to reflect the efficiency incentive score, based on the licensee's original business case submission. 'Other Revenue adjustments' primarily reflect the Capital Expenditure Incentive and adjustments relating to previous price controls.</t>
  </si>
  <si>
    <t>NGET TO Revenue</t>
  </si>
  <si>
    <t>TIRG revenue</t>
  </si>
  <si>
    <t xml:space="preserve">Other Revenue adjustments </t>
  </si>
  <si>
    <t>The following table reconciles the total revenue above to the Regulated base revenue reported in the 2019 model. This involves excluding revenue relating to TIRG and Excluded services.</t>
  </si>
  <si>
    <t>NGET TO Regulated Base Revenue</t>
  </si>
  <si>
    <t>Total revenue per Nov 2018 model run</t>
  </si>
  <si>
    <t xml:space="preserve">Less </t>
  </si>
  <si>
    <t>TIRG Revenue</t>
  </si>
  <si>
    <t xml:space="preserve">Excluded services revenue </t>
  </si>
  <si>
    <t>Regulated base revenue: Nov 2018 model run</t>
  </si>
  <si>
    <t>The MOD term required to adjust final proposal's revenue to the recalculated value is shown below. 
The table shows how the 20/21 MOD has correctly adjusted base revenue to match, in PV terms, the current PCFM view of revenues.</t>
  </si>
  <si>
    <t>NGET TO MOD</t>
  </si>
  <si>
    <t>Memo: Other Revenue Adjustments</t>
  </si>
  <si>
    <t>TPCR4 base capex incentive</t>
  </si>
  <si>
    <t>TPCR4 capex incentive adjustment and Rollover and TII capex incentive</t>
  </si>
  <si>
    <t>Excluded services costs</t>
  </si>
  <si>
    <t>The below compares the baseline allowances, as set at final proposals to the current allowances; primarily adjusting for the outcomes of the Mid-Period Review, Re-opener decision and Legal Separation allowances.
Actual spend is shown up to 18/19 (nb. 19/20 onwards assumes spend is equal to allowances). 
Where actual spend differs from the set allowances, NGESO bare 47% of the reward/cost, via the Totex Incentive Mechanism. The impact of this 'sharing' mechanism is shown on the 'Post-sharing Totex' line, which represents the amount of revenue NGESO are allowed to recover in relation to Totex spend.
A proportion (27.9%), of the Totex revenue is 'capitalised'. The capitalised proportion is referred to as 'Slow money' and will be added to the RAV, to be recovered over the next 7 years. The 'Fast money' is the remaining proportion, which impacts to the allowed revenue for the year in question.</t>
  </si>
  <si>
    <t>NGESO Totex</t>
  </si>
  <si>
    <t>NGESO RAV</t>
  </si>
  <si>
    <t>The components of the SO total revenue are shown below. In addition to the Totex revenue, which includes Fast money and Depreciation &amp; RAV Return, NGESO recover revenue for directly allowed costs such as Pensions and Tax.
The 'Other Revenue adjustments' relate to legacy price controls.</t>
  </si>
  <si>
    <t>NGESO Revenue</t>
  </si>
  <si>
    <t>NGESO MOD</t>
  </si>
  <si>
    <t>The below table consolidates the controllable totex information previously presented, giving a total NGET TO and NGESO view.
Controllable totex allowances are reconciled to the allowed totex revenue, considering the impact of the Totex Incentive Mechanism.</t>
  </si>
  <si>
    <t>NGET Totex</t>
  </si>
  <si>
    <t>TO capex - non-load-related</t>
  </si>
  <si>
    <t xml:space="preserve">Regulatory Controllable opex </t>
  </si>
  <si>
    <t xml:space="preserve">NGESO capex </t>
  </si>
  <si>
    <t xml:space="preserve">NGESO Totex </t>
  </si>
  <si>
    <t>The below consolidates the NGET TO and NGESO RAVs</t>
  </si>
  <si>
    <t>RPI factor (average)</t>
  </si>
  <si>
    <t>RPI factor (MarCls)</t>
  </si>
  <si>
    <t>RPI factor (MarOpen)</t>
  </si>
  <si>
    <t>Description</t>
  </si>
  <si>
    <t>PCFM Reference</t>
  </si>
  <si>
    <t>Check</t>
  </si>
  <si>
    <t>GSO - Non Variant Allowances</t>
  </si>
  <si>
    <t>NGGT SO - row 26</t>
  </si>
  <si>
    <t>Opex</t>
  </si>
  <si>
    <t>NGGT SO - row 25</t>
  </si>
  <si>
    <t>Capex</t>
  </si>
  <si>
    <t>Totex</t>
  </si>
  <si>
    <t>GSO - Variant Allowances</t>
  </si>
  <si>
    <t>NGGT SO - row 41</t>
  </si>
  <si>
    <t>Non-operational capex</t>
  </si>
  <si>
    <t>NGGT SO - row 42</t>
  </si>
  <si>
    <t>Controllable opex</t>
  </si>
  <si>
    <t>GTO - Non Variant Allowances</t>
  </si>
  <si>
    <t>NGGT TO - row 85</t>
  </si>
  <si>
    <t>LR capex</t>
  </si>
  <si>
    <t>NGGT TO - row 86,87,89</t>
  </si>
  <si>
    <t>NLR capex</t>
  </si>
  <si>
    <t>NGGT TO - row 88</t>
  </si>
  <si>
    <t>GTO - Variant Allowances</t>
  </si>
  <si>
    <t>NGGT TO - row 156,157,158,160</t>
  </si>
  <si>
    <t>NGGT TO - row 159</t>
  </si>
  <si>
    <t>TO Total</t>
  </si>
  <si>
    <t>OK</t>
  </si>
  <si>
    <t>Non Controllable opex</t>
  </si>
  <si>
    <t>NGGT TO - row 172</t>
  </si>
  <si>
    <t>TO</t>
  </si>
  <si>
    <t>GSO - Non Variant Spend</t>
  </si>
  <si>
    <t>System Operator - row 128</t>
  </si>
  <si>
    <t>System Operator - row 127</t>
  </si>
  <si>
    <t>GSO - Variant Spend</t>
  </si>
  <si>
    <t>GTO - Non Variant Spend</t>
  </si>
  <si>
    <t>GTO - Variant Spend</t>
  </si>
  <si>
    <t>TIM</t>
  </si>
  <si>
    <t>TO Non Variant Post -TIM Totex</t>
  </si>
  <si>
    <t>Fast Money</t>
  </si>
  <si>
    <t>TO Variant Post -TIM Totex</t>
  </si>
  <si>
    <t>PCFM year ending</t>
  </si>
  <si>
    <t>RIIO Total</t>
  </si>
  <si>
    <t>Price base</t>
  </si>
  <si>
    <t>£m 09/10 prices</t>
  </si>
  <si>
    <t>Slow pot</t>
  </si>
  <si>
    <t>Fast pot</t>
  </si>
  <si>
    <t>Post-TIM totex allowance</t>
  </si>
  <si>
    <t>Regulatory Asset Value (RAV)</t>
  </si>
  <si>
    <t>Opening asset value (before transfers)</t>
  </si>
  <si>
    <t>Transfers</t>
  </si>
  <si>
    <t>Opening asset value (after transfers)</t>
  </si>
  <si>
    <t>RAV additions (after disposals)</t>
  </si>
  <si>
    <t>Depreciation</t>
  </si>
  <si>
    <t>Closing asset value</t>
  </si>
  <si>
    <t>Final Proposals allowances</t>
  </si>
  <si>
    <t>Fast pot expenditure</t>
  </si>
  <si>
    <t>Non-controllable opex</t>
  </si>
  <si>
    <t>RAV depreciation</t>
  </si>
  <si>
    <t>Return</t>
  </si>
  <si>
    <t>Equity issuance cost</t>
  </si>
  <si>
    <t>Additional income</t>
  </si>
  <si>
    <t>Core DARTs</t>
  </si>
  <si>
    <t>Tax allowance</t>
  </si>
  <si>
    <t>Recalculated allowances</t>
  </si>
  <si>
    <t>Price Control Revenue</t>
  </si>
  <si>
    <t>Final proposals base revenue</t>
  </si>
  <si>
    <t>MOD</t>
  </si>
  <si>
    <t>Base revenue</t>
  </si>
  <si>
    <t>Not Used</t>
  </si>
  <si>
    <t>Excluded services revenue</t>
  </si>
  <si>
    <t>Total revenue</t>
  </si>
  <si>
    <t>Recalculated base revenue</t>
  </si>
  <si>
    <t>Previous year recalculated base revenue</t>
  </si>
  <si>
    <t>Recorded recalculated base revenue</t>
  </si>
  <si>
    <t>Recorded MOD</t>
  </si>
  <si>
    <t>Inputs to RoRE</t>
  </si>
  <si>
    <t>Average RAV</t>
  </si>
  <si>
    <t>Regulated equity</t>
  </si>
  <si>
    <t>Regulated debt return</t>
  </si>
  <si>
    <t>Regulated equity return</t>
  </si>
  <si>
    <t>NGGT SO  Revenue Driver Income</t>
  </si>
  <si>
    <t>Baseline fast pot</t>
  </si>
  <si>
    <t>Baseline slow pot</t>
  </si>
  <si>
    <t>UM fast pot</t>
  </si>
  <si>
    <t>UM slow pot</t>
  </si>
  <si>
    <t>Non-load related capex</t>
  </si>
  <si>
    <t xml:space="preserve"> - Fast money</t>
  </si>
  <si>
    <t xml:space="preserve"> - Slow money</t>
  </si>
  <si>
    <t>Opening non-core RAV after transfers</t>
  </si>
  <si>
    <t>Capex Additions</t>
  </si>
  <si>
    <t>Non-core Depn</t>
  </si>
  <si>
    <t>Non-core RAV</t>
  </si>
  <si>
    <t>Opening RAV</t>
  </si>
  <si>
    <t>Pension admin and PPF levy</t>
  </si>
  <si>
    <t>Established pension deficit repair</t>
  </si>
  <si>
    <t>Base Revenue DARTs with no impact on net debt or tax</t>
  </si>
  <si>
    <t>Pension true-up from previous price controls</t>
  </si>
  <si>
    <t>Pensions</t>
  </si>
  <si>
    <t>Milford Haven</t>
  </si>
  <si>
    <t>Revenue adjustment from previous controls</t>
  </si>
  <si>
    <t>Excluded services</t>
  </si>
  <si>
    <t>DART's</t>
  </si>
  <si>
    <t>TIRG</t>
  </si>
  <si>
    <t>Revenue Adjustments</t>
  </si>
  <si>
    <t>CAGR</t>
  </si>
  <si>
    <t>Average RPI</t>
  </si>
  <si>
    <t>March closing</t>
  </si>
  <si>
    <t>Historical Depreciation</t>
  </si>
  <si>
    <t>New Assets</t>
  </si>
  <si>
    <t>Fleetwood</t>
  </si>
  <si>
    <t>SW Quad 2008/09 post-RIIO capex</t>
  </si>
  <si>
    <t>SW Quad 2009/10 post-RIIO capex</t>
  </si>
  <si>
    <t>System Operator</t>
  </si>
  <si>
    <t>RIIO average</t>
  </si>
  <si>
    <t>Opening asset value including transfers</t>
  </si>
  <si>
    <t>SOMOD</t>
  </si>
  <si>
    <t>Recorded SOMOD</t>
  </si>
  <si>
    <t>RORE</t>
  </si>
  <si>
    <t>LRAV</t>
  </si>
  <si>
    <t>SOLRAV</t>
  </si>
  <si>
    <t>WACC</t>
  </si>
  <si>
    <t>Mid year</t>
  </si>
  <si>
    <t>Full year cumulative</t>
  </si>
  <si>
    <t>Cumulative</t>
  </si>
  <si>
    <t>1+WACC</t>
  </si>
  <si>
    <t>PV factor for 19/20</t>
  </si>
  <si>
    <t>Name</t>
  </si>
  <si>
    <t>FP Databook</t>
  </si>
  <si>
    <t>Purpose</t>
  </si>
  <si>
    <t>To publish on the IR website for ivnestors the key financial information from the most recent PCFM.</t>
  </si>
  <si>
    <t>This is done via a powerpoint pack that gets sent to IR shortly after the AIP is completed in November</t>
  </si>
  <si>
    <t>Author</t>
  </si>
  <si>
    <t>Chris Colley</t>
  </si>
  <si>
    <t>Basic Workings</t>
  </si>
  <si>
    <t>The Summary tab contains the info to be copied into the slide deck.</t>
  </si>
  <si>
    <t>This summary tab takes info the 'NGET workings [fiscal year]' tab via the '[Fiscal Year] NGET' tab</t>
  </si>
  <si>
    <t>the NGET workings tab links to the latest PCFM</t>
  </si>
  <si>
    <t>RPI data also eneds updating to the latest Financial Parameters file</t>
  </si>
  <si>
    <t>Key info</t>
  </si>
  <si>
    <t>This file is not our view of allowances, just the view from the PCFM in a simplified form</t>
  </si>
  <si>
    <r>
      <t xml:space="preserve">The headline RAV figures in slide 7 &amp; 14 </t>
    </r>
    <r>
      <rPr>
        <b/>
        <u/>
        <sz val="10"/>
        <color theme="1"/>
        <rFont val="Arial"/>
        <family val="2"/>
      </rPr>
      <t>include</t>
    </r>
    <r>
      <rPr>
        <sz val="10"/>
        <color theme="1"/>
        <rFont val="Arial"/>
        <family val="2"/>
      </rPr>
      <t xml:space="preserve"> non-core RAV</t>
    </r>
  </si>
  <si>
    <t>Allowances</t>
  </si>
  <si>
    <t>ESO - Non Variant</t>
  </si>
  <si>
    <t>ESO - Variant</t>
  </si>
  <si>
    <t>ETO - Non Variant</t>
  </si>
  <si>
    <t>LR Capex</t>
  </si>
  <si>
    <t>NLR Capex inc non-op</t>
  </si>
  <si>
    <t>ETO - Variant</t>
  </si>
  <si>
    <t>Total</t>
  </si>
  <si>
    <t>Spend</t>
  </si>
  <si>
    <t>ET Total</t>
  </si>
  <si>
    <t>TPCR4 - LRAV</t>
  </si>
  <si>
    <t>Opening Non-core RAV</t>
  </si>
  <si>
    <t>NGET TO Capital Expenditure Incentive and Safety Net</t>
  </si>
  <si>
    <t>Identified excluded services costs</t>
  </si>
  <si>
    <t>Cost - Allowance (FP)</t>
  </si>
  <si>
    <t>Contributions - Allowance (FP)</t>
  </si>
  <si>
    <t>NGET - SO</t>
  </si>
  <si>
    <t>Pension scheme administration and Pension Protection Fund Levy</t>
  </si>
  <si>
    <t>Pension Scheme Established Deficit</t>
  </si>
  <si>
    <t>Legacy revenue SO</t>
  </si>
  <si>
    <t>TPCR4 - SOLRAV</t>
  </si>
  <si>
    <t>PV factor (19/20)</t>
  </si>
  <si>
    <t>Slide 7</t>
  </si>
  <si>
    <t>NGET (£bn)</t>
  </si>
  <si>
    <t xml:space="preserve">RPI = </t>
  </si>
  <si>
    <t>Slide 8</t>
  </si>
  <si>
    <t>Slide 9</t>
  </si>
  <si>
    <t>Total revenue per Nov 2017 model run</t>
  </si>
  <si>
    <t>Regulated base revenue: Nov 2017 model run</t>
  </si>
  <si>
    <t>Present (18-19) Value</t>
  </si>
  <si>
    <t>PV factor</t>
  </si>
  <si>
    <t>Slide 12</t>
  </si>
  <si>
    <t>TIRG income</t>
  </si>
  <si>
    <t xml:space="preserve">TIRG investment </t>
  </si>
  <si>
    <t>Excluded services income</t>
  </si>
  <si>
    <t>Excluded services income offset</t>
  </si>
  <si>
    <t>Excluded services capex (net of contributions)</t>
  </si>
  <si>
    <t>Slide 10</t>
  </si>
  <si>
    <t>NGET SO RAV</t>
  </si>
  <si>
    <t>NGET SO Totex</t>
  </si>
  <si>
    <t>Slide 11</t>
  </si>
  <si>
    <t>NGET SO Revenue</t>
  </si>
  <si>
    <t>NGET SO MOD</t>
  </si>
  <si>
    <t>Slide 6</t>
  </si>
  <si>
    <t>1 period/8 years</t>
  </si>
  <si>
    <t>IQI ratio</t>
  </si>
  <si>
    <t xml:space="preserve">£bn </t>
  </si>
  <si>
    <t xml:space="preserve">TO baseline capex </t>
  </si>
  <si>
    <t>Controllable Opex  allowances</t>
  </si>
  <si>
    <t>Controllable Opex spend</t>
  </si>
  <si>
    <t xml:space="preserve">Post-sharing Capex </t>
  </si>
  <si>
    <t xml:space="preserve">Post-sharing Controllable Opex </t>
  </si>
  <si>
    <t xml:space="preserve">Totex </t>
  </si>
  <si>
    <t>TOTAL</t>
  </si>
  <si>
    <t>Regulated base revenue</t>
  </si>
  <si>
    <t>TO MOD</t>
  </si>
  <si>
    <t>TO baseline capex - non-load-related</t>
  </si>
  <si>
    <t>SO</t>
  </si>
  <si>
    <t>Controllable Opex allowances</t>
  </si>
  <si>
    <t>SO MOD</t>
  </si>
  <si>
    <t>Sharing factor</t>
  </si>
  <si>
    <t>Slide 15</t>
  </si>
  <si>
    <t>NGGT (£bn)</t>
  </si>
  <si>
    <t>Slide 16</t>
  </si>
  <si>
    <t>Slide 17</t>
  </si>
  <si>
    <t>check</t>
  </si>
  <si>
    <t>PV factor for 18-19</t>
  </si>
  <si>
    <t>Slide 20</t>
  </si>
  <si>
    <t>TO baseline capex - load-related</t>
  </si>
  <si>
    <t>TO baseline capex - non-load related</t>
  </si>
  <si>
    <t>Uncertainty mechanism opex</t>
  </si>
  <si>
    <t>Slide 19</t>
  </si>
  <si>
    <t>Slide 18</t>
  </si>
  <si>
    <t>Slide 14</t>
  </si>
  <si>
    <t>Base Totex capitalisation rate (TO)</t>
  </si>
  <si>
    <t>37.4%</t>
  </si>
  <si>
    <t>Load-related Capex allowances</t>
  </si>
  <si>
    <t xml:space="preserve">15-16line Capex </t>
  </si>
  <si>
    <t>Non-load related Capex allowances</t>
  </si>
  <si>
    <t xml:space="preserve">Controllable Opex </t>
  </si>
  <si>
    <t>Post-sharing Load-related Capex</t>
  </si>
  <si>
    <t>Post-sharing Non-load related Capex</t>
  </si>
  <si>
    <t>Post-sharing baseline totex (64% capitalisation)</t>
  </si>
  <si>
    <t xml:space="preserve">15-16line capex totex (53% capitalisation) </t>
  </si>
  <si>
    <t>Post-sharing uncertainty totex (90% capitalisation)</t>
  </si>
  <si>
    <t xml:space="preserve">Total slow money </t>
  </si>
  <si>
    <t xml:space="preserve">16-17line Capex </t>
  </si>
  <si>
    <t xml:space="preserve">16-17line capex totex (53% capitalisation) </t>
  </si>
  <si>
    <t>GSO - Non Variant</t>
  </si>
  <si>
    <t>GSO - Variant</t>
  </si>
  <si>
    <t>GTO - Non Variant</t>
  </si>
  <si>
    <t>GTO - Variant</t>
  </si>
  <si>
    <t>Opening RAV after transfers</t>
  </si>
  <si>
    <t xml:space="preserve">14-15line Capex </t>
  </si>
  <si>
    <t xml:space="preserve">14-15line capex totex (53% capitalisation) </t>
  </si>
  <si>
    <t xml:space="preserve">Baseline Capex </t>
  </si>
  <si>
    <t>Updated Oct 2019</t>
  </si>
  <si>
    <t>RPI factor (Mar closing)</t>
  </si>
  <si>
    <t>RPI factor (Mar opening)</t>
  </si>
  <si>
    <t>Updated March 2017</t>
  </si>
  <si>
    <t>2011/12</t>
  </si>
  <si>
    <t>2012/13</t>
  </si>
  <si>
    <t>Financial parameters</t>
  </si>
  <si>
    <t>Updated for Nov19</t>
  </si>
  <si>
    <t>Mar closing</t>
  </si>
  <si>
    <t>09/10 RPI avg</t>
  </si>
  <si>
    <t>The below compares the baseline allowances, as set at final proposals to the current allowances; primarily adjusting for the outcomes of the Mid-Period Review and Re-opener decisions.
We also show the recorded spend up to 17/18 (nb. 18/19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(baseline spend: 64%, uncertainty spend: 90%), of the Totex revenue is 'capitalised'. The capitalised proportion is referred to as 'Slow money' and will be added to the RAV, to be recovered over the next 45 years. The 'Fast money' is the remaining proportion, which impacts the allowed revenue for the year in question.</t>
  </si>
  <si>
    <t>The MOD term required to adjust final proposal's revenue to the recalculated value is shown below. 
The table shows how the 19/20 MOD has correctly adjusted base revenue to match, in PV terms, the current PCFM view of revenues up to the latest year MOD has been published for.</t>
  </si>
  <si>
    <t>Present (19-20) Value</t>
  </si>
  <si>
    <t>The below compares the baseline allowances, as set at final proposals to the current allowances; primarily adjusting for the outcomes of the Re-opener decision.
Actual spend is shown up to 17/18 (nb. 18/19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(37.4%), of the Totex revenue is 'capitalised'. The capitalised proportion is referred to as 'Slow money' and will be added to the RAV, to be recovered over the next 7 years. The 'Fast money' is the remaining proportion, which impacts to the allowed revenue for the year in question.</t>
  </si>
  <si>
    <t>The MOD term required to adjust final proposal's revenue to the recalculated value is shown below. 
The table shows how the 19/20 MOD has correctly adjusted base revenue to match, in PV terms, the current PCFM view of revenues, up to 19/20.</t>
  </si>
  <si>
    <t>The following table reconciles the total revenue above to the Regulated base revenue reported in the 2018 model. This involves excluding revenue relating to TIRG and Excluded services.</t>
  </si>
  <si>
    <t>The MOD term required to adjust final proposal's revenue to the recalculated value is shown below. 
The table shows how the 19/20 MOD has correctly adjusted base revenue to match, in PV terms, the current PCFM view of revenues.</t>
  </si>
  <si>
    <t>The below compares the baseline allowances, as set at final proposals to the current allowances; primarily adjusting for the outcomes of the Mid-Period Review, Re-opener decision and Legal Separation allowances.
Actual spend is shown up to 17/18 (nb. 18/19 onwards assumes spend is equal to allowances). 
Where actual spend differs from the set allowances, NGET bare 47% of the reward/cost, via the Totex Incentive Mechanism. The impact of this 'sharing' mechanism is shown on the 'Post-sharing Totex' line, which represents the amount of revenue NGGT are allowed to recover in relation to Totex spend.
A proportion (27.9%), of the Totex revenue is 'capitalised'. The capitalised proportion is referred to as 'Slow money' and will be added to the RAV, to be recovered over the next 7 years. The 'Fast money' is the remaining proportion, which impacts to the allowed revenue for the year in question.</t>
  </si>
  <si>
    <t>The components of the SO total revenue are shown below. In addition to the Totex revenue, which includes Fast money and Depreciation &amp; RAV Return, NGET recover revenue for directly allowed costs such as Pensions and Tax.
The 'Other Revenue adjustments' relate to legacy price controls.</t>
  </si>
  <si>
    <t>The below table consolidates the controllable totex information previously presented, giving a total NGET view.
Controllable totex allowances are reconciled to the allowed totex revenue, considering the impact of the Totex Incentive Mechanism.</t>
  </si>
  <si>
    <t>The below consolidates the TO and SO RAVs, giving a total NGET view</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</si>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</sst>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0.0\);\-"/>
    <numFmt numFmtId="166" formatCode="#,##0.0_);\(#,##0.0\);\-_)"/>
    <numFmt numFmtId="167" formatCode="#,##0.00%_);\(#,##0.00%\);\-_)"/>
    <numFmt numFmtId="168" formatCode="#,##0.000;\(#,##0.000\);\-"/>
    <numFmt numFmtId="169" formatCode="dd\ mmm\ yyyy"/>
    <numFmt numFmtId="170" formatCode="#,##0;[Red]\(#,##0\);\-"/>
    <numFmt numFmtId="171" formatCode="#,##0_);\(#,##0\);\-_);@_)"/>
    <numFmt numFmtId="172" formatCode="#,##0.00_);\(#,##0.00\);\-_)"/>
    <numFmt numFmtId="173" formatCode="0.0"/>
    <numFmt numFmtId="174" formatCode="#,##0.00000;\(#,##0.00000\);\-"/>
    <numFmt numFmtId="175" formatCode="_-* #,##0_-;\-* #,##0_-;_-* &quot;-&quot;??_-;_-@_-"/>
    <numFmt numFmtId="176" formatCode="0.0000000"/>
    <numFmt numFmtId="177" formatCode="0.00000"/>
    <numFmt numFmtId="178" formatCode="#,##0.000000;\(#,##0.000000\);\-"/>
    <numFmt numFmtId="179" formatCode="#,##0.00000"/>
    <numFmt numFmtId="180" formatCode="#,##0.0000"/>
    <numFmt numFmtId="181" formatCode="#,##0.00000000;\(#,##0.00000000\);\-"/>
    <numFmt numFmtId="182" formatCode="0.0000"/>
    <numFmt numFmtId="183" formatCode="#,##0.00000000000"/>
  </numFmts>
  <fonts count="83">
    <font>
      <sz val="10"/>
      <color theme="1"/>
      <name val="Arial"/>
      <family val="2"/>
    </font>
    <font>
      <sz val="11"/>
      <color theme="1"/>
      <name val="Calibri"/>
      <family val="2"/>
      <scheme val="minor"/>
    </font>
    <font>
      <sz val="11"/>
      <color theme="1"/>
      <name val="Calibri"/>
      <family val="2"/>
      <scheme val="minor"/>
    </font>
    <font>
      <b/>
      <sz val="10"/>
      <color theme="1"/>
      <name val="Arial"/>
      <family val="2"/>
    </font>
    <font>
      <b/>
      <sz val="12"/>
      <color rgb="FFFFFFFF"/>
      <name val="Arial"/>
      <family val="2"/>
    </font>
    <font>
      <sz val="12"/>
      <color rgb="FF000000"/>
      <name val="Arial"/>
      <family val="2"/>
    </font>
    <font>
      <b/>
      <sz val="12"/>
      <color rgb="FF000000"/>
      <name val="Arial"/>
      <family val="2"/>
    </font>
    <font>
      <sz val="2"/>
      <color rgb="FF000000"/>
      <name val="Arial"/>
      <family val="2"/>
    </font>
    <font>
      <b/>
      <sz val="2"/>
      <color rgb="FF000000"/>
      <name val="Arial"/>
      <family val="2"/>
    </font>
    <font>
      <b/>
      <sz val="8"/>
      <color rgb="FF000000"/>
      <name val="Arial"/>
      <family val="2"/>
    </font>
    <font>
      <sz val="1"/>
      <color rgb="FF000000"/>
      <name val="Arial"/>
      <family val="2"/>
    </font>
    <font>
      <sz val="8"/>
      <color rgb="FF000000"/>
      <name val="Arial"/>
      <family val="2"/>
    </font>
    <font>
      <sz val="10"/>
      <color theme="1"/>
      <name val="Arial"/>
      <family val="2"/>
    </font>
    <font>
      <sz val="10"/>
      <color theme="1"/>
      <name val="Gill Sans MT"/>
      <family val="2"/>
    </font>
    <font>
      <sz val="10"/>
      <name val="Gill Sans MT"/>
      <family val="2"/>
    </font>
    <font>
      <b/>
      <sz val="10"/>
      <color rgb="FF000000"/>
      <name val="Calibri"/>
      <family val="2"/>
      <scheme val="minor"/>
    </font>
    <font>
      <b/>
      <sz val="12"/>
      <color theme="1"/>
      <name val="Arial"/>
      <family val="2"/>
    </font>
    <font>
      <sz val="12"/>
      <color theme="1"/>
      <name val="Arial"/>
      <family val="2"/>
    </font>
    <font>
      <b/>
      <sz val="10"/>
      <name val="Gill Sans MT"/>
      <family val="2"/>
    </font>
    <font>
      <b/>
      <sz val="10"/>
      <color rgb="FFFF0000"/>
      <name val="Arial"/>
      <family val="2"/>
    </font>
    <font>
      <b/>
      <sz val="10"/>
      <color rgb="FFC00000"/>
      <name val="Arial"/>
      <family val="2"/>
    </font>
    <font>
      <sz val="10"/>
      <name val="Arial"/>
      <family val="2"/>
    </font>
    <font>
      <sz val="11"/>
      <name val="CG Omega"/>
      <family val="2"/>
    </font>
    <font>
      <sz val="10"/>
      <color indexed="8"/>
      <name val="Arial"/>
      <family val="2"/>
    </font>
    <font>
      <sz val="10"/>
      <color rgb="FFFF0000"/>
      <name val="Gill Sans MT"/>
      <family val="2"/>
    </font>
    <font>
      <sz val="10"/>
      <color rgb="FFFF0000"/>
      <name val="Arial"/>
      <family val="2"/>
    </font>
    <font>
      <b/>
      <sz val="12"/>
      <color rgb="FF008265"/>
      <name val="Calibri"/>
      <family val="2"/>
      <scheme val="minor"/>
    </font>
    <font>
      <sz val="12"/>
      <color rgb="FF000000"/>
      <name val="Calibri"/>
      <family val="2"/>
      <scheme val="minor"/>
    </font>
    <font>
      <sz val="2"/>
      <color rgb="FF000000"/>
      <name val="Calibri"/>
      <family val="2"/>
      <scheme val="minor"/>
    </font>
    <font>
      <b/>
      <sz val="2"/>
      <color rgb="FF008265"/>
      <name val="Calibri"/>
      <family val="2"/>
      <scheme val="minor"/>
    </font>
    <font>
      <sz val="2"/>
      <color rgb="FF008265"/>
      <name val="Calibri"/>
      <family val="2"/>
      <scheme val="minor"/>
    </font>
    <font>
      <b/>
      <sz val="8"/>
      <color rgb="FF008265"/>
      <name val="Calibri"/>
      <family val="2"/>
      <scheme val="minor"/>
    </font>
    <font>
      <sz val="8"/>
      <color rgb="FF000000"/>
      <name val="Calibri"/>
      <family val="2"/>
      <scheme val="minor"/>
    </font>
    <font>
      <sz val="8"/>
      <name val="Calibri"/>
      <family val="2"/>
      <scheme val="minor"/>
    </font>
    <font>
      <b/>
      <sz val="12"/>
      <color rgb="FF00B0F0"/>
      <name val="Calibri"/>
      <family val="2"/>
      <scheme val="minor"/>
    </font>
    <font>
      <b/>
      <sz val="2"/>
      <color rgb="FF00B0F0"/>
      <name val="Calibri"/>
      <family val="2"/>
      <scheme val="minor"/>
    </font>
    <font>
      <sz val="2"/>
      <color rgb="FF00B0F0"/>
      <name val="Calibri"/>
      <family val="2"/>
      <scheme val="minor"/>
    </font>
    <font>
      <b/>
      <sz val="12"/>
      <color rgb="FF00B050"/>
      <name val="Calibri"/>
      <family val="2"/>
      <scheme val="minor"/>
    </font>
    <font>
      <b/>
      <sz val="8"/>
      <color rgb="FF00B0F0"/>
      <name val="Calibri"/>
      <family val="2"/>
      <scheme val="minor"/>
    </font>
    <font>
      <b/>
      <sz val="8"/>
      <color rgb="FF000000"/>
      <name val="Calibri"/>
      <family val="2"/>
      <scheme val="minor"/>
    </font>
    <font>
      <b/>
      <sz val="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color theme="1"/>
      <name val="Arial"/>
      <family val="2"/>
    </font>
    <font>
      <b/>
      <sz val="10"/>
      <color theme="0" tint="-0.249977111117893"/>
      <name val="Arial"/>
      <family val="2"/>
    </font>
    <font>
      <b/>
      <sz val="8"/>
      <color theme="0" tint="-0.249977111117893"/>
      <name val="Arial"/>
      <family val="2"/>
    </font>
    <font>
      <b/>
      <sz val="14"/>
      <color rgb="FF00B0F0"/>
      <name val="Calibri"/>
      <family val="2"/>
      <scheme val="minor"/>
    </font>
    <font>
      <b/>
      <sz val="14"/>
      <color rgb="FF008265"/>
      <name val="Calibri"/>
      <family val="2"/>
      <scheme val="minor"/>
    </font>
    <font>
      <b/>
      <sz val="16"/>
      <color rgb="FF008265"/>
      <name val="Calibri"/>
      <family val="2"/>
      <scheme val="minor"/>
    </font>
    <font>
      <b/>
      <sz val="8"/>
      <color theme="0" tint="-0.249977111117893"/>
      <name val="Calibri"/>
      <family val="2"/>
      <scheme val="minor"/>
    </font>
    <font>
      <b/>
      <u/>
      <sz val="12"/>
      <color rgb="FF000000"/>
      <name val="HelveticaNeueLT Std"/>
      <family val="2"/>
    </font>
    <font>
      <sz val="12"/>
      <color rgb="FF000000"/>
      <name val="HelveticaNeueLT Std"/>
      <family val="2"/>
    </font>
    <font>
      <sz val="12"/>
      <color theme="1"/>
      <name val="HelveticaNeueLT Std"/>
      <family val="2"/>
    </font>
    <font>
      <b/>
      <sz val="9"/>
      <color rgb="FF000000"/>
      <name val="HelveticaNeueLT Std"/>
    </font>
    <font>
      <sz val="9"/>
      <color rgb="FF000000"/>
      <name val="HelveticaNeueLT Std"/>
      <family val="2"/>
    </font>
    <font>
      <sz val="9"/>
      <color theme="1"/>
      <name val="Calibri"/>
      <family val="2"/>
      <scheme val="minor"/>
    </font>
    <font>
      <b/>
      <sz val="18"/>
      <color theme="4"/>
      <name val="Calibri"/>
      <family val="2"/>
      <scheme val="minor"/>
    </font>
    <font>
      <sz val="11"/>
      <color theme="4"/>
      <name val="Calibri"/>
      <family val="2"/>
      <scheme val="minor"/>
    </font>
    <font>
      <b/>
      <sz val="14"/>
      <color theme="4"/>
      <name val="Calibri"/>
      <family val="2"/>
      <scheme val="minor"/>
    </font>
    <font>
      <sz val="8"/>
      <color rgb="FF008265"/>
      <name val="Calibri"/>
      <family val="2"/>
      <scheme val="minor"/>
    </font>
    <font>
      <b/>
      <sz val="18"/>
      <color theme="3"/>
      <name val="Calibri"/>
      <family val="2"/>
      <scheme val="minor"/>
    </font>
    <font>
      <sz val="18"/>
      <color theme="3"/>
      <name val="Arial"/>
      <family val="2"/>
    </font>
    <font>
      <sz val="8"/>
      <color rgb="FF00B0F0"/>
      <name val="Calibri"/>
      <family val="2"/>
      <scheme val="minor"/>
    </font>
    <font>
      <sz val="12"/>
      <name val="Calibri"/>
      <family val="2"/>
      <scheme val="minor"/>
    </font>
    <font>
      <b/>
      <sz val="10"/>
      <color theme="3"/>
      <name val="Calibri"/>
      <family val="2"/>
    </font>
    <font>
      <b/>
      <sz val="9"/>
      <color theme="3"/>
      <name val="Calibri"/>
      <family val="2"/>
    </font>
    <font>
      <b/>
      <sz val="9"/>
      <color theme="3"/>
      <name val="Calibri"/>
      <family val="2"/>
      <scheme val="minor"/>
    </font>
    <font>
      <b/>
      <sz val="10"/>
      <color theme="3"/>
      <name val="Calibri"/>
      <family val="2"/>
      <scheme val="minor"/>
    </font>
    <font>
      <b/>
      <sz val="10"/>
      <color rgb="FF00B0F0"/>
      <name val="Calibri"/>
      <family val="2"/>
      <scheme val="minor"/>
    </font>
  </fonts>
  <fills count="51">
    <fill>
      <patternFill patternType="none"/>
    </fill>
    <fill>
      <patternFill patternType="gray125"/>
    </fill>
    <fill>
      <patternFill patternType="solid">
        <fgColor rgb="FF0066CC"/>
        <bgColor indexed="64"/>
      </patternFill>
    </fill>
    <fill>
      <patternFill patternType="solid">
        <fgColor rgb="FFDDE3F3"/>
        <bgColor indexed="64"/>
      </patternFill>
    </fill>
    <fill>
      <patternFill patternType="solid">
        <fgColor rgb="FFE7EAF6"/>
        <bgColor indexed="64"/>
      </patternFill>
    </fill>
    <fill>
      <patternFill patternType="solid">
        <fgColor rgb="FFF1F3FA"/>
        <bgColor indexed="64"/>
      </patternFill>
    </fill>
    <fill>
      <patternFill patternType="solid">
        <fgColor rgb="FFAAB8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5E1FF"/>
        <bgColor indexed="64"/>
      </patternFill>
    </fill>
    <fill>
      <patternFill patternType="solid">
        <fgColor indexed="26"/>
        <bgColor indexed="64"/>
      </patternFill>
    </fill>
    <fill>
      <patternFill patternType="solid">
        <fgColor indexed="22"/>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s>
  <borders count="62">
    <border>
      <left/>
      <right/>
      <top/>
      <bottom/>
      <diagonal/>
    </border>
    <border>
      <left style="medium">
        <color rgb="FF0066CC"/>
      </left>
      <right/>
      <top style="medium">
        <color rgb="FF0066CC"/>
      </top>
      <bottom style="medium">
        <color rgb="FF0066CC"/>
      </bottom>
      <diagonal/>
    </border>
    <border>
      <left/>
      <right/>
      <top style="medium">
        <color rgb="FF0066CC"/>
      </top>
      <bottom style="medium">
        <color rgb="FF0066CC"/>
      </bottom>
      <diagonal/>
    </border>
    <border>
      <left/>
      <right style="medium">
        <color rgb="FF0066CC"/>
      </right>
      <top style="medium">
        <color rgb="FF0066CC"/>
      </top>
      <bottom style="medium">
        <color rgb="FF0066CC"/>
      </bottom>
      <diagonal/>
    </border>
    <border>
      <left/>
      <right style="medium">
        <color rgb="FF0066CC"/>
      </right>
      <top style="medium">
        <color rgb="FF0066CC"/>
      </top>
      <bottom style="medium">
        <color rgb="FF666666"/>
      </bottom>
      <diagonal/>
    </border>
    <border>
      <left/>
      <right/>
      <top style="medium">
        <color rgb="FFAAB8E2"/>
      </top>
      <bottom style="medium">
        <color rgb="FFAAB8E2"/>
      </bottom>
      <diagonal/>
    </border>
    <border>
      <left/>
      <right/>
      <top style="medium">
        <color rgb="FFAAB8E2"/>
      </top>
      <bottom/>
      <diagonal/>
    </border>
    <border>
      <left/>
      <right/>
      <top/>
      <bottom style="medium">
        <color rgb="FFAAB8E2"/>
      </bottom>
      <diagonal/>
    </border>
    <border>
      <left/>
      <right style="medium">
        <color rgb="FF0066CC"/>
      </right>
      <top style="medium">
        <color rgb="FF666666"/>
      </top>
      <bottom style="medium">
        <color rgb="FF0066CC"/>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rgb="FF008265"/>
      </bottom>
      <diagonal/>
    </border>
    <border>
      <left/>
      <right/>
      <top style="medium">
        <color rgb="FF008265"/>
      </top>
      <bottom style="thin">
        <color rgb="FF008265"/>
      </bottom>
      <diagonal/>
    </border>
    <border>
      <left/>
      <right/>
      <top style="thin">
        <color rgb="FF008265"/>
      </top>
      <bottom style="thin">
        <color rgb="FF008265"/>
      </bottom>
      <diagonal/>
    </border>
    <border>
      <left/>
      <right/>
      <top style="medium">
        <color rgb="FF008265"/>
      </top>
      <bottom style="medium">
        <color rgb="FF008265"/>
      </bottom>
      <diagonal/>
    </border>
    <border>
      <left/>
      <right/>
      <top/>
      <bottom style="medium">
        <color rgb="FF00B0F0"/>
      </bottom>
      <diagonal/>
    </border>
    <border>
      <left/>
      <right/>
      <top style="medium">
        <color rgb="FF00B0F0"/>
      </top>
      <bottom style="thin">
        <color rgb="FF00B0F0"/>
      </bottom>
      <diagonal/>
    </border>
    <border>
      <left/>
      <right/>
      <top style="thin">
        <color rgb="FF00B0F0"/>
      </top>
      <bottom style="thin">
        <color rgb="FF00B0F0"/>
      </bottom>
      <diagonal/>
    </border>
    <border>
      <left/>
      <right/>
      <top style="medium">
        <color rgb="FF00B0F0"/>
      </top>
      <bottom style="medium">
        <color rgb="FF00B0F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76">
    <xf numFmtId="0" fontId="0" fillId="0" borderId="0"/>
    <xf numFmtId="9" fontId="12" fillId="0" borderId="0" applyFont="0" applyFill="0" applyBorder="0" applyAlignment="0" applyProtection="0"/>
    <xf numFmtId="167" fontId="13" fillId="7" borderId="0"/>
    <xf numFmtId="167" fontId="14" fillId="8" borderId="0"/>
    <xf numFmtId="167" fontId="14" fillId="10" borderId="0" applyBorder="0">
      <alignment vertical="center"/>
    </xf>
    <xf numFmtId="164" fontId="21" fillId="0" borderId="0"/>
    <xf numFmtId="0" fontId="22" fillId="0" borderId="0"/>
    <xf numFmtId="164" fontId="21" fillId="0" borderId="0"/>
    <xf numFmtId="43" fontId="23" fillId="0" borderId="0" applyFont="0" applyFill="0" applyBorder="0" applyAlignment="0" applyProtection="0"/>
    <xf numFmtId="9" fontId="23" fillId="0" borderId="0" applyFont="0" applyFill="0" applyBorder="0" applyAlignment="0" applyProtection="0"/>
    <xf numFmtId="43" fontId="12" fillId="0" borderId="0" applyFont="0" applyFill="0" applyBorder="0" applyAlignment="0" applyProtection="0"/>
    <xf numFmtId="0" fontId="41" fillId="0" borderId="0" applyNumberFormat="0" applyFill="0" applyBorder="0" applyAlignment="0" applyProtection="0"/>
    <xf numFmtId="0" fontId="42" fillId="0" borderId="43" applyNumberFormat="0" applyFill="0" applyAlignment="0" applyProtection="0"/>
    <xf numFmtId="0" fontId="43" fillId="0" borderId="44" applyNumberFormat="0" applyFill="0" applyAlignment="0" applyProtection="0"/>
    <xf numFmtId="0" fontId="44" fillId="0" borderId="45" applyNumberFormat="0" applyFill="0" applyAlignment="0" applyProtection="0"/>
    <xf numFmtId="0" fontId="44" fillId="0" borderId="0" applyNumberFormat="0" applyFill="0" applyBorder="0" applyAlignment="0" applyProtection="0"/>
    <xf numFmtId="0" fontId="45" fillId="19" borderId="0" applyNumberFormat="0" applyBorder="0" applyAlignment="0" applyProtection="0"/>
    <xf numFmtId="0" fontId="46" fillId="20" borderId="0" applyNumberFormat="0" applyBorder="0" applyAlignment="0" applyProtection="0"/>
    <xf numFmtId="0" fontId="47" fillId="21" borderId="0" applyNumberFormat="0" applyBorder="0" applyAlignment="0" applyProtection="0"/>
    <xf numFmtId="0" fontId="48" fillId="22" borderId="46" applyNumberFormat="0" applyAlignment="0" applyProtection="0"/>
    <xf numFmtId="0" fontId="49" fillId="23" borderId="47" applyNumberFormat="0" applyAlignment="0" applyProtection="0"/>
    <xf numFmtId="0" fontId="50" fillId="23" borderId="46" applyNumberFormat="0" applyAlignment="0" applyProtection="0"/>
    <xf numFmtId="0" fontId="51" fillId="0" borderId="48" applyNumberFormat="0" applyFill="0" applyAlignment="0" applyProtection="0"/>
    <xf numFmtId="0" fontId="52" fillId="24" borderId="49"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51" applyNumberFormat="0" applyFill="0" applyAlignment="0" applyProtection="0"/>
    <xf numFmtId="0" fontId="5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56" fillId="49" borderId="0" applyNumberFormat="0" applyBorder="0" applyAlignment="0" applyProtection="0"/>
    <xf numFmtId="0" fontId="2" fillId="0" borderId="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1" fillId="0" borderId="0"/>
    <xf numFmtId="0" fontId="21" fillId="0" borderId="0"/>
    <xf numFmtId="0" fontId="21" fillId="0" borderId="0"/>
    <xf numFmtId="0" fontId="2" fillId="25" borderId="50" applyNumberFormat="0" applyFont="0" applyAlignment="0" applyProtection="0"/>
    <xf numFmtId="0" fontId="2" fillId="25" borderId="50" applyNumberFormat="0" applyFont="0" applyAlignment="0" applyProtection="0"/>
    <xf numFmtId="0" fontId="1" fillId="0" borderId="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535">
    <xf numFmtId="0" fontId="0" fillId="0" borderId="0" xfId="0"/>
    <xf numFmtId="0" fontId="4" fillId="2" borderId="1" xfId="0" applyFont="1" applyFill="1" applyBorder="1" applyAlignment="1">
      <alignment horizontal="left" vertical="top" wrapText="1" readingOrder="1"/>
    </xf>
    <xf numFmtId="0" fontId="4" fillId="2" borderId="2" xfId="0" applyFont="1" applyFill="1" applyBorder="1" applyAlignment="1">
      <alignment horizontal="right" vertical="top" wrapText="1" readingOrder="1"/>
    </xf>
    <xf numFmtId="0" fontId="5" fillId="4" borderId="1" xfId="0" applyFont="1" applyFill="1" applyBorder="1" applyAlignment="1">
      <alignment horizontal="left" vertical="top" wrapText="1" readingOrder="1"/>
    </xf>
    <xf numFmtId="0" fontId="5" fillId="0" borderId="1" xfId="0" applyFont="1" applyBorder="1" applyAlignment="1">
      <alignment horizontal="left" vertical="top" wrapText="1" readingOrder="1"/>
    </xf>
    <xf numFmtId="0" fontId="6" fillId="0" borderId="1" xfId="0" applyFont="1" applyBorder="1" applyAlignment="1">
      <alignment horizontal="left" vertical="top" wrapText="1" readingOrder="1"/>
    </xf>
    <xf numFmtId="0" fontId="6" fillId="4" borderId="1" xfId="0" applyFont="1" applyFill="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5" xfId="0" applyFont="1" applyBorder="1" applyAlignment="1">
      <alignment horizontal="center" vertical="top" wrapText="1" readingOrder="1"/>
    </xf>
    <xf numFmtId="0" fontId="10" fillId="5" borderId="6" xfId="0" applyFont="1" applyFill="1" applyBorder="1" applyAlignment="1">
      <alignment vertical="top" wrapText="1"/>
    </xf>
    <xf numFmtId="0" fontId="11" fillId="0" borderId="0" xfId="0" applyFont="1" applyAlignment="1">
      <alignment horizontal="left" vertical="top" wrapText="1" readingOrder="1"/>
    </xf>
    <xf numFmtId="0" fontId="11" fillId="5" borderId="0" xfId="0" applyFont="1" applyFill="1" applyAlignment="1">
      <alignment horizontal="left" vertical="top" wrapText="1" readingOrder="1"/>
    </xf>
    <xf numFmtId="0" fontId="9" fillId="0" borderId="0" xfId="0" applyFont="1" applyAlignment="1">
      <alignment horizontal="left" vertical="top" wrapText="1" readingOrder="1"/>
    </xf>
    <xf numFmtId="0" fontId="9" fillId="0" borderId="7" xfId="0" applyFont="1" applyBorder="1" applyAlignment="1">
      <alignment horizontal="left" vertical="top" wrapText="1" readingOrder="1"/>
    </xf>
    <xf numFmtId="0" fontId="9" fillId="0" borderId="5" xfId="0" applyFont="1" applyBorder="1" applyAlignment="1">
      <alignment horizontal="left" vertical="top" readingOrder="1"/>
    </xf>
    <xf numFmtId="0" fontId="9" fillId="0" borderId="5" xfId="0" applyFont="1" applyBorder="1" applyAlignment="1">
      <alignment horizontal="center" vertical="top" readingOrder="1"/>
    </xf>
    <xf numFmtId="0" fontId="10" fillId="5" borderId="6" xfId="0" applyFont="1" applyFill="1" applyBorder="1" applyAlignment="1">
      <alignment vertical="top"/>
    </xf>
    <xf numFmtId="0" fontId="11" fillId="0" borderId="0" xfId="0" applyFont="1" applyAlignment="1">
      <alignment horizontal="left" vertical="top" readingOrder="1"/>
    </xf>
    <xf numFmtId="0" fontId="11" fillId="5" borderId="0" xfId="0" applyFont="1" applyFill="1" applyAlignment="1">
      <alignment horizontal="left" vertical="top" readingOrder="1"/>
    </xf>
    <xf numFmtId="0" fontId="9" fillId="0" borderId="0" xfId="0" applyFont="1" applyAlignment="1">
      <alignment horizontal="left" vertical="top" readingOrder="1"/>
    </xf>
    <xf numFmtId="0" fontId="10" fillId="5" borderId="0" xfId="0" applyFont="1" applyFill="1" applyAlignment="1">
      <alignment vertical="top"/>
    </xf>
    <xf numFmtId="0" fontId="9" fillId="0" borderId="7" xfId="0" applyFont="1" applyBorder="1" applyAlignment="1">
      <alignment horizontal="left" vertical="top" readingOrder="1"/>
    </xf>
    <xf numFmtId="0" fontId="11" fillId="5" borderId="6" xfId="0" applyFont="1" applyFill="1" applyBorder="1" applyAlignment="1">
      <alignment horizontal="left" vertical="top" wrapText="1" readingOrder="1"/>
    </xf>
    <xf numFmtId="0" fontId="9" fillId="5" borderId="7" xfId="0" applyFont="1" applyFill="1" applyBorder="1" applyAlignment="1">
      <alignment horizontal="left" vertical="top" wrapText="1" readingOrder="1"/>
    </xf>
    <xf numFmtId="0" fontId="11" fillId="5" borderId="6" xfId="0" applyFont="1" applyFill="1" applyBorder="1" applyAlignment="1">
      <alignment horizontal="left" vertical="top" readingOrder="1"/>
    </xf>
    <xf numFmtId="0" fontId="9" fillId="5" borderId="7" xfId="0" applyFont="1" applyFill="1" applyBorder="1" applyAlignment="1">
      <alignment horizontal="left" vertical="top" readingOrder="1"/>
    </xf>
    <xf numFmtId="164" fontId="10" fillId="5" borderId="6" xfId="0" applyNumberFormat="1" applyFont="1" applyFill="1" applyBorder="1" applyAlignment="1">
      <alignment horizontal="center" vertical="top"/>
    </xf>
    <xf numFmtId="164" fontId="11" fillId="0" borderId="0" xfId="0" applyNumberFormat="1" applyFont="1" applyAlignment="1">
      <alignment horizontal="right" vertical="center" readingOrder="1"/>
    </xf>
    <xf numFmtId="164" fontId="9" fillId="0" borderId="0" xfId="0" applyNumberFormat="1" applyFont="1" applyAlignment="1">
      <alignment horizontal="right" readingOrder="1"/>
    </xf>
    <xf numFmtId="164" fontId="11" fillId="5" borderId="0" xfId="0" applyNumberFormat="1" applyFont="1" applyFill="1" applyAlignment="1">
      <alignment horizontal="right" vertical="center" readingOrder="1"/>
    </xf>
    <xf numFmtId="164" fontId="9" fillId="5" borderId="0" xfId="0" applyNumberFormat="1" applyFont="1" applyFill="1" applyAlignment="1">
      <alignment horizontal="right" readingOrder="1"/>
    </xf>
    <xf numFmtId="164" fontId="9" fillId="0" borderId="0" xfId="0" applyNumberFormat="1" applyFont="1" applyAlignment="1">
      <alignment horizontal="right" vertical="center" readingOrder="1"/>
    </xf>
    <xf numFmtId="164" fontId="10" fillId="5" borderId="0" xfId="0" applyNumberFormat="1" applyFont="1" applyFill="1" applyAlignment="1">
      <alignment horizontal="center" vertical="center"/>
    </xf>
    <xf numFmtId="164" fontId="9" fillId="5" borderId="0" xfId="0" applyNumberFormat="1" applyFont="1" applyFill="1" applyAlignment="1">
      <alignment vertical="center"/>
    </xf>
    <xf numFmtId="164" fontId="9" fillId="0" borderId="7" xfId="0" applyNumberFormat="1" applyFont="1" applyBorder="1" applyAlignment="1">
      <alignment horizontal="right" vertical="center" readingOrder="1"/>
    </xf>
    <xf numFmtId="164" fontId="9" fillId="0" borderId="7" xfId="0" applyNumberFormat="1" applyFont="1" applyBorder="1" applyAlignment="1">
      <alignment horizontal="right" readingOrder="1"/>
    </xf>
    <xf numFmtId="164" fontId="11" fillId="5" borderId="6" xfId="0" applyNumberFormat="1" applyFont="1" applyFill="1" applyBorder="1" applyAlignment="1">
      <alignment horizontal="right" vertical="center" readingOrder="1"/>
    </xf>
    <xf numFmtId="164" fontId="9" fillId="5" borderId="7" xfId="0" applyNumberFormat="1" applyFont="1" applyFill="1" applyBorder="1" applyAlignment="1">
      <alignment horizontal="right" vertical="center" readingOrder="1"/>
    </xf>
    <xf numFmtId="0" fontId="3" fillId="0" borderId="0" xfId="0" applyFont="1"/>
    <xf numFmtId="0" fontId="9" fillId="5" borderId="0" xfId="0" applyFont="1" applyFill="1" applyAlignment="1">
      <alignment horizontal="left" vertical="top" wrapText="1" readingOrder="1"/>
    </xf>
    <xf numFmtId="0" fontId="11" fillId="0" borderId="7" xfId="0" applyFont="1" applyBorder="1" applyAlignment="1">
      <alignment horizontal="left" vertical="top" wrapText="1" readingOrder="1"/>
    </xf>
    <xf numFmtId="164" fontId="11" fillId="5" borderId="6" xfId="0" applyNumberFormat="1" applyFont="1" applyFill="1" applyBorder="1" applyAlignment="1">
      <alignment horizontal="right" vertical="center" wrapText="1" readingOrder="1"/>
    </xf>
    <xf numFmtId="164" fontId="11" fillId="0" borderId="0" xfId="0" applyNumberFormat="1" applyFont="1" applyAlignment="1">
      <alignment horizontal="right" vertical="center" wrapText="1" readingOrder="1"/>
    </xf>
    <xf numFmtId="164" fontId="11" fillId="5" borderId="0" xfId="0" applyNumberFormat="1" applyFont="1" applyFill="1" applyAlignment="1">
      <alignment horizontal="right" vertical="center" wrapText="1" readingOrder="1"/>
    </xf>
    <xf numFmtId="164" fontId="9" fillId="5" borderId="7" xfId="0" applyNumberFormat="1" applyFont="1" applyFill="1" applyBorder="1" applyAlignment="1">
      <alignment horizontal="right" vertical="center" wrapText="1" readingOrder="1"/>
    </xf>
    <xf numFmtId="164" fontId="9" fillId="5" borderId="0" xfId="0" applyNumberFormat="1" applyFont="1" applyFill="1" applyAlignment="1">
      <alignment horizontal="right" vertical="center" wrapText="1" readingOrder="1"/>
    </xf>
    <xf numFmtId="164" fontId="11" fillId="0" borderId="7" xfId="0" applyNumberFormat="1" applyFont="1" applyBorder="1" applyAlignment="1">
      <alignment horizontal="right" vertical="center" wrapText="1" readingOrder="1"/>
    </xf>
    <xf numFmtId="0" fontId="4" fillId="6" borderId="8" xfId="0" applyFont="1" applyFill="1" applyBorder="1" applyAlignment="1">
      <alignment horizontal="right" vertical="top" wrapText="1" readingOrder="1"/>
    </xf>
    <xf numFmtId="0" fontId="8" fillId="0" borderId="0" xfId="0" applyFont="1" applyAlignment="1">
      <alignment vertical="top" wrapText="1"/>
    </xf>
    <xf numFmtId="164" fontId="10" fillId="5" borderId="6" xfId="0" applyNumberFormat="1" applyFont="1" applyFill="1" applyBorder="1" applyAlignment="1">
      <alignment horizontal="center" vertical="top" wrapText="1"/>
    </xf>
    <xf numFmtId="164" fontId="9" fillId="0" borderId="0" xfId="0" applyNumberFormat="1" applyFont="1" applyAlignment="1">
      <alignment horizontal="right" vertical="center" wrapText="1" readingOrder="1"/>
    </xf>
    <xf numFmtId="164" fontId="9" fillId="0" borderId="0" xfId="0" applyNumberFormat="1" applyFont="1" applyAlignment="1">
      <alignment horizontal="right" vertical="center" wrapText="1"/>
    </xf>
    <xf numFmtId="164" fontId="9" fillId="0" borderId="7" xfId="0" applyNumberFormat="1" applyFont="1" applyBorder="1" applyAlignment="1">
      <alignment horizontal="right" vertical="center" wrapText="1" readingOrder="1"/>
    </xf>
    <xf numFmtId="165" fontId="0" fillId="0" borderId="0" xfId="0" applyNumberFormat="1"/>
    <xf numFmtId="168" fontId="0" fillId="0" borderId="0" xfId="0" applyNumberFormat="1"/>
    <xf numFmtId="168" fontId="3" fillId="0" borderId="0" xfId="0" applyNumberFormat="1" applyFont="1"/>
    <xf numFmtId="0" fontId="15" fillId="0" borderId="5" xfId="0" applyFont="1" applyBorder="1" applyAlignment="1">
      <alignment horizontal="center" vertical="top" readingOrder="1"/>
    </xf>
    <xf numFmtId="165" fontId="3" fillId="0" borderId="9" xfId="0" applyNumberFormat="1" applyFont="1" applyBorder="1"/>
    <xf numFmtId="165" fontId="3" fillId="0" borderId="0" xfId="0" applyNumberFormat="1" applyFont="1"/>
    <xf numFmtId="0" fontId="16" fillId="0" borderId="0" xfId="0" applyFont="1"/>
    <xf numFmtId="0" fontId="17" fillId="0" borderId="0" xfId="0" applyFont="1"/>
    <xf numFmtId="165" fontId="16" fillId="0" borderId="0" xfId="0" applyNumberFormat="1" applyFont="1"/>
    <xf numFmtId="165" fontId="5" fillId="4" borderId="2" xfId="0" applyNumberFormat="1" applyFont="1" applyFill="1" applyBorder="1" applyAlignment="1">
      <alignment horizontal="right" vertical="top" wrapText="1" readingOrder="1"/>
    </xf>
    <xf numFmtId="165" fontId="5" fillId="3" borderId="3" xfId="0" applyNumberFormat="1" applyFont="1" applyFill="1" applyBorder="1" applyAlignment="1">
      <alignment horizontal="right" vertical="top" wrapText="1" readingOrder="1"/>
    </xf>
    <xf numFmtId="165" fontId="5" fillId="0" borderId="2" xfId="0" applyNumberFormat="1" applyFont="1" applyBorder="1" applyAlignment="1">
      <alignment horizontal="right" vertical="top" wrapText="1" readingOrder="1"/>
    </xf>
    <xf numFmtId="165" fontId="6" fillId="4" borderId="2" xfId="0" applyNumberFormat="1" applyFont="1" applyFill="1" applyBorder="1" applyAlignment="1">
      <alignment horizontal="right" vertical="top" wrapText="1" readingOrder="1"/>
    </xf>
    <xf numFmtId="165" fontId="6" fillId="3" borderId="3" xfId="0" applyNumberFormat="1" applyFont="1" applyFill="1" applyBorder="1" applyAlignment="1">
      <alignment horizontal="right" vertical="top" wrapText="1" readingOrder="1"/>
    </xf>
    <xf numFmtId="165" fontId="6" fillId="0" borderId="2" xfId="0" applyNumberFormat="1" applyFont="1" applyBorder="1" applyAlignment="1">
      <alignment horizontal="right" vertical="top" wrapText="1" readingOrder="1"/>
    </xf>
    <xf numFmtId="0" fontId="18" fillId="11" borderId="10" xfId="0" applyFont="1" applyFill="1" applyBorder="1" applyAlignment="1">
      <alignment horizontal="center" vertical="center" wrapText="1"/>
    </xf>
    <xf numFmtId="0" fontId="14" fillId="9" borderId="11" xfId="0" applyFont="1" applyFill="1" applyBorder="1" applyAlignment="1">
      <alignment vertical="center"/>
    </xf>
    <xf numFmtId="169" fontId="14" fillId="11" borderId="12" xfId="0" applyNumberFormat="1" applyFont="1" applyFill="1" applyBorder="1" applyAlignment="1">
      <alignment horizontal="center" vertical="center"/>
    </xf>
    <xf numFmtId="169" fontId="14" fillId="11" borderId="13" xfId="0" applyNumberFormat="1" applyFont="1" applyFill="1" applyBorder="1" applyAlignment="1">
      <alignment horizontal="center" vertical="center"/>
    </xf>
    <xf numFmtId="169" fontId="14" fillId="11" borderId="14" xfId="0" applyNumberFormat="1" applyFont="1" applyFill="1" applyBorder="1" applyAlignment="1">
      <alignment horizontal="center" vertical="center"/>
    </xf>
    <xf numFmtId="0" fontId="14" fillId="11" borderId="15" xfId="0" applyFont="1" applyFill="1" applyBorder="1" applyAlignment="1">
      <alignment horizontal="center" vertical="center" wrapText="1"/>
    </xf>
    <xf numFmtId="0" fontId="18" fillId="11" borderId="16" xfId="0" applyFont="1" applyFill="1" applyBorder="1" applyAlignment="1">
      <alignment horizontal="center" vertical="center"/>
    </xf>
    <xf numFmtId="0" fontId="14" fillId="11" borderId="17" xfId="0" applyFont="1" applyFill="1" applyBorder="1" applyAlignment="1">
      <alignment vertical="center"/>
    </xf>
    <xf numFmtId="0" fontId="14" fillId="11" borderId="18" xfId="0" applyFont="1" applyFill="1" applyBorder="1" applyAlignment="1">
      <alignment horizontal="center" vertical="center"/>
    </xf>
    <xf numFmtId="0" fontId="14" fillId="11" borderId="19" xfId="0" applyFont="1" applyFill="1" applyBorder="1" applyAlignment="1">
      <alignment horizontal="center" vertical="center"/>
    </xf>
    <xf numFmtId="0" fontId="14" fillId="11" borderId="20" xfId="0" applyFont="1" applyFill="1" applyBorder="1" applyAlignment="1">
      <alignment horizontal="center" vertical="center"/>
    </xf>
    <xf numFmtId="0" fontId="14" fillId="11" borderId="21" xfId="0" applyFont="1" applyFill="1" applyBorder="1" applyAlignment="1">
      <alignment horizontal="center" vertical="center"/>
    </xf>
    <xf numFmtId="0" fontId="14" fillId="12" borderId="16" xfId="0" applyFont="1" applyFill="1" applyBorder="1" applyAlignment="1">
      <alignment horizontal="center" vertical="center"/>
    </xf>
    <xf numFmtId="0" fontId="14" fillId="12" borderId="17" xfId="0" applyFont="1" applyFill="1" applyBorder="1" applyAlignment="1">
      <alignment vertical="center"/>
    </xf>
    <xf numFmtId="0" fontId="14" fillId="12" borderId="18" xfId="0" applyFont="1" applyFill="1" applyBorder="1" applyAlignment="1">
      <alignment vertical="center"/>
    </xf>
    <xf numFmtId="0" fontId="14" fillId="12" borderId="19" xfId="0" applyFont="1" applyFill="1" applyBorder="1" applyAlignment="1">
      <alignment vertical="center"/>
    </xf>
    <xf numFmtId="0" fontId="14" fillId="12" borderId="20" xfId="0" applyFont="1" applyFill="1" applyBorder="1" applyAlignment="1">
      <alignment vertical="center"/>
    </xf>
    <xf numFmtId="0" fontId="14" fillId="12" borderId="21" xfId="0" applyFont="1" applyFill="1" applyBorder="1" applyAlignment="1">
      <alignment vertical="center"/>
    </xf>
    <xf numFmtId="0" fontId="14" fillId="11" borderId="16" xfId="0" applyFont="1" applyFill="1" applyBorder="1" applyAlignment="1">
      <alignment horizontal="center" vertical="center"/>
    </xf>
    <xf numFmtId="166" fontId="14" fillId="11" borderId="18" xfId="0" applyNumberFormat="1" applyFont="1" applyFill="1" applyBorder="1" applyAlignment="1">
      <alignment vertical="center"/>
    </xf>
    <xf numFmtId="166" fontId="14" fillId="11" borderId="19" xfId="0" applyNumberFormat="1" applyFont="1" applyFill="1" applyBorder="1" applyAlignment="1">
      <alignment vertical="center"/>
    </xf>
    <xf numFmtId="166" fontId="14" fillId="11" borderId="20" xfId="0" applyNumberFormat="1" applyFont="1" applyFill="1" applyBorder="1" applyAlignment="1">
      <alignment vertical="center"/>
    </xf>
    <xf numFmtId="166" fontId="14" fillId="11" borderId="21" xfId="0" applyNumberFormat="1" applyFont="1" applyFill="1" applyBorder="1" applyAlignment="1">
      <alignment vertical="center"/>
    </xf>
    <xf numFmtId="166" fontId="14" fillId="12" borderId="18" xfId="0" applyNumberFormat="1" applyFont="1" applyFill="1" applyBorder="1" applyAlignment="1">
      <alignment vertical="center"/>
    </xf>
    <xf numFmtId="166" fontId="14" fillId="12" borderId="19" xfId="0" applyNumberFormat="1" applyFont="1" applyFill="1" applyBorder="1" applyAlignment="1">
      <alignment vertical="center"/>
    </xf>
    <xf numFmtId="166" fontId="14" fillId="12" borderId="20" xfId="0" applyNumberFormat="1" applyFont="1" applyFill="1" applyBorder="1" applyAlignment="1">
      <alignment vertical="center"/>
    </xf>
    <xf numFmtId="166" fontId="14" fillId="12" borderId="21" xfId="0" applyNumberFormat="1" applyFont="1" applyFill="1" applyBorder="1" applyAlignment="1">
      <alignment vertical="center"/>
    </xf>
    <xf numFmtId="166" fontId="14" fillId="12" borderId="22" xfId="0" applyNumberFormat="1" applyFont="1" applyFill="1" applyBorder="1" applyAlignment="1">
      <alignment vertical="center"/>
    </xf>
    <xf numFmtId="166" fontId="14" fillId="11" borderId="16" xfId="0" applyNumberFormat="1" applyFont="1" applyFill="1" applyBorder="1" applyAlignment="1">
      <alignment vertical="center"/>
    </xf>
    <xf numFmtId="166" fontId="14" fillId="12" borderId="19" xfId="0" applyNumberFormat="1" applyFont="1" applyFill="1" applyBorder="1" applyAlignment="1">
      <alignment horizontal="left" vertical="center"/>
    </xf>
    <xf numFmtId="169" fontId="14" fillId="11" borderId="17" xfId="0" applyNumberFormat="1" applyFont="1" applyFill="1" applyBorder="1" applyAlignment="1">
      <alignment horizontal="left" vertical="center" indent="1"/>
    </xf>
    <xf numFmtId="10" fontId="14" fillId="11" borderId="18" xfId="1" applyNumberFormat="1" applyFont="1" applyFill="1" applyBorder="1" applyAlignment="1">
      <alignment vertical="center"/>
    </xf>
    <xf numFmtId="10" fontId="14" fillId="11" borderId="19" xfId="1" applyNumberFormat="1" applyFont="1" applyFill="1" applyBorder="1" applyAlignment="1">
      <alignment vertical="center"/>
    </xf>
    <xf numFmtId="10" fontId="14" fillId="11" borderId="20" xfId="1" applyNumberFormat="1" applyFont="1" applyFill="1" applyBorder="1" applyAlignment="1">
      <alignment vertical="center"/>
    </xf>
    <xf numFmtId="10" fontId="14" fillId="11" borderId="21" xfId="1" applyNumberFormat="1" applyFont="1" applyFill="1" applyBorder="1" applyAlignment="1">
      <alignment vertical="center"/>
    </xf>
    <xf numFmtId="0" fontId="14" fillId="11" borderId="23" xfId="0" applyFont="1" applyFill="1" applyBorder="1" applyAlignment="1">
      <alignment horizontal="center" vertical="center"/>
    </xf>
    <xf numFmtId="0" fontId="14" fillId="11" borderId="24" xfId="0" applyFont="1" applyFill="1" applyBorder="1" applyAlignment="1">
      <alignment vertical="center"/>
    </xf>
    <xf numFmtId="166" fontId="14" fillId="11" borderId="25" xfId="0" applyNumberFormat="1" applyFont="1" applyFill="1" applyBorder="1" applyAlignment="1">
      <alignment vertical="center"/>
    </xf>
    <xf numFmtId="166" fontId="14" fillId="11" borderId="26" xfId="0" applyNumberFormat="1" applyFont="1" applyFill="1" applyBorder="1" applyAlignment="1">
      <alignment vertical="center"/>
    </xf>
    <xf numFmtId="166" fontId="14" fillId="11" borderId="27" xfId="0" applyNumberFormat="1" applyFont="1" applyFill="1" applyBorder="1" applyAlignment="1">
      <alignment vertical="center"/>
    </xf>
    <xf numFmtId="166" fontId="14" fillId="11" borderId="28" xfId="0" applyNumberFormat="1" applyFont="1" applyFill="1" applyBorder="1" applyAlignment="1">
      <alignment vertical="center"/>
    </xf>
    <xf numFmtId="164" fontId="0" fillId="0" borderId="0" xfId="0" applyNumberFormat="1"/>
    <xf numFmtId="0" fontId="14" fillId="0" borderId="0" xfId="0" applyFont="1" applyAlignment="1">
      <alignment vertical="center"/>
    </xf>
    <xf numFmtId="17" fontId="0" fillId="0" borderId="0" xfId="0" applyNumberFormat="1"/>
    <xf numFmtId="0" fontId="19" fillId="13" borderId="0" xfId="0" applyFont="1" applyFill="1" applyAlignment="1">
      <alignment horizontal="right"/>
    </xf>
    <xf numFmtId="0" fontId="19" fillId="13" borderId="0" xfId="0" applyFont="1" applyFill="1"/>
    <xf numFmtId="164" fontId="3" fillId="0" borderId="19" xfId="0" applyNumberFormat="1" applyFont="1" applyBorder="1"/>
    <xf numFmtId="164" fontId="3" fillId="13" borderId="19" xfId="0" applyNumberFormat="1" applyFont="1" applyFill="1" applyBorder="1"/>
    <xf numFmtId="0" fontId="0" fillId="13" borderId="0" xfId="0" applyFill="1"/>
    <xf numFmtId="168" fontId="20" fillId="0" borderId="0" xfId="0" applyNumberFormat="1" applyFont="1"/>
    <xf numFmtId="9" fontId="0" fillId="0" borderId="0" xfId="1" applyFont="1"/>
    <xf numFmtId="0" fontId="16" fillId="0" borderId="29" xfId="0" applyFont="1" applyBorder="1" applyAlignment="1">
      <alignment horizontal="center"/>
    </xf>
    <xf numFmtId="10" fontId="16" fillId="14" borderId="31" xfId="1" applyNumberFormat="1" applyFont="1" applyFill="1" applyBorder="1" applyAlignment="1">
      <alignment horizontal="center"/>
    </xf>
    <xf numFmtId="10" fontId="16" fillId="14" borderId="30" xfId="1" applyNumberFormat="1" applyFont="1" applyFill="1" applyBorder="1" applyAlignment="1">
      <alignment horizontal="center"/>
    </xf>
    <xf numFmtId="164" fontId="0" fillId="0" borderId="0" xfId="0" applyNumberFormat="1" applyAlignment="1">
      <alignment horizontal="center"/>
    </xf>
    <xf numFmtId="0" fontId="9" fillId="5" borderId="0" xfId="0" applyFont="1" applyFill="1" applyAlignment="1">
      <alignment horizontal="left" vertical="top" readingOrder="1"/>
    </xf>
    <xf numFmtId="0" fontId="11" fillId="5" borderId="6" xfId="0" applyFont="1" applyFill="1" applyBorder="1" applyAlignment="1">
      <alignment vertical="top"/>
    </xf>
    <xf numFmtId="164" fontId="11" fillId="5" borderId="6" xfId="0" applyNumberFormat="1" applyFont="1" applyFill="1" applyBorder="1" applyAlignment="1">
      <alignment horizontal="right" vertical="top"/>
    </xf>
    <xf numFmtId="165" fontId="11" fillId="0" borderId="0" xfId="0" applyNumberFormat="1" applyFont="1" applyAlignment="1">
      <alignment horizontal="right"/>
    </xf>
    <xf numFmtId="165" fontId="11" fillId="5" borderId="0" xfId="0" applyNumberFormat="1" applyFont="1" applyFill="1" applyAlignment="1">
      <alignment horizontal="right" vertical="center"/>
    </xf>
    <xf numFmtId="165" fontId="11" fillId="5" borderId="0" xfId="0" applyNumberFormat="1" applyFont="1" applyFill="1" applyAlignment="1">
      <alignment horizontal="right"/>
    </xf>
    <xf numFmtId="165" fontId="9" fillId="0" borderId="0" xfId="0" applyNumberFormat="1" applyFont="1" applyAlignment="1">
      <alignment horizontal="right" vertical="center"/>
    </xf>
    <xf numFmtId="165" fontId="9" fillId="5" borderId="0" xfId="0" applyNumberFormat="1" applyFont="1" applyFill="1" applyAlignment="1">
      <alignment horizontal="right" vertical="center"/>
    </xf>
    <xf numFmtId="165" fontId="9" fillId="5" borderId="7" xfId="0" applyNumberFormat="1" applyFont="1" applyFill="1" applyBorder="1" applyAlignment="1">
      <alignment horizontal="right" vertical="center" wrapText="1" readingOrder="1"/>
    </xf>
    <xf numFmtId="0" fontId="3" fillId="0" borderId="29" xfId="0" applyFont="1" applyBorder="1" applyAlignment="1">
      <alignment horizontal="center"/>
    </xf>
    <xf numFmtId="10" fontId="3" fillId="14" borderId="30" xfId="1" applyNumberFormat="1" applyFont="1" applyFill="1" applyBorder="1" applyAlignment="1">
      <alignment horizontal="center"/>
    </xf>
    <xf numFmtId="0" fontId="5" fillId="4" borderId="2" xfId="0" applyFont="1" applyFill="1" applyBorder="1" applyAlignment="1">
      <alignment horizontal="right" vertical="top" wrapText="1" readingOrder="1"/>
    </xf>
    <xf numFmtId="0" fontId="5" fillId="3" borderId="3" xfId="0" applyFont="1" applyFill="1" applyBorder="1" applyAlignment="1">
      <alignment horizontal="right" vertical="top" wrapText="1" readingOrder="1"/>
    </xf>
    <xf numFmtId="0" fontId="5" fillId="0" borderId="2" xfId="0" applyFont="1" applyBorder="1" applyAlignment="1">
      <alignment horizontal="right" vertical="top" wrapText="1" readingOrder="1"/>
    </xf>
    <xf numFmtId="0" fontId="6" fillId="4" borderId="2" xfId="0" applyFont="1" applyFill="1" applyBorder="1" applyAlignment="1">
      <alignment horizontal="right" vertical="top" wrapText="1" readingOrder="1"/>
    </xf>
    <xf numFmtId="0" fontId="6" fillId="3" borderId="3" xfId="0" applyFont="1" applyFill="1" applyBorder="1" applyAlignment="1">
      <alignment horizontal="right" vertical="top" wrapText="1" readingOrder="1"/>
    </xf>
    <xf numFmtId="0" fontId="7" fillId="3" borderId="3" xfId="0" applyFont="1" applyFill="1" applyBorder="1" applyAlignment="1">
      <alignment horizontal="right" vertical="top" wrapText="1"/>
    </xf>
    <xf numFmtId="0" fontId="6" fillId="0" borderId="2" xfId="0" applyFont="1" applyBorder="1" applyAlignment="1">
      <alignment horizontal="right" vertical="top" wrapText="1" readingOrder="1"/>
    </xf>
    <xf numFmtId="0" fontId="6" fillId="3" borderId="4" xfId="0" applyFont="1" applyFill="1" applyBorder="1" applyAlignment="1">
      <alignment horizontal="right" vertical="top" wrapText="1" readingOrder="1"/>
    </xf>
    <xf numFmtId="0" fontId="5" fillId="4" borderId="1" xfId="0" applyFont="1" applyFill="1" applyBorder="1" applyAlignment="1">
      <alignment horizontal="left" vertical="top" readingOrder="1"/>
    </xf>
    <xf numFmtId="0" fontId="5" fillId="0" borderId="1" xfId="0" applyFont="1" applyBorder="1" applyAlignment="1">
      <alignment horizontal="left" vertical="top" readingOrder="1"/>
    </xf>
    <xf numFmtId="0" fontId="6" fillId="4" borderId="1" xfId="0" applyFont="1" applyFill="1" applyBorder="1" applyAlignment="1">
      <alignment horizontal="left" vertical="top" readingOrder="1"/>
    </xf>
    <xf numFmtId="0" fontId="7" fillId="4" borderId="1" xfId="0" applyFont="1" applyFill="1" applyBorder="1" applyAlignment="1">
      <alignment vertical="top" readingOrder="1"/>
    </xf>
    <xf numFmtId="0" fontId="6" fillId="0" borderId="1" xfId="0" applyFont="1" applyBorder="1" applyAlignment="1">
      <alignment horizontal="left" vertical="top" readingOrder="1"/>
    </xf>
    <xf numFmtId="0" fontId="8" fillId="4" borderId="1" xfId="0" applyFont="1" applyFill="1" applyBorder="1" applyAlignment="1">
      <alignment vertical="top" readingOrder="1"/>
    </xf>
    <xf numFmtId="165" fontId="5" fillId="4" borderId="2" xfId="0" applyNumberFormat="1" applyFont="1" applyFill="1" applyBorder="1" applyAlignment="1">
      <alignment horizontal="right" vertical="top" readingOrder="1"/>
    </xf>
    <xf numFmtId="165" fontId="5" fillId="3" borderId="3" xfId="0" applyNumberFormat="1" applyFont="1" applyFill="1" applyBorder="1" applyAlignment="1">
      <alignment horizontal="right" vertical="top" readingOrder="1"/>
    </xf>
    <xf numFmtId="165" fontId="5" fillId="0" borderId="2" xfId="0" applyNumberFormat="1" applyFont="1" applyBorder="1" applyAlignment="1">
      <alignment horizontal="right" vertical="top" readingOrder="1"/>
    </xf>
    <xf numFmtId="165" fontId="6" fillId="4" borderId="2" xfId="0" applyNumberFormat="1" applyFont="1" applyFill="1" applyBorder="1" applyAlignment="1">
      <alignment horizontal="right" vertical="top" readingOrder="1"/>
    </xf>
    <xf numFmtId="165" fontId="6" fillId="3" borderId="3" xfId="0" applyNumberFormat="1" applyFont="1" applyFill="1" applyBorder="1" applyAlignment="1">
      <alignment horizontal="right" vertical="top" readingOrder="1"/>
    </xf>
    <xf numFmtId="165" fontId="7" fillId="4" borderId="2" xfId="0" applyNumberFormat="1" applyFont="1" applyFill="1" applyBorder="1" applyAlignment="1">
      <alignment horizontal="right" vertical="top" readingOrder="1"/>
    </xf>
    <xf numFmtId="165" fontId="7" fillId="3" borderId="3" xfId="0" applyNumberFormat="1" applyFont="1" applyFill="1" applyBorder="1" applyAlignment="1">
      <alignment horizontal="right" vertical="top" readingOrder="1"/>
    </xf>
    <xf numFmtId="165" fontId="6" fillId="0" borderId="2" xfId="0" applyNumberFormat="1" applyFont="1" applyBorder="1" applyAlignment="1">
      <alignment horizontal="right" vertical="top" readingOrder="1"/>
    </xf>
    <xf numFmtId="165" fontId="6" fillId="3" borderId="4" xfId="0" applyNumberFormat="1" applyFont="1" applyFill="1" applyBorder="1" applyAlignment="1">
      <alignment horizontal="right" vertical="top" readingOrder="1"/>
    </xf>
    <xf numFmtId="164" fontId="9" fillId="5" borderId="0" xfId="0" applyNumberFormat="1" applyFont="1" applyFill="1" applyAlignment="1">
      <alignment horizontal="right" vertical="center" readingOrder="1"/>
    </xf>
    <xf numFmtId="164" fontId="11" fillId="5" borderId="0" xfId="0" applyNumberFormat="1" applyFont="1" applyFill="1" applyAlignment="1">
      <alignment horizontal="right" vertical="center"/>
    </xf>
    <xf numFmtId="0" fontId="7" fillId="0" borderId="1" xfId="0" applyFont="1" applyBorder="1" applyAlignment="1">
      <alignment vertical="top" wrapText="1"/>
    </xf>
    <xf numFmtId="0" fontId="7" fillId="0" borderId="2" xfId="0" applyFont="1" applyBorder="1" applyAlignment="1">
      <alignment horizontal="right" vertical="top" wrapText="1"/>
    </xf>
    <xf numFmtId="0" fontId="8" fillId="0" borderId="1" xfId="0" applyFont="1" applyBorder="1" applyAlignment="1">
      <alignment vertical="top" wrapText="1"/>
    </xf>
    <xf numFmtId="164" fontId="9" fillId="5" borderId="6" xfId="0" applyNumberFormat="1" applyFont="1" applyFill="1" applyBorder="1" applyAlignment="1">
      <alignment horizontal="right" vertical="center" wrapText="1" readingOrder="1"/>
    </xf>
    <xf numFmtId="164" fontId="9" fillId="5" borderId="6" xfId="0" applyNumberFormat="1" applyFont="1" applyFill="1" applyBorder="1" applyAlignment="1">
      <alignment horizontal="right" vertical="center" readingOrder="1"/>
    </xf>
    <xf numFmtId="0" fontId="9" fillId="15" borderId="5" xfId="0" applyFont="1" applyFill="1" applyBorder="1" applyAlignment="1">
      <alignment horizontal="center" vertical="top" readingOrder="1"/>
    </xf>
    <xf numFmtId="164" fontId="11" fillId="0" borderId="0" xfId="0" applyNumberFormat="1" applyFont="1" applyAlignment="1">
      <alignment horizontal="right"/>
    </xf>
    <xf numFmtId="164" fontId="11" fillId="5" borderId="0" xfId="0" applyNumberFormat="1" applyFont="1" applyFill="1" applyAlignment="1">
      <alignment horizontal="right"/>
    </xf>
    <xf numFmtId="164" fontId="9" fillId="0" borderId="0" xfId="0" applyNumberFormat="1" applyFont="1" applyAlignment="1">
      <alignment horizontal="right" vertical="center"/>
    </xf>
    <xf numFmtId="164" fontId="11" fillId="0" borderId="0" xfId="0" applyNumberFormat="1" applyFont="1" applyAlignment="1">
      <alignment horizontal="right" vertical="center"/>
    </xf>
    <xf numFmtId="171" fontId="11" fillId="0" borderId="0" xfId="0" applyNumberFormat="1" applyFont="1" applyAlignment="1">
      <alignment vertical="center"/>
    </xf>
    <xf numFmtId="0" fontId="11" fillId="5" borderId="0" xfId="0" applyFont="1" applyFill="1" applyAlignment="1">
      <alignment vertical="top" wrapText="1"/>
    </xf>
    <xf numFmtId="171" fontId="11" fillId="5" borderId="0" xfId="0" applyNumberFormat="1" applyFont="1" applyFill="1" applyAlignment="1">
      <alignment vertical="center"/>
    </xf>
    <xf numFmtId="166" fontId="14" fillId="11" borderId="32" xfId="0" applyNumberFormat="1" applyFont="1" applyFill="1" applyBorder="1" applyAlignment="1">
      <alignment vertical="center"/>
    </xf>
    <xf numFmtId="166" fontId="0" fillId="0" borderId="0" xfId="0" applyNumberFormat="1"/>
    <xf numFmtId="171" fontId="11" fillId="0" borderId="7" xfId="0" applyNumberFormat="1" applyFont="1" applyBorder="1" applyAlignment="1">
      <alignment vertical="center"/>
    </xf>
    <xf numFmtId="171" fontId="11" fillId="5" borderId="6" xfId="0" applyNumberFormat="1" applyFont="1" applyFill="1" applyBorder="1" applyAlignment="1">
      <alignment vertical="center" wrapText="1" readingOrder="1"/>
    </xf>
    <xf numFmtId="171" fontId="11" fillId="0" borderId="0" xfId="0" applyNumberFormat="1" applyFont="1" applyAlignment="1">
      <alignment vertical="center" wrapText="1" readingOrder="1"/>
    </xf>
    <xf numFmtId="171" fontId="11" fillId="5" borderId="0" xfId="0" applyNumberFormat="1" applyFont="1" applyFill="1" applyAlignment="1">
      <alignment vertical="center" wrapText="1" readingOrder="1"/>
    </xf>
    <xf numFmtId="171" fontId="9" fillId="0" borderId="7" xfId="0" applyNumberFormat="1" applyFont="1" applyBorder="1" applyAlignment="1">
      <alignment vertical="center" wrapText="1" readingOrder="1"/>
    </xf>
    <xf numFmtId="172" fontId="14" fillId="0" borderId="0" xfId="0" applyNumberFormat="1" applyFont="1" applyAlignment="1">
      <alignment vertical="center"/>
    </xf>
    <xf numFmtId="0" fontId="14" fillId="11" borderId="33" xfId="0" applyFont="1" applyFill="1" applyBorder="1" applyAlignment="1">
      <alignment horizontal="center" vertical="center" wrapText="1"/>
    </xf>
    <xf numFmtId="0" fontId="14" fillId="11" borderId="15" xfId="0" applyFont="1" applyFill="1" applyBorder="1" applyAlignment="1">
      <alignment horizontal="center" vertical="center"/>
    </xf>
    <xf numFmtId="0" fontId="14" fillId="11" borderId="32" xfId="0" applyFont="1" applyFill="1" applyBorder="1" applyAlignment="1">
      <alignment horizontal="center" vertical="center"/>
    </xf>
    <xf numFmtId="0" fontId="14" fillId="12" borderId="32" xfId="0" applyFont="1" applyFill="1" applyBorder="1" applyAlignment="1">
      <alignment vertical="center"/>
    </xf>
    <xf numFmtId="166" fontId="14" fillId="12" borderId="32" xfId="0" applyNumberFormat="1" applyFont="1" applyFill="1" applyBorder="1" applyAlignment="1">
      <alignment vertical="center"/>
    </xf>
    <xf numFmtId="0" fontId="18" fillId="11" borderId="0" xfId="0" applyFont="1" applyFill="1" applyAlignment="1">
      <alignment vertical="center"/>
    </xf>
    <xf numFmtId="166" fontId="14" fillId="11" borderId="22" xfId="0" applyNumberFormat="1" applyFont="1" applyFill="1" applyBorder="1" applyAlignment="1">
      <alignment vertical="center"/>
    </xf>
    <xf numFmtId="165" fontId="0" fillId="16" borderId="0" xfId="0" applyNumberFormat="1" applyFill="1"/>
    <xf numFmtId="0" fontId="0" fillId="16" borderId="0" xfId="0" applyFill="1"/>
    <xf numFmtId="173" fontId="0" fillId="0" borderId="0" xfId="0" applyNumberFormat="1"/>
    <xf numFmtId="165" fontId="25" fillId="6" borderId="0" xfId="0" applyNumberFormat="1" applyFont="1" applyFill="1"/>
    <xf numFmtId="165" fontId="3" fillId="16" borderId="0" xfId="0" applyNumberFormat="1" applyFont="1" applyFill="1"/>
    <xf numFmtId="0" fontId="25" fillId="0" borderId="0" xfId="0" applyFont="1"/>
    <xf numFmtId="165" fontId="25" fillId="0" borderId="0" xfId="0" applyNumberFormat="1" applyFont="1"/>
    <xf numFmtId="0" fontId="25" fillId="16" borderId="0" xfId="0" applyFont="1" applyFill="1"/>
    <xf numFmtId="0" fontId="0" fillId="6" borderId="0" xfId="0" applyFill="1"/>
    <xf numFmtId="165" fontId="0" fillId="6" borderId="0" xfId="0" applyNumberFormat="1" applyFill="1"/>
    <xf numFmtId="165" fontId="3" fillId="6" borderId="0" xfId="0" applyNumberFormat="1" applyFont="1" applyFill="1"/>
    <xf numFmtId="166" fontId="14" fillId="6" borderId="18" xfId="0" applyNumberFormat="1" applyFont="1" applyFill="1" applyBorder="1" applyAlignment="1">
      <alignment vertical="center"/>
    </xf>
    <xf numFmtId="166" fontId="14" fillId="6" borderId="19" xfId="0" applyNumberFormat="1" applyFont="1" applyFill="1" applyBorder="1" applyAlignment="1">
      <alignment vertical="center"/>
    </xf>
    <xf numFmtId="166" fontId="14" fillId="6" borderId="20" xfId="0" applyNumberFormat="1" applyFont="1" applyFill="1" applyBorder="1" applyAlignment="1">
      <alignment vertical="center"/>
    </xf>
    <xf numFmtId="166" fontId="24" fillId="6" borderId="0" xfId="0" applyNumberFormat="1" applyFont="1" applyFill="1" applyAlignment="1">
      <alignment vertical="center"/>
    </xf>
    <xf numFmtId="166" fontId="0" fillId="6" borderId="0" xfId="0" applyNumberFormat="1" applyFill="1"/>
    <xf numFmtId="165" fontId="9" fillId="5" borderId="0" xfId="0" applyNumberFormat="1" applyFont="1" applyFill="1" applyAlignment="1">
      <alignment horizontal="right" vertical="center" wrapText="1" readingOrder="1"/>
    </xf>
    <xf numFmtId="0" fontId="9" fillId="0" borderId="0" xfId="0" applyFont="1" applyAlignment="1">
      <alignment horizontal="center" vertical="top" wrapText="1" readingOrder="1"/>
    </xf>
    <xf numFmtId="0" fontId="9" fillId="0" borderId="0" xfId="0" applyFont="1" applyAlignment="1">
      <alignment horizontal="center" vertical="top" readingOrder="1"/>
    </xf>
    <xf numFmtId="164" fontId="11" fillId="0" borderId="0" xfId="0" applyNumberFormat="1" applyFont="1" applyAlignment="1">
      <alignment horizontal="right" vertical="top"/>
    </xf>
    <xf numFmtId="10" fontId="0" fillId="0" borderId="0" xfId="0" applyNumberFormat="1"/>
    <xf numFmtId="0" fontId="3" fillId="0" borderId="0" xfId="0" applyFont="1" applyAlignment="1">
      <alignment horizontal="center"/>
    </xf>
    <xf numFmtId="10" fontId="3" fillId="0" borderId="0" xfId="1" applyNumberFormat="1" applyFont="1" applyFill="1" applyBorder="1" applyAlignment="1">
      <alignment horizontal="center"/>
    </xf>
    <xf numFmtId="174" fontId="0" fillId="0" borderId="0" xfId="0" applyNumberFormat="1"/>
    <xf numFmtId="169" fontId="14" fillId="11" borderId="24" xfId="0" applyNumberFormat="1" applyFont="1" applyFill="1" applyBorder="1" applyAlignment="1">
      <alignment horizontal="left" vertical="center" indent="1"/>
    </xf>
    <xf numFmtId="0" fontId="14" fillId="11" borderId="0" xfId="0" applyFont="1" applyFill="1" applyAlignment="1">
      <alignment horizontal="center" vertical="center"/>
    </xf>
    <xf numFmtId="0" fontId="14" fillId="11" borderId="0" xfId="0" applyFont="1" applyFill="1" applyAlignment="1">
      <alignment vertical="center"/>
    </xf>
    <xf numFmtId="166" fontId="14" fillId="11" borderId="23" xfId="0" applyNumberFormat="1" applyFont="1" applyFill="1" applyBorder="1" applyAlignment="1">
      <alignment vertical="center"/>
    </xf>
    <xf numFmtId="166" fontId="14" fillId="11" borderId="34" xfId="0" applyNumberFormat="1" applyFont="1" applyFill="1" applyBorder="1" applyAlignment="1">
      <alignment vertical="center"/>
    </xf>
    <xf numFmtId="9" fontId="14" fillId="11" borderId="18" xfId="1" applyFont="1" applyFill="1" applyBorder="1" applyAlignment="1">
      <alignment vertical="center"/>
    </xf>
    <xf numFmtId="9" fontId="14" fillId="11" borderId="19" xfId="1" applyFont="1" applyFill="1" applyBorder="1" applyAlignment="1">
      <alignment vertical="center"/>
    </xf>
    <xf numFmtId="9" fontId="14" fillId="11" borderId="20" xfId="1" applyFont="1" applyFill="1" applyBorder="1" applyAlignment="1">
      <alignment vertical="center"/>
    </xf>
    <xf numFmtId="9" fontId="14" fillId="11" borderId="21" xfId="1" applyFont="1" applyFill="1" applyBorder="1" applyAlignment="1">
      <alignment vertical="center"/>
    </xf>
    <xf numFmtId="173" fontId="11" fillId="0" borderId="0" xfId="0" applyNumberFormat="1" applyFont="1" applyAlignment="1">
      <alignment horizontal="right" vertical="top" wrapText="1" readingOrder="1"/>
    </xf>
    <xf numFmtId="173" fontId="0" fillId="16" borderId="0" xfId="0" applyNumberFormat="1" applyFill="1"/>
    <xf numFmtId="173" fontId="0" fillId="17" borderId="0" xfId="0" applyNumberFormat="1" applyFill="1"/>
    <xf numFmtId="165" fontId="0" fillId="17" borderId="0" xfId="0" applyNumberFormat="1" applyFill="1"/>
    <xf numFmtId="0" fontId="0" fillId="0" borderId="0" xfId="0" applyAlignment="1">
      <alignment wrapText="1"/>
    </xf>
    <xf numFmtId="0" fontId="0" fillId="0" borderId="7" xfId="0" applyBorder="1"/>
    <xf numFmtId="0" fontId="0" fillId="0" borderId="7" xfId="0" applyBorder="1" applyAlignment="1">
      <alignment horizontal="center"/>
    </xf>
    <xf numFmtId="1" fontId="0" fillId="0" borderId="0" xfId="0" applyNumberFormat="1"/>
    <xf numFmtId="175" fontId="0" fillId="0" borderId="0" xfId="0" applyNumberFormat="1"/>
    <xf numFmtId="175" fontId="0" fillId="0" borderId="0" xfId="10" applyNumberFormat="1" applyFont="1"/>
    <xf numFmtId="164" fontId="11" fillId="0" borderId="0" xfId="0" applyNumberFormat="1" applyFont="1" applyAlignment="1">
      <alignment horizontal="right" vertical="center" wrapText="1"/>
    </xf>
    <xf numFmtId="0" fontId="8" fillId="0" borderId="0" xfId="0" applyFont="1" applyAlignment="1">
      <alignment vertical="top"/>
    </xf>
    <xf numFmtId="165" fontId="5" fillId="0" borderId="3" xfId="0" applyNumberFormat="1" applyFont="1" applyBorder="1" applyAlignment="1">
      <alignment horizontal="right" vertical="top" wrapText="1" readingOrder="1"/>
    </xf>
    <xf numFmtId="165" fontId="6" fillId="0" borderId="3" xfId="0" applyNumberFormat="1" applyFont="1" applyBorder="1" applyAlignment="1">
      <alignment horizontal="right" vertical="top" wrapText="1" readingOrder="1"/>
    </xf>
    <xf numFmtId="0" fontId="4" fillId="0" borderId="0" xfId="0" applyFont="1" applyAlignment="1">
      <alignment horizontal="left" vertical="top" wrapText="1" readingOrder="1"/>
    </xf>
    <xf numFmtId="0" fontId="4" fillId="0" borderId="0" xfId="0" applyFont="1" applyAlignment="1">
      <alignment horizontal="right" vertical="top" wrapText="1" readingOrder="1"/>
    </xf>
    <xf numFmtId="0" fontId="5" fillId="0" borderId="0" xfId="0" applyFont="1" applyAlignment="1">
      <alignment horizontal="left" vertical="top" readingOrder="1"/>
    </xf>
    <xf numFmtId="165" fontId="5" fillId="0" borderId="0" xfId="0" applyNumberFormat="1" applyFont="1" applyAlignment="1">
      <alignment horizontal="right" vertical="top" readingOrder="1"/>
    </xf>
    <xf numFmtId="0" fontId="6" fillId="0" borderId="0" xfId="0" applyFont="1" applyAlignment="1">
      <alignment horizontal="left" vertical="top" readingOrder="1"/>
    </xf>
    <xf numFmtId="165" fontId="6" fillId="0" borderId="0" xfId="0" applyNumberFormat="1" applyFont="1" applyAlignment="1">
      <alignment horizontal="right" vertical="top" readingOrder="1"/>
    </xf>
    <xf numFmtId="0" fontId="7" fillId="0" borderId="0" xfId="0" applyFont="1" applyAlignment="1">
      <alignment vertical="top" readingOrder="1"/>
    </xf>
    <xf numFmtId="165" fontId="7" fillId="0" borderId="0" xfId="0" applyNumberFormat="1" applyFont="1" applyAlignment="1">
      <alignment horizontal="right" vertical="top" readingOrder="1"/>
    </xf>
    <xf numFmtId="0" fontId="8" fillId="0" borderId="0" xfId="0" applyFont="1" applyAlignment="1">
      <alignment vertical="top" readingOrder="1"/>
    </xf>
    <xf numFmtId="0" fontId="0" fillId="18" borderId="0" xfId="0" applyFill="1"/>
    <xf numFmtId="0" fontId="26" fillId="18" borderId="35" xfId="0" applyFont="1" applyFill="1" applyBorder="1" applyAlignment="1">
      <alignment horizontal="right" vertical="top" wrapText="1" readingOrder="1"/>
    </xf>
    <xf numFmtId="0" fontId="27" fillId="18" borderId="36" xfId="0" applyFont="1" applyFill="1" applyBorder="1" applyAlignment="1">
      <alignment horizontal="left" vertical="top" wrapText="1" readingOrder="1"/>
    </xf>
    <xf numFmtId="165" fontId="27" fillId="18" borderId="36" xfId="0" applyNumberFormat="1" applyFont="1" applyFill="1" applyBorder="1" applyAlignment="1">
      <alignment horizontal="right" vertical="top" wrapText="1" readingOrder="1"/>
    </xf>
    <xf numFmtId="0" fontId="27" fillId="18" borderId="37" xfId="0" applyFont="1" applyFill="1" applyBorder="1" applyAlignment="1">
      <alignment horizontal="left" vertical="top" wrapText="1" readingOrder="1"/>
    </xf>
    <xf numFmtId="165" fontId="27" fillId="18" borderId="37" xfId="0" applyNumberFormat="1" applyFont="1" applyFill="1" applyBorder="1" applyAlignment="1">
      <alignment horizontal="right" vertical="top" wrapText="1" readingOrder="1"/>
    </xf>
    <xf numFmtId="0" fontId="26" fillId="18" borderId="37" xfId="0" applyFont="1" applyFill="1" applyBorder="1" applyAlignment="1">
      <alignment horizontal="left" vertical="top" wrapText="1" readingOrder="1"/>
    </xf>
    <xf numFmtId="165" fontId="26" fillId="18" borderId="37" xfId="0" applyNumberFormat="1" applyFont="1" applyFill="1" applyBorder="1" applyAlignment="1">
      <alignment horizontal="right" vertical="top" wrapText="1" readingOrder="1"/>
    </xf>
    <xf numFmtId="0" fontId="28" fillId="18" borderId="37" xfId="0" applyFont="1" applyFill="1" applyBorder="1" applyAlignment="1">
      <alignment vertical="top" wrapText="1"/>
    </xf>
    <xf numFmtId="165" fontId="28" fillId="18" borderId="37" xfId="0" applyNumberFormat="1" applyFont="1" applyFill="1" applyBorder="1" applyAlignment="1">
      <alignment horizontal="right" vertical="top" wrapText="1"/>
    </xf>
    <xf numFmtId="0" fontId="29" fillId="18" borderId="37" xfId="0" applyFont="1" applyFill="1" applyBorder="1" applyAlignment="1">
      <alignment vertical="top" wrapText="1"/>
    </xf>
    <xf numFmtId="165" fontId="30" fillId="18" borderId="37" xfId="0" applyNumberFormat="1" applyFont="1" applyFill="1" applyBorder="1" applyAlignment="1">
      <alignment horizontal="right" vertical="top" wrapText="1"/>
    </xf>
    <xf numFmtId="0" fontId="31" fillId="18" borderId="38" xfId="0" applyFont="1" applyFill="1" applyBorder="1" applyAlignment="1">
      <alignment horizontal="left" vertical="top" readingOrder="1"/>
    </xf>
    <xf numFmtId="0" fontId="31" fillId="18" borderId="38" xfId="0" applyFont="1" applyFill="1" applyBorder="1" applyAlignment="1">
      <alignment horizontal="center" vertical="top" readingOrder="1"/>
    </xf>
    <xf numFmtId="0" fontId="32" fillId="18" borderId="0" xfId="0" applyFont="1" applyFill="1" applyAlignment="1">
      <alignment horizontal="left" vertical="top" readingOrder="1"/>
    </xf>
    <xf numFmtId="164" fontId="32" fillId="18" borderId="0" xfId="0" applyNumberFormat="1" applyFont="1" applyFill="1" applyAlignment="1">
      <alignment horizontal="right" vertical="center" readingOrder="1"/>
    </xf>
    <xf numFmtId="0" fontId="31" fillId="18" borderId="0" xfId="0" applyFont="1" applyFill="1" applyAlignment="1">
      <alignment horizontal="left" vertical="top" readingOrder="1"/>
    </xf>
    <xf numFmtId="164" fontId="31" fillId="18" borderId="0" xfId="0" applyNumberFormat="1" applyFont="1" applyFill="1" applyAlignment="1">
      <alignment horizontal="right" vertical="center" readingOrder="1"/>
    </xf>
    <xf numFmtId="0" fontId="31" fillId="18" borderId="35" xfId="0" applyFont="1" applyFill="1" applyBorder="1" applyAlignment="1">
      <alignment horizontal="left" vertical="top" readingOrder="1"/>
    </xf>
    <xf numFmtId="164" fontId="31" fillId="18" borderId="35" xfId="0" applyNumberFormat="1" applyFont="1" applyFill="1" applyBorder="1" applyAlignment="1">
      <alignment horizontal="right" vertical="center" readingOrder="1"/>
    </xf>
    <xf numFmtId="164" fontId="31" fillId="18" borderId="35" xfId="0" applyNumberFormat="1" applyFont="1" applyFill="1" applyBorder="1" applyAlignment="1">
      <alignment horizontal="right" readingOrder="1"/>
    </xf>
    <xf numFmtId="0" fontId="33" fillId="18" borderId="35" xfId="0" applyFont="1" applyFill="1" applyBorder="1" applyAlignment="1">
      <alignment horizontal="left" vertical="top" readingOrder="1"/>
    </xf>
    <xf numFmtId="164" fontId="33" fillId="18" borderId="35" xfId="0" applyNumberFormat="1" applyFont="1" applyFill="1" applyBorder="1" applyAlignment="1">
      <alignment horizontal="right" vertical="center" readingOrder="1"/>
    </xf>
    <xf numFmtId="165" fontId="27" fillId="18" borderId="36" xfId="0" quotePrefix="1" applyNumberFormat="1" applyFont="1" applyFill="1" applyBorder="1" applyAlignment="1">
      <alignment horizontal="right" vertical="top" wrapText="1" readingOrder="1"/>
    </xf>
    <xf numFmtId="165" fontId="27" fillId="18" borderId="37" xfId="0" quotePrefix="1" applyNumberFormat="1" applyFont="1" applyFill="1" applyBorder="1" applyAlignment="1">
      <alignment horizontal="right" vertical="top" wrapText="1" readingOrder="1"/>
    </xf>
    <xf numFmtId="164" fontId="27" fillId="18" borderId="37" xfId="0" quotePrefix="1" applyNumberFormat="1" applyFont="1" applyFill="1" applyBorder="1" applyAlignment="1">
      <alignment horizontal="right" vertical="top" wrapText="1" readingOrder="1"/>
    </xf>
    <xf numFmtId="0" fontId="34" fillId="18" borderId="39" xfId="0" applyFont="1" applyFill="1" applyBorder="1" applyAlignment="1">
      <alignment horizontal="right" vertical="top" wrapText="1" readingOrder="1"/>
    </xf>
    <xf numFmtId="0" fontId="27" fillId="18" borderId="40" xfId="0" applyFont="1" applyFill="1" applyBorder="1" applyAlignment="1">
      <alignment horizontal="left" vertical="top" wrapText="1" readingOrder="1"/>
    </xf>
    <xf numFmtId="165" fontId="27" fillId="18" borderId="40" xfId="0" applyNumberFormat="1" applyFont="1" applyFill="1" applyBorder="1" applyAlignment="1">
      <alignment horizontal="right" vertical="top" wrapText="1" readingOrder="1"/>
    </xf>
    <xf numFmtId="0" fontId="27" fillId="18" borderId="41" xfId="0" applyFont="1" applyFill="1" applyBorder="1" applyAlignment="1">
      <alignment horizontal="left" vertical="top" wrapText="1" readingOrder="1"/>
    </xf>
    <xf numFmtId="165" fontId="27" fillId="18" borderId="41" xfId="0" applyNumberFormat="1" applyFont="1" applyFill="1" applyBorder="1" applyAlignment="1">
      <alignment horizontal="right" vertical="top" wrapText="1" readingOrder="1"/>
    </xf>
    <xf numFmtId="0" fontId="34" fillId="18" borderId="41" xfId="0" applyFont="1" applyFill="1" applyBorder="1" applyAlignment="1">
      <alignment horizontal="left" vertical="top" wrapText="1" readingOrder="1"/>
    </xf>
    <xf numFmtId="165" fontId="34" fillId="18" borderId="41" xfId="0" applyNumberFormat="1" applyFont="1" applyFill="1" applyBorder="1" applyAlignment="1">
      <alignment horizontal="right" vertical="top" wrapText="1" readingOrder="1"/>
    </xf>
    <xf numFmtId="0" fontId="28" fillId="18" borderId="41" xfId="0" applyFont="1" applyFill="1" applyBorder="1" applyAlignment="1">
      <alignment vertical="top" wrapText="1"/>
    </xf>
    <xf numFmtId="165" fontId="28" fillId="18" borderId="41" xfId="0" applyNumberFormat="1" applyFont="1" applyFill="1" applyBorder="1" applyAlignment="1">
      <alignment horizontal="right" vertical="top" wrapText="1"/>
    </xf>
    <xf numFmtId="0" fontId="35" fillId="18" borderId="41" xfId="0" applyFont="1" applyFill="1" applyBorder="1" applyAlignment="1">
      <alignment vertical="top" wrapText="1"/>
    </xf>
    <xf numFmtId="165" fontId="36" fillId="18" borderId="41" xfId="0" applyNumberFormat="1" applyFont="1" applyFill="1" applyBorder="1" applyAlignment="1">
      <alignment horizontal="right" vertical="top" wrapText="1"/>
    </xf>
    <xf numFmtId="0" fontId="37" fillId="18" borderId="0" xfId="0" applyFont="1" applyFill="1" applyAlignment="1">
      <alignment horizontal="left" vertical="top" wrapText="1" readingOrder="1"/>
    </xf>
    <xf numFmtId="165" fontId="37" fillId="18" borderId="0" xfId="0" applyNumberFormat="1" applyFont="1" applyFill="1" applyAlignment="1">
      <alignment horizontal="right" vertical="top" wrapText="1" readingOrder="1"/>
    </xf>
    <xf numFmtId="0" fontId="34" fillId="18" borderId="42" xfId="0" applyFont="1" applyFill="1" applyBorder="1" applyAlignment="1">
      <alignment horizontal="left" vertical="top" wrapText="1" readingOrder="1"/>
    </xf>
    <xf numFmtId="165" fontId="34" fillId="18" borderId="42" xfId="0" applyNumberFormat="1" applyFont="1" applyFill="1" applyBorder="1" applyAlignment="1">
      <alignment horizontal="right" vertical="top" wrapText="1" readingOrder="1"/>
    </xf>
    <xf numFmtId="0" fontId="38" fillId="18" borderId="42" xfId="0" applyFont="1" applyFill="1" applyBorder="1" applyAlignment="1">
      <alignment horizontal="center" vertical="top" readingOrder="1"/>
    </xf>
    <xf numFmtId="164" fontId="38" fillId="18" borderId="0" xfId="0" applyNumberFormat="1" applyFont="1" applyFill="1" applyAlignment="1">
      <alignment horizontal="right" readingOrder="1"/>
    </xf>
    <xf numFmtId="0" fontId="38" fillId="18" borderId="0" xfId="0" applyFont="1" applyFill="1" applyAlignment="1">
      <alignment horizontal="left" vertical="top" readingOrder="1"/>
    </xf>
    <xf numFmtId="164" fontId="38" fillId="18" borderId="0" xfId="0" applyNumberFormat="1" applyFont="1" applyFill="1" applyAlignment="1">
      <alignment horizontal="right" vertical="center" readingOrder="1"/>
    </xf>
    <xf numFmtId="0" fontId="38" fillId="18" borderId="39" xfId="0" applyFont="1" applyFill="1" applyBorder="1" applyAlignment="1">
      <alignment horizontal="left" vertical="top" readingOrder="1"/>
    </xf>
    <xf numFmtId="164" fontId="38" fillId="18" borderId="39" xfId="0" applyNumberFormat="1" applyFont="1" applyFill="1" applyBorder="1" applyAlignment="1">
      <alignment horizontal="right" vertical="center" readingOrder="1"/>
    </xf>
    <xf numFmtId="164" fontId="38" fillId="18" borderId="39" xfId="0" applyNumberFormat="1" applyFont="1" applyFill="1" applyBorder="1" applyAlignment="1">
      <alignment horizontal="right" readingOrder="1"/>
    </xf>
    <xf numFmtId="0" fontId="32" fillId="18" borderId="39" xfId="0" applyFont="1" applyFill="1" applyBorder="1" applyAlignment="1">
      <alignment horizontal="left" vertical="top" readingOrder="1"/>
    </xf>
    <xf numFmtId="164" fontId="32" fillId="18" borderId="39" xfId="0" applyNumberFormat="1" applyFont="1" applyFill="1" applyBorder="1" applyAlignment="1">
      <alignment horizontal="right" vertical="center" readingOrder="1"/>
    </xf>
    <xf numFmtId="164" fontId="39" fillId="18" borderId="0" xfId="0" applyNumberFormat="1" applyFont="1" applyFill="1" applyAlignment="1">
      <alignment horizontal="right" vertical="center" readingOrder="1"/>
    </xf>
    <xf numFmtId="0" fontId="10" fillId="18" borderId="6" xfId="0" applyFont="1" applyFill="1" applyBorder="1" applyAlignment="1">
      <alignment vertical="top"/>
    </xf>
    <xf numFmtId="164" fontId="10" fillId="18" borderId="6" xfId="0" applyNumberFormat="1" applyFont="1" applyFill="1" applyBorder="1" applyAlignment="1">
      <alignment horizontal="center" vertical="top"/>
    </xf>
    <xf numFmtId="0" fontId="11" fillId="18" borderId="0" xfId="0" applyFont="1" applyFill="1" applyAlignment="1">
      <alignment horizontal="left" vertical="top" readingOrder="1"/>
    </xf>
    <xf numFmtId="164" fontId="11" fillId="18" borderId="0" xfId="0" applyNumberFormat="1" applyFont="1" applyFill="1" applyAlignment="1">
      <alignment horizontal="right" vertical="center"/>
    </xf>
    <xf numFmtId="0" fontId="31" fillId="0" borderId="0" xfId="0" applyFont="1" applyAlignment="1">
      <alignment horizontal="center" vertical="top" readingOrder="1"/>
    </xf>
    <xf numFmtId="164" fontId="32" fillId="0" borderId="0" xfId="0" applyNumberFormat="1" applyFont="1" applyAlignment="1">
      <alignment horizontal="right" vertical="center" readingOrder="1"/>
    </xf>
    <xf numFmtId="164" fontId="31" fillId="0" borderId="0" xfId="0" applyNumberFormat="1" applyFont="1" applyAlignment="1">
      <alignment horizontal="right" readingOrder="1"/>
    </xf>
    <xf numFmtId="164" fontId="39" fillId="0" borderId="0" xfId="0" applyNumberFormat="1" applyFont="1" applyAlignment="1">
      <alignment horizontal="right" vertical="center" readingOrder="1"/>
    </xf>
    <xf numFmtId="0" fontId="38" fillId="18" borderId="39" xfId="0" applyFont="1" applyFill="1" applyBorder="1" applyAlignment="1">
      <alignment horizontal="center" vertical="top" readingOrder="1"/>
    </xf>
    <xf numFmtId="0" fontId="33" fillId="18" borderId="39" xfId="0" applyFont="1" applyFill="1" applyBorder="1" applyAlignment="1">
      <alignment horizontal="left" vertical="top" readingOrder="1"/>
    </xf>
    <xf numFmtId="164" fontId="33" fillId="18" borderId="39" xfId="0" applyNumberFormat="1" applyFont="1" applyFill="1" applyBorder="1" applyAlignment="1">
      <alignment horizontal="right" vertical="center" readingOrder="1"/>
    </xf>
    <xf numFmtId="164" fontId="38" fillId="0" borderId="0" xfId="0" applyNumberFormat="1" applyFont="1" applyAlignment="1">
      <alignment horizontal="right" readingOrder="1"/>
    </xf>
    <xf numFmtId="0" fontId="38" fillId="0" borderId="0" xfId="0" applyFont="1" applyAlignment="1">
      <alignment horizontal="center" vertical="top" readingOrder="1"/>
    </xf>
    <xf numFmtId="0" fontId="32" fillId="0" borderId="0" xfId="0" applyFont="1" applyAlignment="1">
      <alignment horizontal="left" vertical="top" readingOrder="1"/>
    </xf>
    <xf numFmtId="165" fontId="9" fillId="0" borderId="0" xfId="0" applyNumberFormat="1" applyFont="1" applyAlignment="1">
      <alignment horizontal="right" vertical="center" wrapText="1" readingOrder="1"/>
    </xf>
    <xf numFmtId="164" fontId="31" fillId="18" borderId="0" xfId="0" applyNumberFormat="1" applyFont="1" applyFill="1" applyAlignment="1">
      <alignment horizontal="right" readingOrder="1"/>
    </xf>
    <xf numFmtId="164" fontId="40" fillId="18" borderId="35" xfId="0" applyNumberFormat="1" applyFont="1" applyFill="1" applyBorder="1" applyAlignment="1">
      <alignment horizontal="left" vertical="center" readingOrder="1"/>
    </xf>
    <xf numFmtId="0" fontId="40" fillId="18" borderId="0" xfId="0" applyFont="1" applyFill="1" applyAlignment="1">
      <alignment horizontal="left" vertical="top" readingOrder="1"/>
    </xf>
    <xf numFmtId="0" fontId="0" fillId="0" borderId="35" xfId="0" applyBorder="1"/>
    <xf numFmtId="0" fontId="31" fillId="18" borderId="0" xfId="0" applyFont="1" applyFill="1" applyAlignment="1">
      <alignment horizontal="center" vertical="top" readingOrder="1"/>
    </xf>
    <xf numFmtId="0" fontId="31" fillId="18" borderId="35" xfId="0" applyFont="1" applyFill="1" applyBorder="1" applyAlignment="1">
      <alignment horizontal="center" vertical="top" readingOrder="1"/>
    </xf>
    <xf numFmtId="0" fontId="32" fillId="18" borderId="0" xfId="0" applyFont="1" applyFill="1" applyAlignment="1">
      <alignment horizontal="center" vertical="top" readingOrder="1"/>
    </xf>
    <xf numFmtId="0" fontId="32" fillId="0" borderId="35" xfId="0" applyFont="1" applyBorder="1" applyAlignment="1">
      <alignment horizontal="center" vertical="top" readingOrder="1"/>
    </xf>
    <xf numFmtId="0" fontId="32" fillId="0" borderId="35" xfId="0" applyFont="1" applyBorder="1" applyAlignment="1">
      <alignment horizontal="left" vertical="top" readingOrder="1"/>
    </xf>
    <xf numFmtId="177" fontId="0" fillId="0" borderId="0" xfId="0" applyNumberFormat="1"/>
    <xf numFmtId="176" fontId="31" fillId="18" borderId="0" xfId="0" applyNumberFormat="1" applyFont="1" applyFill="1" applyAlignment="1">
      <alignment horizontal="right" vertical="top" readingOrder="1"/>
    </xf>
    <xf numFmtId="1" fontId="32" fillId="18" borderId="0" xfId="0" applyNumberFormat="1" applyFont="1" applyFill="1" applyAlignment="1">
      <alignment horizontal="right" vertical="top" readingOrder="1"/>
    </xf>
    <xf numFmtId="1" fontId="31" fillId="18" borderId="0" xfId="0" applyNumberFormat="1" applyFont="1" applyFill="1" applyAlignment="1">
      <alignment horizontal="right" vertical="top" readingOrder="1"/>
    </xf>
    <xf numFmtId="1" fontId="39" fillId="18" borderId="0" xfId="0" applyNumberFormat="1" applyFont="1" applyFill="1" applyAlignment="1">
      <alignment horizontal="right" vertical="top" readingOrder="1"/>
    </xf>
    <xf numFmtId="0" fontId="0" fillId="0" borderId="39" xfId="0" applyBorder="1"/>
    <xf numFmtId="0" fontId="32" fillId="0" borderId="39" xfId="0" applyFont="1" applyBorder="1" applyAlignment="1">
      <alignment horizontal="center" vertical="top" readingOrder="1"/>
    </xf>
    <xf numFmtId="0" fontId="32" fillId="0" borderId="39" xfId="0" applyFont="1" applyBorder="1" applyAlignment="1">
      <alignment horizontal="left" vertical="top" readingOrder="1"/>
    </xf>
    <xf numFmtId="164" fontId="9" fillId="0" borderId="0" xfId="0" applyNumberFormat="1" applyFont="1" applyAlignment="1">
      <alignment horizontal="left" vertical="center" wrapText="1" readingOrder="1"/>
    </xf>
    <xf numFmtId="164" fontId="40" fillId="18" borderId="0" xfId="0" applyNumberFormat="1" applyFont="1" applyFill="1" applyAlignment="1">
      <alignment horizontal="right" readingOrder="1"/>
    </xf>
    <xf numFmtId="164" fontId="39" fillId="18" borderId="39" xfId="0" applyNumberFormat="1" applyFont="1" applyFill="1" applyBorder="1" applyAlignment="1">
      <alignment horizontal="right" vertical="center" readingOrder="1"/>
    </xf>
    <xf numFmtId="3" fontId="0" fillId="18" borderId="0" xfId="0" applyNumberFormat="1" applyFill="1"/>
    <xf numFmtId="0" fontId="38" fillId="18" borderId="42" xfId="0" applyFont="1" applyFill="1" applyBorder="1" applyAlignment="1">
      <alignment horizontal="left" vertical="top" readingOrder="1"/>
    </xf>
    <xf numFmtId="0" fontId="34" fillId="18" borderId="0" xfId="0" applyFont="1" applyFill="1" applyAlignment="1">
      <alignment horizontal="right" vertical="top" wrapText="1" readingOrder="1"/>
    </xf>
    <xf numFmtId="165" fontId="27" fillId="18" borderId="40" xfId="0" quotePrefix="1" applyNumberFormat="1" applyFont="1" applyFill="1" applyBorder="1" applyAlignment="1">
      <alignment horizontal="right" vertical="top" wrapText="1" readingOrder="1"/>
    </xf>
    <xf numFmtId="165" fontId="27" fillId="18" borderId="41" xfId="0" quotePrefix="1" applyNumberFormat="1" applyFont="1" applyFill="1" applyBorder="1" applyAlignment="1">
      <alignment horizontal="right" vertical="top" wrapText="1" readingOrder="1"/>
    </xf>
    <xf numFmtId="164" fontId="27" fillId="18" borderId="41" xfId="0" quotePrefix="1" applyNumberFormat="1" applyFont="1" applyFill="1" applyBorder="1" applyAlignment="1">
      <alignment horizontal="right" vertical="top" wrapText="1" readingOrder="1"/>
    </xf>
    <xf numFmtId="0" fontId="11" fillId="0" borderId="0" xfId="0" applyFont="1" applyAlignment="1">
      <alignment horizontal="right" vertical="center" wrapText="1" readingOrder="1"/>
    </xf>
    <xf numFmtId="0" fontId="9" fillId="0" borderId="0" xfId="0" applyFont="1" applyAlignment="1">
      <alignment horizontal="right" vertical="center" wrapText="1" readingOrder="1"/>
    </xf>
    <xf numFmtId="0" fontId="11" fillId="5" borderId="0" xfId="0" applyFont="1" applyFill="1" applyAlignment="1">
      <alignment horizontal="right" vertical="center" wrapText="1" readingOrder="1"/>
    </xf>
    <xf numFmtId="0" fontId="9" fillId="5" borderId="0" xfId="0" applyFont="1" applyFill="1" applyAlignment="1">
      <alignment horizontal="right" vertical="center" wrapText="1" readingOrder="1"/>
    </xf>
    <xf numFmtId="3" fontId="9" fillId="0" borderId="0" xfId="0" applyNumberFormat="1" applyFont="1" applyAlignment="1">
      <alignment horizontal="right" vertical="center" wrapText="1" readingOrder="1"/>
    </xf>
    <xf numFmtId="3" fontId="9" fillId="5" borderId="0" xfId="0" applyNumberFormat="1" applyFont="1" applyFill="1" applyAlignment="1">
      <alignment horizontal="right" vertical="center" wrapText="1" readingOrder="1"/>
    </xf>
    <xf numFmtId="0" fontId="9" fillId="0" borderId="0" xfId="0" applyFont="1" applyAlignment="1">
      <alignment horizontal="right" vertical="center" wrapText="1"/>
    </xf>
    <xf numFmtId="0" fontId="9" fillId="5" borderId="7" xfId="0" applyFont="1" applyFill="1" applyBorder="1" applyAlignment="1">
      <alignment horizontal="right" vertical="center" wrapText="1" readingOrder="1"/>
    </xf>
    <xf numFmtId="3" fontId="9" fillId="5" borderId="7" xfId="0" applyNumberFormat="1" applyFont="1" applyFill="1" applyBorder="1" applyAlignment="1">
      <alignment horizontal="right" vertical="center" wrapText="1" readingOrder="1"/>
    </xf>
    <xf numFmtId="0" fontId="10" fillId="5" borderId="6" xfId="0" applyFont="1" applyFill="1" applyBorder="1" applyAlignment="1">
      <alignment horizontal="center" vertical="top" wrapText="1"/>
    </xf>
    <xf numFmtId="0" fontId="0" fillId="0" borderId="0" xfId="0" applyAlignment="1">
      <alignment horizontal="center"/>
    </xf>
    <xf numFmtId="170" fontId="0" fillId="0" borderId="0" xfId="0" applyNumberFormat="1" applyAlignment="1">
      <alignment horizontal="center"/>
    </xf>
    <xf numFmtId="170" fontId="0" fillId="0" borderId="0" xfId="0" applyNumberFormat="1"/>
    <xf numFmtId="178" fontId="0" fillId="0" borderId="0" xfId="0" applyNumberFormat="1"/>
    <xf numFmtId="179" fontId="0" fillId="0" borderId="0" xfId="0" applyNumberFormat="1"/>
    <xf numFmtId="180" fontId="0" fillId="0" borderId="0" xfId="0" applyNumberFormat="1"/>
    <xf numFmtId="181" fontId="0" fillId="0" borderId="0" xfId="0" applyNumberFormat="1"/>
    <xf numFmtId="0" fontId="58" fillId="0" borderId="0" xfId="0" applyFont="1"/>
    <xf numFmtId="164" fontId="59" fillId="0" borderId="0" xfId="0" applyNumberFormat="1" applyFont="1" applyAlignment="1">
      <alignment horizontal="right" vertical="center" wrapText="1"/>
    </xf>
    <xf numFmtId="182" fontId="0" fillId="0" borderId="0" xfId="0" applyNumberFormat="1"/>
    <xf numFmtId="0" fontId="60" fillId="18" borderId="0" xfId="0" applyFont="1" applyFill="1" applyAlignment="1">
      <alignment horizontal="left" vertical="top" wrapText="1" readingOrder="1"/>
    </xf>
    <xf numFmtId="0" fontId="60" fillId="18" borderId="39" xfId="0" applyFont="1" applyFill="1" applyBorder="1" applyAlignment="1">
      <alignment horizontal="left" vertical="top" wrapText="1" readingOrder="1"/>
    </xf>
    <xf numFmtId="0" fontId="61" fillId="18" borderId="35" xfId="0" applyFont="1" applyFill="1" applyBorder="1" applyAlignment="1">
      <alignment horizontal="left" vertical="top" wrapText="1" readingOrder="1"/>
    </xf>
    <xf numFmtId="0" fontId="62" fillId="18" borderId="35" xfId="0" applyFont="1" applyFill="1" applyBorder="1" applyAlignment="1">
      <alignment horizontal="left" vertical="top" wrapText="1" readingOrder="1"/>
    </xf>
    <xf numFmtId="0" fontId="27" fillId="18" borderId="0" xfId="0" applyFont="1" applyFill="1" applyAlignment="1">
      <alignment horizontal="left" vertical="top" wrapText="1" readingOrder="1"/>
    </xf>
    <xf numFmtId="165" fontId="27" fillId="18" borderId="0" xfId="0" applyNumberFormat="1" applyFont="1" applyFill="1" applyAlignment="1">
      <alignment horizontal="right" vertical="top" wrapText="1" readingOrder="1"/>
    </xf>
    <xf numFmtId="0" fontId="63" fillId="18" borderId="39" xfId="0" applyFont="1" applyFill="1" applyBorder="1" applyAlignment="1">
      <alignment horizontal="left" vertical="top" readingOrder="1"/>
    </xf>
    <xf numFmtId="0" fontId="1" fillId="0" borderId="0" xfId="72"/>
    <xf numFmtId="0" fontId="64" fillId="0" borderId="0" xfId="72" applyFont="1" applyAlignment="1">
      <alignment horizontal="left" vertical="center" readingOrder="1"/>
    </xf>
    <xf numFmtId="0" fontId="65" fillId="0" borderId="0" xfId="72" applyFont="1" applyAlignment="1">
      <alignment horizontal="left" vertical="center" readingOrder="1"/>
    </xf>
    <xf numFmtId="0" fontId="66" fillId="0" borderId="0" xfId="72" applyFont="1"/>
    <xf numFmtId="0" fontId="68" fillId="0" borderId="52" xfId="72" applyFont="1" applyBorder="1" applyAlignment="1">
      <alignment horizontal="center" vertical="center" readingOrder="1"/>
    </xf>
    <xf numFmtId="10" fontId="69" fillId="0" borderId="53" xfId="72" applyNumberFormat="1" applyFont="1" applyBorder="1" applyAlignment="1">
      <alignment horizontal="center"/>
    </xf>
    <xf numFmtId="0" fontId="68" fillId="0" borderId="54" xfId="72" applyFont="1" applyBorder="1" applyAlignment="1">
      <alignment horizontal="center" vertical="center" readingOrder="1"/>
    </xf>
    <xf numFmtId="0" fontId="70" fillId="0" borderId="0" xfId="72" applyFont="1"/>
    <xf numFmtId="0" fontId="71" fillId="0" borderId="0" xfId="72" applyFont="1"/>
    <xf numFmtId="0" fontId="72" fillId="0" borderId="0" xfId="72" applyFont="1"/>
    <xf numFmtId="0" fontId="12" fillId="0" borderId="0" xfId="73"/>
    <xf numFmtId="0" fontId="3" fillId="0" borderId="0" xfId="73" applyFont="1"/>
    <xf numFmtId="0" fontId="4" fillId="0" borderId="0" xfId="73" applyFont="1" applyAlignment="1">
      <alignment horizontal="left" vertical="top" wrapText="1" readingOrder="1"/>
    </xf>
    <xf numFmtId="0" fontId="4" fillId="0" borderId="0" xfId="73" applyFont="1" applyAlignment="1">
      <alignment horizontal="right" vertical="top" wrapText="1" readingOrder="1"/>
    </xf>
    <xf numFmtId="0" fontId="5" fillId="0" borderId="0" xfId="73" applyFont="1" applyAlignment="1">
      <alignment horizontal="left" vertical="top" readingOrder="1"/>
    </xf>
    <xf numFmtId="165" fontId="5" fillId="0" borderId="0" xfId="73" applyNumberFormat="1" applyFont="1" applyAlignment="1">
      <alignment horizontal="right" vertical="top" readingOrder="1"/>
    </xf>
    <xf numFmtId="165" fontId="12" fillId="0" borderId="0" xfId="73" applyNumberFormat="1"/>
    <xf numFmtId="0" fontId="6" fillId="0" borderId="0" xfId="73" applyFont="1" applyAlignment="1">
      <alignment horizontal="left" vertical="top" readingOrder="1"/>
    </xf>
    <xf numFmtId="165" fontId="6" fillId="0" borderId="0" xfId="73" applyNumberFormat="1" applyFont="1" applyAlignment="1">
      <alignment horizontal="right" vertical="top" readingOrder="1"/>
    </xf>
    <xf numFmtId="0" fontId="7" fillId="0" borderId="0" xfId="73" applyFont="1" applyAlignment="1">
      <alignment vertical="top" readingOrder="1"/>
    </xf>
    <xf numFmtId="165" fontId="7" fillId="0" borderId="0" xfId="73" applyNumberFormat="1" applyFont="1" applyAlignment="1">
      <alignment horizontal="right" vertical="top" readingOrder="1"/>
    </xf>
    <xf numFmtId="0" fontId="8" fillId="0" borderId="0" xfId="73" applyFont="1" applyAlignment="1">
      <alignment vertical="top" readingOrder="1"/>
    </xf>
    <xf numFmtId="164" fontId="12" fillId="0" borderId="0" xfId="73" applyNumberFormat="1"/>
    <xf numFmtId="1" fontId="12" fillId="0" borderId="0" xfId="73" applyNumberFormat="1"/>
    <xf numFmtId="0" fontId="12" fillId="18" borderId="0" xfId="73" applyFill="1"/>
    <xf numFmtId="0" fontId="3" fillId="0" borderId="0" xfId="73" applyFont="1" applyAlignment="1">
      <alignment horizontal="center"/>
    </xf>
    <xf numFmtId="10" fontId="3" fillId="0" borderId="0" xfId="74" applyNumberFormat="1" applyFont="1" applyFill="1" applyBorder="1" applyAlignment="1">
      <alignment horizontal="center"/>
    </xf>
    <xf numFmtId="0" fontId="9" fillId="0" borderId="0" xfId="73" applyFont="1" applyAlignment="1">
      <alignment horizontal="center" vertical="top" wrapText="1" readingOrder="1"/>
    </xf>
    <xf numFmtId="164" fontId="11" fillId="0" borderId="0" xfId="73" applyNumberFormat="1" applyFont="1" applyAlignment="1">
      <alignment horizontal="right" vertical="center" wrapText="1" readingOrder="1"/>
    </xf>
    <xf numFmtId="164" fontId="9" fillId="0" borderId="0" xfId="73" applyNumberFormat="1" applyFont="1" applyAlignment="1">
      <alignment horizontal="right" vertical="center" wrapText="1" readingOrder="1"/>
    </xf>
    <xf numFmtId="10" fontId="12" fillId="0" borderId="0" xfId="73" applyNumberFormat="1"/>
    <xf numFmtId="0" fontId="9" fillId="0" borderId="0" xfId="73" applyFont="1" applyAlignment="1">
      <alignment horizontal="left" vertical="top" wrapText="1" readingOrder="1"/>
    </xf>
    <xf numFmtId="0" fontId="11" fillId="0" borderId="0" xfId="73" applyFont="1" applyAlignment="1">
      <alignment horizontal="left" vertical="top" wrapText="1" readingOrder="1"/>
    </xf>
    <xf numFmtId="173" fontId="11" fillId="0" borderId="0" xfId="73" applyNumberFormat="1" applyFont="1" applyAlignment="1">
      <alignment horizontal="right" vertical="top" wrapText="1" readingOrder="1"/>
    </xf>
    <xf numFmtId="173" fontId="12" fillId="0" borderId="0" xfId="73" applyNumberFormat="1"/>
    <xf numFmtId="164" fontId="9" fillId="0" borderId="0" xfId="73" applyNumberFormat="1" applyFont="1" applyAlignment="1">
      <alignment horizontal="right" readingOrder="1"/>
    </xf>
    <xf numFmtId="180" fontId="12" fillId="0" borderId="0" xfId="73" applyNumberFormat="1"/>
    <xf numFmtId="0" fontId="26" fillId="18" borderId="0" xfId="73" applyFont="1" applyFill="1" applyAlignment="1">
      <alignment horizontal="right" vertical="top" wrapText="1" readingOrder="1"/>
    </xf>
    <xf numFmtId="0" fontId="74" fillId="8" borderId="0" xfId="73" applyFont="1" applyFill="1" applyAlignment="1">
      <alignment horizontal="left" vertical="top" wrapText="1" readingOrder="1"/>
    </xf>
    <xf numFmtId="0" fontId="75" fillId="8" borderId="0" xfId="73" applyFont="1" applyFill="1"/>
    <xf numFmtId="0" fontId="12" fillId="8" borderId="0" xfId="73" applyFill="1"/>
    <xf numFmtId="1" fontId="12" fillId="18" borderId="0" xfId="73" applyNumberFormat="1" applyFill="1"/>
    <xf numFmtId="0" fontId="38" fillId="18" borderId="0" xfId="73" applyFont="1" applyFill="1" applyAlignment="1">
      <alignment horizontal="left" vertical="top" readingOrder="1"/>
    </xf>
    <xf numFmtId="175" fontId="0" fillId="18" borderId="0" xfId="75" applyNumberFormat="1" applyFont="1" applyFill="1"/>
    <xf numFmtId="175" fontId="12" fillId="18" borderId="0" xfId="73" applyNumberFormat="1" applyFill="1"/>
    <xf numFmtId="164" fontId="12" fillId="18" borderId="0" xfId="73" applyNumberFormat="1" applyFill="1"/>
    <xf numFmtId="0" fontId="3" fillId="18" borderId="0" xfId="73" applyFont="1" applyFill="1" applyAlignment="1">
      <alignment horizontal="center"/>
    </xf>
    <xf numFmtId="10" fontId="3" fillId="18" borderId="0" xfId="74" applyNumberFormat="1" applyFont="1" applyFill="1" applyBorder="1" applyAlignment="1">
      <alignment horizontal="center"/>
    </xf>
    <xf numFmtId="165" fontId="12" fillId="18" borderId="0" xfId="73" applyNumberFormat="1" applyFill="1"/>
    <xf numFmtId="173" fontId="12" fillId="18" borderId="0" xfId="73" applyNumberFormat="1" applyFill="1"/>
    <xf numFmtId="0" fontId="76" fillId="18" borderId="0" xfId="73" applyFont="1" applyFill="1" applyAlignment="1">
      <alignment horizontal="left" vertical="top" readingOrder="1"/>
    </xf>
    <xf numFmtId="0" fontId="0" fillId="18" borderId="0" xfId="73" applyFont="1" applyFill="1"/>
    <xf numFmtId="0" fontId="0" fillId="8" borderId="0" xfId="73" applyFont="1" applyFill="1"/>
    <xf numFmtId="0" fontId="60" fillId="8" borderId="39" xfId="73" applyFont="1" applyFill="1" applyBorder="1" applyAlignment="1">
      <alignment horizontal="left" vertical="top" wrapText="1" readingOrder="1"/>
    </xf>
    <xf numFmtId="0" fontId="34" fillId="8" borderId="39" xfId="73" applyFont="1" applyFill="1" applyBorder="1" applyAlignment="1">
      <alignment horizontal="right" vertical="top" wrapText="1" readingOrder="1"/>
    </xf>
    <xf numFmtId="0" fontId="27" fillId="8" borderId="41" xfId="73" applyFont="1" applyFill="1" applyBorder="1" applyAlignment="1">
      <alignment horizontal="left" vertical="top" wrapText="1" readingOrder="1"/>
    </xf>
    <xf numFmtId="165" fontId="27" fillId="8" borderId="41" xfId="73" applyNumberFormat="1" applyFont="1" applyFill="1" applyBorder="1" applyAlignment="1">
      <alignment horizontal="right" vertical="top" wrapText="1" readingOrder="1"/>
    </xf>
    <xf numFmtId="0" fontId="34" fillId="8" borderId="41" xfId="73" applyFont="1" applyFill="1" applyBorder="1" applyAlignment="1">
      <alignment horizontal="left" vertical="top" wrapText="1" readingOrder="1"/>
    </xf>
    <xf numFmtId="165" fontId="34" fillId="8" borderId="41" xfId="73" applyNumberFormat="1" applyFont="1" applyFill="1" applyBorder="1" applyAlignment="1">
      <alignment horizontal="right" vertical="top" wrapText="1" readingOrder="1"/>
    </xf>
    <xf numFmtId="0" fontId="28" fillId="8" borderId="41" xfId="73" applyFont="1" applyFill="1" applyBorder="1" applyAlignment="1">
      <alignment vertical="top" wrapText="1"/>
    </xf>
    <xf numFmtId="165" fontId="28" fillId="8" borderId="41" xfId="73" applyNumberFormat="1" applyFont="1" applyFill="1" applyBorder="1" applyAlignment="1">
      <alignment horizontal="right" vertical="top" wrapText="1"/>
    </xf>
    <xf numFmtId="0" fontId="35" fillId="8" borderId="41" xfId="73" applyFont="1" applyFill="1" applyBorder="1" applyAlignment="1">
      <alignment vertical="top" wrapText="1"/>
    </xf>
    <xf numFmtId="165" fontId="36" fillId="8" borderId="41" xfId="73" applyNumberFormat="1" applyFont="1" applyFill="1" applyBorder="1" applyAlignment="1">
      <alignment horizontal="right" vertical="top" wrapText="1"/>
    </xf>
    <xf numFmtId="0" fontId="37" fillId="8" borderId="0" xfId="73" applyFont="1" applyFill="1" applyAlignment="1">
      <alignment horizontal="left" vertical="top" wrapText="1" readingOrder="1"/>
    </xf>
    <xf numFmtId="165" fontId="37" fillId="8" borderId="0" xfId="73" applyNumberFormat="1" applyFont="1" applyFill="1" applyAlignment="1">
      <alignment horizontal="right" vertical="top" wrapText="1" readingOrder="1"/>
    </xf>
    <xf numFmtId="0" fontId="27" fillId="8" borderId="0" xfId="73" applyFont="1" applyFill="1" applyAlignment="1">
      <alignment horizontal="left" vertical="top" wrapText="1" readingOrder="1"/>
    </xf>
    <xf numFmtId="165" fontId="27" fillId="8" borderId="0" xfId="73" applyNumberFormat="1" applyFont="1" applyFill="1" applyAlignment="1">
      <alignment horizontal="right" vertical="top" wrapText="1" readingOrder="1"/>
    </xf>
    <xf numFmtId="0" fontId="34" fillId="8" borderId="42" xfId="73" applyFont="1" applyFill="1" applyBorder="1" applyAlignment="1">
      <alignment horizontal="left" vertical="top" wrapText="1" readingOrder="1"/>
    </xf>
    <xf numFmtId="0" fontId="74" fillId="8" borderId="0" xfId="73" applyFont="1" applyFill="1" applyAlignment="1">
      <alignment horizontal="left" vertical="top" readingOrder="1"/>
    </xf>
    <xf numFmtId="0" fontId="77" fillId="8" borderId="40" xfId="73" applyFont="1" applyFill="1" applyBorder="1" applyAlignment="1">
      <alignment horizontal="left" vertical="top" wrapText="1" readingOrder="1"/>
    </xf>
    <xf numFmtId="0" fontId="77" fillId="8" borderId="41" xfId="73" applyFont="1" applyFill="1" applyBorder="1" applyAlignment="1">
      <alignment horizontal="left" vertical="top" wrapText="1" readingOrder="1"/>
    </xf>
    <xf numFmtId="165" fontId="77" fillId="8" borderId="40" xfId="73" applyNumberFormat="1" applyFont="1" applyFill="1" applyBorder="1" applyAlignment="1">
      <alignment horizontal="right" vertical="top" wrapText="1" readingOrder="1"/>
    </xf>
    <xf numFmtId="165" fontId="77" fillId="8" borderId="41" xfId="73" applyNumberFormat="1" applyFont="1" applyFill="1" applyBorder="1" applyAlignment="1">
      <alignment horizontal="right" vertical="top" wrapText="1" readingOrder="1"/>
    </xf>
    <xf numFmtId="0" fontId="69" fillId="0" borderId="53" xfId="72" applyFont="1" applyBorder="1" applyAlignment="1">
      <alignment horizontal="center"/>
    </xf>
    <xf numFmtId="0" fontId="69" fillId="0" borderId="55" xfId="72" applyFont="1" applyBorder="1" applyAlignment="1">
      <alignment horizontal="center"/>
    </xf>
    <xf numFmtId="0" fontId="68" fillId="0" borderId="56" xfId="72" applyFont="1" applyBorder="1" applyAlignment="1">
      <alignment horizontal="center" vertical="center" readingOrder="1"/>
    </xf>
    <xf numFmtId="0" fontId="69" fillId="0" borderId="57" xfId="72" applyFont="1" applyBorder="1" applyAlignment="1">
      <alignment horizontal="center"/>
    </xf>
    <xf numFmtId="10" fontId="69" fillId="0" borderId="57" xfId="72" applyNumberFormat="1" applyFont="1" applyBorder="1" applyAlignment="1">
      <alignment horizontal="center"/>
    </xf>
    <xf numFmtId="0" fontId="18" fillId="11" borderId="58" xfId="0" applyFont="1" applyFill="1" applyBorder="1" applyAlignment="1">
      <alignment horizontal="center" vertical="center" wrapText="1"/>
    </xf>
    <xf numFmtId="0" fontId="18" fillId="11" borderId="22" xfId="0" applyFont="1" applyFill="1" applyBorder="1" applyAlignment="1">
      <alignment horizontal="center" vertical="center"/>
    </xf>
    <xf numFmtId="0" fontId="14" fillId="12"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1" borderId="59" xfId="0" applyFont="1" applyFill="1" applyBorder="1" applyAlignment="1">
      <alignment horizontal="center" vertical="center"/>
    </xf>
    <xf numFmtId="0" fontId="0" fillId="0" borderId="60" xfId="0" applyBorder="1"/>
    <xf numFmtId="0" fontId="0" fillId="0" borderId="61" xfId="0" applyBorder="1"/>
    <xf numFmtId="0" fontId="0" fillId="50" borderId="0" xfId="0" applyFill="1"/>
    <xf numFmtId="0" fontId="38" fillId="8" borderId="39" xfId="73" applyFont="1" applyFill="1" applyBorder="1" applyAlignment="1">
      <alignment horizontal="left" vertical="top" readingOrder="1"/>
    </xf>
    <xf numFmtId="0" fontId="32" fillId="8" borderId="39" xfId="73" applyFont="1" applyFill="1" applyBorder="1" applyAlignment="1">
      <alignment horizontal="center" vertical="top" readingOrder="1"/>
    </xf>
    <xf numFmtId="0" fontId="32" fillId="8" borderId="39" xfId="73" applyFont="1" applyFill="1" applyBorder="1" applyAlignment="1">
      <alignment horizontal="left" vertical="top" readingOrder="1"/>
    </xf>
    <xf numFmtId="0" fontId="12" fillId="8" borderId="39" xfId="73" applyFill="1" applyBorder="1"/>
    <xf numFmtId="0" fontId="38" fillId="8" borderId="39" xfId="73" applyFont="1" applyFill="1" applyBorder="1" applyAlignment="1">
      <alignment horizontal="center" vertical="top" readingOrder="1"/>
    </xf>
    <xf numFmtId="0" fontId="38" fillId="8" borderId="42" xfId="73" applyFont="1" applyFill="1" applyBorder="1" applyAlignment="1">
      <alignment horizontal="center" vertical="top" readingOrder="1"/>
    </xf>
    <xf numFmtId="0" fontId="32" fillId="8" borderId="0" xfId="73" applyFont="1" applyFill="1" applyAlignment="1">
      <alignment horizontal="left" vertical="top" readingOrder="1"/>
    </xf>
    <xf numFmtId="164" fontId="32" fillId="8" borderId="0" xfId="73" applyNumberFormat="1" applyFont="1" applyFill="1" applyAlignment="1">
      <alignment horizontal="right" vertical="center" readingOrder="1"/>
    </xf>
    <xf numFmtId="164" fontId="38" fillId="8" borderId="0" xfId="73" applyNumberFormat="1" applyFont="1" applyFill="1" applyAlignment="1">
      <alignment horizontal="right" readingOrder="1"/>
    </xf>
    <xf numFmtId="0" fontId="38" fillId="8" borderId="0" xfId="73" applyFont="1" applyFill="1" applyAlignment="1">
      <alignment horizontal="left" vertical="top" readingOrder="1"/>
    </xf>
    <xf numFmtId="164" fontId="38" fillId="8" borderId="0" xfId="73" applyNumberFormat="1" applyFont="1" applyFill="1" applyAlignment="1">
      <alignment horizontal="right" vertical="center" readingOrder="1"/>
    </xf>
    <xf numFmtId="0" fontId="31" fillId="8" borderId="0" xfId="73" applyFont="1" applyFill="1" applyAlignment="1">
      <alignment horizontal="left" vertical="top" readingOrder="1"/>
    </xf>
    <xf numFmtId="164" fontId="31" fillId="8" borderId="0" xfId="73" applyNumberFormat="1" applyFont="1" applyFill="1" applyAlignment="1">
      <alignment horizontal="right" vertical="center" readingOrder="1"/>
    </xf>
    <xf numFmtId="164" fontId="38" fillId="8" borderId="39" xfId="73" applyNumberFormat="1" applyFont="1" applyFill="1" applyBorder="1" applyAlignment="1">
      <alignment horizontal="right" vertical="center" readingOrder="1"/>
    </xf>
    <xf numFmtId="165" fontId="12" fillId="8" borderId="0" xfId="73" applyNumberFormat="1" applyFill="1"/>
    <xf numFmtId="0" fontId="33" fillId="8" borderId="39" xfId="73" applyFont="1" applyFill="1" applyBorder="1" applyAlignment="1">
      <alignment horizontal="left" vertical="top" readingOrder="1"/>
    </xf>
    <xf numFmtId="164" fontId="33" fillId="8" borderId="39" xfId="73" applyNumberFormat="1" applyFont="1" applyFill="1" applyBorder="1" applyAlignment="1">
      <alignment horizontal="right" vertical="center" readingOrder="1"/>
    </xf>
    <xf numFmtId="0" fontId="38" fillId="8" borderId="0" xfId="73" applyFont="1" applyFill="1" applyAlignment="1">
      <alignment horizontal="center" vertical="top" readingOrder="1"/>
    </xf>
    <xf numFmtId="0" fontId="3" fillId="8" borderId="0" xfId="73" applyFont="1" applyFill="1"/>
    <xf numFmtId="0" fontId="38" fillId="8" borderId="42" xfId="73" applyFont="1" applyFill="1" applyBorder="1" applyAlignment="1">
      <alignment horizontal="left" vertical="top" readingOrder="1"/>
    </xf>
    <xf numFmtId="0" fontId="40" fillId="8" borderId="0" xfId="73" applyFont="1" applyFill="1" applyAlignment="1">
      <alignment horizontal="left" vertical="top" readingOrder="1"/>
    </xf>
    <xf numFmtId="0" fontId="76" fillId="8" borderId="0" xfId="73" applyFont="1" applyFill="1" applyAlignment="1">
      <alignment horizontal="left" vertical="top" readingOrder="1"/>
    </xf>
    <xf numFmtId="164" fontId="12" fillId="8" borderId="0" xfId="73" applyNumberFormat="1" applyFill="1"/>
    <xf numFmtId="165" fontId="17" fillId="0" borderId="0" xfId="0" applyNumberFormat="1" applyFont="1"/>
    <xf numFmtId="183" fontId="0" fillId="0" borderId="0" xfId="0" applyNumberFormat="1"/>
    <xf numFmtId="2" fontId="0" fillId="0" borderId="0" xfId="0" applyNumberFormat="1"/>
    <xf numFmtId="182" fontId="12" fillId="8" borderId="0" xfId="73" applyNumberFormat="1" applyFill="1"/>
    <xf numFmtId="0" fontId="9" fillId="8" borderId="0" xfId="73" applyFont="1" applyFill="1" applyAlignment="1">
      <alignment horizontal="left" vertical="top" wrapText="1" readingOrder="1"/>
    </xf>
    <xf numFmtId="165" fontId="9" fillId="8" borderId="0" xfId="73" applyNumberFormat="1" applyFont="1" applyFill="1" applyAlignment="1">
      <alignment horizontal="right" vertical="center" wrapText="1" readingOrder="1"/>
    </xf>
    <xf numFmtId="164" fontId="32" fillId="8" borderId="39" xfId="73" applyNumberFormat="1" applyFont="1" applyFill="1" applyBorder="1" applyAlignment="1">
      <alignment horizontal="right" vertical="center" readingOrder="1"/>
    </xf>
    <xf numFmtId="164" fontId="39" fillId="8" borderId="0" xfId="73" applyNumberFormat="1" applyFont="1" applyFill="1" applyAlignment="1">
      <alignment horizontal="right" vertical="center" readingOrder="1"/>
    </xf>
    <xf numFmtId="164" fontId="40" fillId="8" borderId="0" xfId="73" applyNumberFormat="1" applyFont="1" applyFill="1" applyAlignment="1">
      <alignment horizontal="right" readingOrder="1"/>
    </xf>
    <xf numFmtId="164" fontId="39" fillId="8" borderId="39" xfId="73" applyNumberFormat="1" applyFont="1" applyFill="1" applyBorder="1" applyAlignment="1">
      <alignment horizontal="right" vertical="center" readingOrder="1"/>
    </xf>
    <xf numFmtId="164" fontId="38" fillId="8" borderId="39" xfId="73" applyNumberFormat="1" applyFont="1" applyFill="1" applyBorder="1" applyAlignment="1">
      <alignment horizontal="right" readingOrder="1"/>
    </xf>
    <xf numFmtId="164" fontId="9" fillId="8" borderId="0" xfId="73" applyNumberFormat="1" applyFont="1" applyFill="1" applyAlignment="1">
      <alignment horizontal="right" vertical="center" wrapText="1" readingOrder="1"/>
    </xf>
    <xf numFmtId="164" fontId="31" fillId="8" borderId="0" xfId="73" applyNumberFormat="1" applyFont="1" applyFill="1" applyAlignment="1">
      <alignment horizontal="right" readingOrder="1"/>
    </xf>
    <xf numFmtId="164" fontId="9" fillId="8" borderId="0" xfId="73" applyNumberFormat="1" applyFont="1" applyFill="1" applyAlignment="1">
      <alignment horizontal="left" vertical="center" wrapText="1" readingOrder="1"/>
    </xf>
    <xf numFmtId="181" fontId="12" fillId="8" borderId="0" xfId="73" applyNumberFormat="1" applyFill="1"/>
    <xf numFmtId="173" fontId="34" fillId="8" borderId="42" xfId="73" applyNumberFormat="1" applyFont="1" applyFill="1" applyBorder="1" applyAlignment="1">
      <alignment horizontal="right" vertical="top" wrapText="1" readingOrder="1"/>
    </xf>
    <xf numFmtId="0" fontId="14" fillId="0" borderId="0" xfId="0" applyFont="1" applyAlignment="1">
      <alignment horizontal="center" vertical="center"/>
    </xf>
    <xf numFmtId="1" fontId="12" fillId="8" borderId="0" xfId="73" applyNumberFormat="1" applyFill="1"/>
    <xf numFmtId="164" fontId="3" fillId="8" borderId="0" xfId="73" applyNumberFormat="1" applyFont="1" applyFill="1"/>
    <xf numFmtId="0" fontId="31" fillId="8" borderId="0" xfId="73" applyFont="1" applyFill="1" applyAlignment="1">
      <alignment horizontal="center" vertical="top" readingOrder="1"/>
    </xf>
    <xf numFmtId="165" fontId="3" fillId="8" borderId="0" xfId="73" applyNumberFormat="1" applyFont="1" applyFill="1"/>
    <xf numFmtId="165" fontId="3" fillId="0" borderId="0" xfId="73" applyNumberFormat="1" applyFont="1"/>
    <xf numFmtId="3" fontId="3" fillId="8" borderId="0" xfId="73" applyNumberFormat="1" applyFont="1" applyFill="1"/>
    <xf numFmtId="164" fontId="9" fillId="8" borderId="0" xfId="73" applyNumberFormat="1" applyFont="1" applyFill="1" applyAlignment="1">
      <alignment horizontal="right" readingOrder="1"/>
    </xf>
    <xf numFmtId="0" fontId="73" fillId="8" borderId="0" xfId="73" applyFont="1" applyFill="1" applyAlignment="1">
      <alignment horizontal="left" vertical="top" readingOrder="1"/>
    </xf>
    <xf numFmtId="1" fontId="32" fillId="8" borderId="0" xfId="73" applyNumberFormat="1" applyFont="1" applyFill="1" applyAlignment="1">
      <alignment horizontal="right" vertical="top" readingOrder="1"/>
    </xf>
    <xf numFmtId="1" fontId="39" fillId="8" borderId="0" xfId="73" applyNumberFormat="1" applyFont="1" applyFill="1" applyAlignment="1">
      <alignment horizontal="right" vertical="top" readingOrder="1"/>
    </xf>
    <xf numFmtId="1" fontId="31" fillId="8" borderId="0" xfId="73" applyNumberFormat="1" applyFont="1" applyFill="1" applyAlignment="1">
      <alignment horizontal="right" vertical="top" readingOrder="1"/>
    </xf>
    <xf numFmtId="176" fontId="31" fillId="8" borderId="0" xfId="73" applyNumberFormat="1" applyFont="1" applyFill="1" applyAlignment="1">
      <alignment horizontal="right" vertical="top" readingOrder="1"/>
    </xf>
    <xf numFmtId="177" fontId="12" fillId="8" borderId="0" xfId="73" applyNumberFormat="1" applyFill="1"/>
    <xf numFmtId="0" fontId="11" fillId="8" borderId="0" xfId="73" applyFont="1" applyFill="1" applyAlignment="1">
      <alignment horizontal="left" vertical="top" readingOrder="1"/>
    </xf>
    <xf numFmtId="164" fontId="11" fillId="8" borderId="0" xfId="73" applyNumberFormat="1" applyFont="1" applyFill="1" applyAlignment="1">
      <alignment horizontal="right" vertical="center"/>
    </xf>
    <xf numFmtId="164" fontId="9" fillId="8" borderId="0" xfId="73" applyNumberFormat="1" applyFont="1" applyFill="1" applyAlignment="1">
      <alignment horizontal="right" vertical="center"/>
    </xf>
    <xf numFmtId="164" fontId="12" fillId="0" borderId="0" xfId="73" applyNumberFormat="1" applyAlignment="1">
      <alignment horizontal="center"/>
    </xf>
    <xf numFmtId="0" fontId="80" fillId="8" borderId="0" xfId="73" applyFont="1" applyFill="1" applyAlignment="1">
      <alignment horizontal="left" vertical="top" readingOrder="1"/>
    </xf>
    <xf numFmtId="0" fontId="80" fillId="8" borderId="0" xfId="73" applyFont="1" applyFill="1" applyAlignment="1">
      <alignment horizontal="left" vertical="top" wrapText="1" readingOrder="1"/>
    </xf>
    <xf numFmtId="1" fontId="38" fillId="8" borderId="39" xfId="73" applyNumberFormat="1" applyFont="1" applyFill="1" applyBorder="1" applyAlignment="1">
      <alignment horizontal="right" vertical="top" readingOrder="1"/>
    </xf>
    <xf numFmtId="0" fontId="40" fillId="8" borderId="39" xfId="73" applyFont="1" applyFill="1" applyBorder="1" applyAlignment="1">
      <alignment horizontal="left" vertical="top" readingOrder="1"/>
    </xf>
    <xf numFmtId="1" fontId="38" fillId="8" borderId="0" xfId="73" applyNumberFormat="1" applyFont="1" applyFill="1" applyAlignment="1">
      <alignment horizontal="right" vertical="top" readingOrder="1"/>
    </xf>
    <xf numFmtId="1" fontId="40" fillId="8" borderId="39" xfId="73" applyNumberFormat="1" applyFont="1" applyFill="1" applyBorder="1" applyAlignment="1">
      <alignment horizontal="right" vertical="top" readingOrder="1"/>
    </xf>
    <xf numFmtId="0" fontId="33" fillId="8" borderId="40" xfId="73" applyFont="1" applyFill="1" applyBorder="1" applyAlignment="1">
      <alignment horizontal="left" vertical="top" wrapText="1" readingOrder="1"/>
    </xf>
    <xf numFmtId="165" fontId="33" fillId="8" borderId="40" xfId="73" applyNumberFormat="1" applyFont="1" applyFill="1" applyBorder="1" applyAlignment="1">
      <alignment horizontal="right" vertical="top" wrapText="1" readingOrder="1"/>
    </xf>
    <xf numFmtId="0" fontId="33" fillId="8" borderId="41" xfId="73" applyFont="1" applyFill="1" applyBorder="1" applyAlignment="1">
      <alignment horizontal="left" vertical="top" wrapText="1" readingOrder="1"/>
    </xf>
    <xf numFmtId="165" fontId="33" fillId="8" borderId="41" xfId="73" applyNumberFormat="1" applyFont="1" applyFill="1" applyBorder="1" applyAlignment="1">
      <alignment horizontal="right" vertical="top" wrapText="1" readingOrder="1"/>
    </xf>
    <xf numFmtId="0" fontId="38" fillId="8" borderId="41" xfId="73" applyFont="1" applyFill="1" applyBorder="1" applyAlignment="1">
      <alignment horizontal="left" vertical="top" wrapText="1" readingOrder="1"/>
    </xf>
    <xf numFmtId="165" fontId="38" fillId="8" borderId="41" xfId="73" applyNumberFormat="1" applyFont="1" applyFill="1" applyBorder="1" applyAlignment="1">
      <alignment horizontal="right" vertical="top" wrapText="1" readingOrder="1"/>
    </xf>
    <xf numFmtId="0" fontId="82" fillId="8" borderId="39" xfId="73" applyFont="1" applyFill="1" applyBorder="1" applyAlignment="1">
      <alignment horizontal="left" vertical="top" wrapText="1" readingOrder="1"/>
    </xf>
    <xf numFmtId="0" fontId="82" fillId="8" borderId="39" xfId="73" applyFont="1" applyFill="1" applyBorder="1" applyAlignment="1">
      <alignment horizontal="right" vertical="top" wrapText="1" readingOrder="1"/>
    </xf>
    <xf numFmtId="9" fontId="77" fillId="8" borderId="41" xfId="1" applyFont="1" applyFill="1" applyBorder="1" applyAlignment="1">
      <alignment horizontal="right" vertical="top" wrapText="1" readingOrder="1"/>
    </xf>
    <xf numFmtId="165" fontId="0" fillId="0" borderId="0" xfId="0" applyNumberFormat="1" applyAlignment="1">
      <alignment wrapText="1"/>
    </xf>
    <xf numFmtId="10" fontId="69" fillId="18" borderId="55" xfId="72" applyNumberFormat="1" applyFont="1" applyFill="1" applyBorder="1" applyAlignment="1">
      <alignment horizontal="center"/>
    </xf>
    <xf numFmtId="0" fontId="15" fillId="13" borderId="0" xfId="0" applyFont="1" applyFill="1" applyAlignment="1">
      <alignment horizontal="center" vertical="top" readingOrder="1"/>
    </xf>
    <xf numFmtId="0" fontId="25" fillId="0" borderId="0" xfId="73" applyFont="1"/>
    <xf numFmtId="0" fontId="67" fillId="8" borderId="56" xfId="72" applyFont="1" applyFill="1" applyBorder="1" applyAlignment="1">
      <alignment horizontal="center" vertical="center" readingOrder="1"/>
    </xf>
    <xf numFmtId="0" fontId="67" fillId="8" borderId="57" xfId="72" applyFont="1" applyFill="1" applyBorder="1" applyAlignment="1">
      <alignment horizontal="center" vertical="center" readingOrder="1"/>
    </xf>
    <xf numFmtId="0" fontId="78" fillId="8" borderId="0" xfId="73" applyFont="1" applyFill="1" applyAlignment="1">
      <alignment horizontal="left" vertical="top" wrapText="1" readingOrder="1"/>
    </xf>
    <xf numFmtId="0" fontId="81" fillId="8" borderId="0" xfId="73" applyFont="1" applyFill="1" applyAlignment="1">
      <alignment horizontal="left" vertical="top" wrapText="1" readingOrder="1"/>
    </xf>
    <xf numFmtId="0" fontId="80" fillId="8" borderId="0" xfId="73" applyFont="1" applyFill="1" applyAlignment="1">
      <alignment horizontal="left" vertical="top" wrapText="1" readingOrder="1"/>
    </xf>
    <xf numFmtId="0" fontId="80" fillId="8" borderId="0" xfId="73" applyFont="1" applyFill="1" applyAlignment="1">
      <alignment horizontal="left" vertical="top" readingOrder="1"/>
    </xf>
    <xf numFmtId="0" fontId="32" fillId="8" borderId="39" xfId="73" applyFont="1" applyFill="1" applyBorder="1" applyAlignment="1">
      <alignment horizontal="center" vertical="top" readingOrder="1"/>
    </xf>
    <xf numFmtId="0" fontId="79" fillId="8" borderId="0" xfId="73" applyFont="1" applyFill="1" applyAlignment="1">
      <alignment horizontal="left" vertical="top" wrapText="1" readingOrder="1"/>
    </xf>
    <xf numFmtId="0" fontId="32" fillId="0" borderId="35" xfId="0" applyFont="1" applyBorder="1" applyAlignment="1">
      <alignment horizontal="center" vertical="top" readingOrder="1"/>
    </xf>
    <xf numFmtId="0" fontId="32" fillId="18" borderId="0" xfId="0" applyFont="1" applyFill="1" applyAlignment="1">
      <alignment horizontal="center" vertical="top" readingOrder="1"/>
    </xf>
    <xf numFmtId="0" fontId="32" fillId="0" borderId="39" xfId="0" applyFont="1" applyBorder="1" applyAlignment="1">
      <alignment horizontal="center" vertical="top" readingOrder="1"/>
    </xf>
  </cellXfs>
  <cellStyles count="76">
    <cellStyle name="%" xfId="6" xr:uid="{00000000-0005-0000-0000-000000000000}"/>
    <cellStyle name="=C:\WINNT\SYSTEM32\COMMAND.COM" xfId="5" xr:uid="{00000000-0005-0000-0000-000001000000}"/>
    <cellStyle name="=C:\WINNT\SYSTEM32\COMMAND.COM 2" xfId="7" xr:uid="{00000000-0005-0000-0000-000002000000}"/>
    <cellStyle name="20% - Accent1" xfId="28" builtinId="30" customBuiltin="1"/>
    <cellStyle name="20% - Accent1 2" xfId="52" xr:uid="{00000000-0005-0000-0000-000004000000}"/>
    <cellStyle name="20% - Accent2" xfId="32" builtinId="34" customBuiltin="1"/>
    <cellStyle name="20% - Accent2 2" xfId="53" xr:uid="{00000000-0005-0000-0000-000006000000}"/>
    <cellStyle name="20% - Accent3" xfId="36" builtinId="38" customBuiltin="1"/>
    <cellStyle name="20% - Accent3 2" xfId="54" xr:uid="{00000000-0005-0000-0000-000008000000}"/>
    <cellStyle name="20% - Accent4" xfId="40" builtinId="42" customBuiltin="1"/>
    <cellStyle name="20% - Accent4 2" xfId="55" xr:uid="{00000000-0005-0000-0000-00000A000000}"/>
    <cellStyle name="20% - Accent5" xfId="44" builtinId="46" customBuiltin="1"/>
    <cellStyle name="20% - Accent5 2" xfId="56" xr:uid="{00000000-0005-0000-0000-00000C000000}"/>
    <cellStyle name="20% - Accent6" xfId="48" builtinId="50" customBuiltin="1"/>
    <cellStyle name="20% - Accent6 2" xfId="57" xr:uid="{00000000-0005-0000-0000-00000E000000}"/>
    <cellStyle name="40% - Accent1" xfId="29" builtinId="31" customBuiltin="1"/>
    <cellStyle name="40% - Accent1 2" xfId="58" xr:uid="{00000000-0005-0000-0000-000010000000}"/>
    <cellStyle name="40% - Accent2" xfId="33" builtinId="35" customBuiltin="1"/>
    <cellStyle name="40% - Accent2 2" xfId="59" xr:uid="{00000000-0005-0000-0000-000012000000}"/>
    <cellStyle name="40% - Accent3" xfId="37" builtinId="39" customBuiltin="1"/>
    <cellStyle name="40% - Accent3 2" xfId="60" xr:uid="{00000000-0005-0000-0000-000014000000}"/>
    <cellStyle name="40% - Accent4" xfId="41" builtinId="43" customBuiltin="1"/>
    <cellStyle name="40% - Accent4 2" xfId="61" xr:uid="{00000000-0005-0000-0000-000016000000}"/>
    <cellStyle name="40% - Accent5" xfId="45" builtinId="47" customBuiltin="1"/>
    <cellStyle name="40% - Accent5 2" xfId="62" xr:uid="{00000000-0005-0000-0000-000018000000}"/>
    <cellStyle name="40% - Accent6" xfId="49" builtinId="51" customBuiltin="1"/>
    <cellStyle name="40% - Accent6 2" xfId="63" xr:uid="{00000000-0005-0000-0000-00001A00000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10" builtinId="3"/>
    <cellStyle name="Comma 2" xfId="64" xr:uid="{00000000-0005-0000-0000-00002B000000}"/>
    <cellStyle name="Comma 2 2" xfId="75" xr:uid="{00000000-0005-0000-0000-00002C000000}"/>
    <cellStyle name="Comma 3" xfId="8" xr:uid="{00000000-0005-0000-0000-00002D000000}"/>
    <cellStyle name="Comment" xfId="4" xr:uid="{00000000-0005-0000-0000-00002E000000}"/>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evel 2" xfId="2" xr:uid="{00000000-0005-0000-0000-000036000000}"/>
    <cellStyle name="Level 3" xfId="3" xr:uid="{00000000-0005-0000-0000-000037000000}"/>
    <cellStyle name="Linked Cell" xfId="22" builtinId="24" customBuiltin="1"/>
    <cellStyle name="Neutral" xfId="18" builtinId="28" customBuiltin="1"/>
    <cellStyle name="Normal" xfId="0" builtinId="0"/>
    <cellStyle name="Normal 2" xfId="65" xr:uid="{00000000-0005-0000-0000-00003B000000}"/>
    <cellStyle name="Normal 2 2" xfId="73" xr:uid="{00000000-0005-0000-0000-00003C000000}"/>
    <cellStyle name="Normal 3" xfId="66" xr:uid="{00000000-0005-0000-0000-00003D000000}"/>
    <cellStyle name="Normal 4" xfId="67" xr:uid="{00000000-0005-0000-0000-00003E000000}"/>
    <cellStyle name="Normal 5" xfId="68" xr:uid="{00000000-0005-0000-0000-00003F000000}"/>
    <cellStyle name="Normal 6" xfId="69" xr:uid="{00000000-0005-0000-0000-000040000000}"/>
    <cellStyle name="Normal 7" xfId="51" xr:uid="{00000000-0005-0000-0000-000041000000}"/>
    <cellStyle name="Normal 8" xfId="72" xr:uid="{00000000-0005-0000-0000-000042000000}"/>
    <cellStyle name="Note 2" xfId="70" xr:uid="{00000000-0005-0000-0000-000043000000}"/>
    <cellStyle name="Note 3" xfId="71" xr:uid="{00000000-0005-0000-0000-000044000000}"/>
    <cellStyle name="Output" xfId="20" builtinId="21" customBuiltin="1"/>
    <cellStyle name="Percent" xfId="1" builtinId="5"/>
    <cellStyle name="Percent 2" xfId="74" xr:uid="{00000000-0005-0000-0000-000047000000}"/>
    <cellStyle name="Percent 2 2" xfId="9" xr:uid="{00000000-0005-0000-0000-000048000000}"/>
    <cellStyle name="Title" xfId="11" builtinId="15" customBuiltin="1"/>
    <cellStyle name="Total" xfId="26" builtinId="25" customBuiltin="1"/>
    <cellStyle name="Warning Text" xfId="24" builtinId="11" customBuiltin="1"/>
  </cellStyles>
  <dxfs count="0"/>
  <tableStyles count="0" defaultTableStyle="TableStyleMedium9" defaultPivotStyle="PivotStyleLight16"/>
  <colors>
    <mruColors>
      <color rgb="FFAAB8E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721384</xdr:colOff>
      <xdr:row>0</xdr:row>
      <xdr:rowOff>128588</xdr:rowOff>
    </xdr:from>
    <xdr:to>
      <xdr:col>12</xdr:col>
      <xdr:colOff>1054671</xdr:colOff>
      <xdr:row>3</xdr:row>
      <xdr:rowOff>107156</xdr:rowOff>
    </xdr:to>
    <xdr:pic>
      <xdr:nvPicPr>
        <xdr:cNvPr id="2" name="Picture 1">
          <a:extLst>
            <a:ext uri="{FF2B5EF4-FFF2-40B4-BE49-F238E27FC236}">
              <a16:creationId xmlns:a16="http://schemas.microsoft.com/office/drawing/2014/main" id="{927050FE-31F3-4B42-AE39-EAD8CA48AB1E}"/>
            </a:ext>
          </a:extLst>
        </xdr:cNvPr>
        <xdr:cNvPicPr>
          <a:picLocks noChangeAspect="1"/>
        </xdr:cNvPicPr>
      </xdr:nvPicPr>
      <xdr:blipFill>
        <a:blip xmlns:r="http://schemas.openxmlformats.org/officeDocument/2006/relationships" r:embed="rId1"/>
        <a:stretch>
          <a:fillRect/>
        </a:stretch>
      </xdr:blipFill>
      <xdr:spPr>
        <a:xfrm>
          <a:off x="10779784" y="128588"/>
          <a:ext cx="2733586" cy="6691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tionalgridplc-my.sharepoint.com/Documents%20and%20Settings/habibur.choudhury/Desktop/FP%20Docs/RIIO_GT1_FP_FinancialModel_dec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ationalgridplc-my.sharepoint.com/Documents%20and%20Settings/habibur.choudhury/Desktop/FP%20Docs/RIIO_ET1_FP_FinancialModel_dec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Impact"/>
      <sheetName val="TransmissionAllowedRevenues"/>
      <sheetName val="NGGT TO (Base)"/>
      <sheetName val="NGGT TO (Best)"/>
      <sheetName val="NGGT SO (Base)"/>
      <sheetName val="NGGT SO (Best)"/>
      <sheetName val="RORE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 impact"/>
      <sheetName val="TransmissionAllowedRevenues"/>
      <sheetName val="SHETL (Base)"/>
      <sheetName val="SHETL (Best)"/>
      <sheetName val="SPTL (Base)"/>
      <sheetName val="SPTL (Best)"/>
      <sheetName val="NGET TO (Base)"/>
      <sheetName val="NGET TO (Best)"/>
      <sheetName val="NGET SO (Base)"/>
      <sheetName val="NGET SO (Best)"/>
      <sheetName val="RORE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showGridLines="0" zoomScale="80" zoomScaleNormal="80" workbookViewId="0">
      <selection sqref="A1:XFD1048576"/>
    </sheetView>
  </sheetViews>
  <sheetFormatPr defaultColWidth="0" defaultRowHeight="15" customHeight="1" zeroHeight="1"/>
  <cols>
    <col min="1" max="1" width="1.88671875" style="362" customWidth="1"/>
    <col min="2" max="2" width="11.109375" style="362" customWidth="1"/>
    <col min="3" max="3" width="11.88671875" style="362" customWidth="1"/>
    <col min="4" max="4" width="3.5546875" style="362" customWidth="1"/>
    <col min="5" max="5" width="11.44140625" style="362" customWidth="1"/>
    <col min="6" max="6" width="8.88671875" style="362" customWidth="1"/>
    <col min="7" max="7" width="24.88671875" style="362" customWidth="1"/>
    <col min="8" max="8" width="18" style="362" customWidth="1"/>
    <col min="9" max="9" width="32.6640625" style="362" customWidth="1"/>
    <col min="10" max="10" width="43.5546875" style="362" customWidth="1"/>
    <col min="11" max="13" width="18" style="362" customWidth="1"/>
    <col min="14" max="14" width="18" style="362" hidden="1" customWidth="1"/>
    <col min="15" max="17" width="0" style="362" hidden="1" customWidth="1"/>
    <col min="18" max="16384" width="18" style="362" hidden="1"/>
  </cols>
  <sheetData>
    <row r="1" spans="2:6" ht="14.4"/>
    <row r="2" spans="2:6" ht="23.4">
      <c r="B2" s="369" t="s">
        <v>0</v>
      </c>
      <c r="C2" s="369"/>
      <c r="D2" s="369"/>
      <c r="E2" s="370"/>
    </row>
    <row r="3" spans="2:6" ht="15.75" customHeight="1">
      <c r="B3" s="371"/>
      <c r="C3" s="369"/>
      <c r="D3" s="369"/>
      <c r="E3" s="370"/>
    </row>
    <row r="4" spans="2:6" ht="14.4"/>
    <row r="5" spans="2:6" ht="15.6">
      <c r="B5" s="363" t="s">
        <v>1</v>
      </c>
    </row>
    <row r="6" spans="2:6">
      <c r="B6" s="364" t="s">
        <v>2</v>
      </c>
    </row>
    <row r="7" spans="2:6">
      <c r="B7" s="364" t="s">
        <v>3</v>
      </c>
    </row>
    <row r="8" spans="2:6" ht="15.6">
      <c r="B8" s="365"/>
    </row>
    <row r="9" spans="2:6" ht="15.6">
      <c r="B9" s="363" t="s">
        <v>4</v>
      </c>
    </row>
    <row r="10" spans="2:6">
      <c r="B10" s="364" t="s">
        <v>5</v>
      </c>
    </row>
    <row r="11" spans="2:6">
      <c r="B11" s="364" t="s">
        <v>6</v>
      </c>
    </row>
    <row r="12" spans="2:6">
      <c r="B12" s="364" t="s">
        <v>7</v>
      </c>
    </row>
    <row r="13" spans="2:6">
      <c r="B13" s="364"/>
    </row>
    <row r="14" spans="2:6" ht="14.4">
      <c r="B14" s="524" t="s">
        <v>8</v>
      </c>
      <c r="C14" s="525"/>
      <c r="E14" s="524" t="s">
        <v>9</v>
      </c>
      <c r="F14" s="525"/>
    </row>
    <row r="15" spans="2:6" ht="14.4">
      <c r="B15" s="437" t="s">
        <v>10</v>
      </c>
      <c r="C15" s="439">
        <v>2.92E-2</v>
      </c>
      <c r="E15" s="437" t="s">
        <v>10</v>
      </c>
      <c r="F15" s="438">
        <v>1.167</v>
      </c>
    </row>
    <row r="16" spans="2:6" ht="14.4">
      <c r="B16" s="366" t="s">
        <v>11</v>
      </c>
      <c r="C16" s="367">
        <v>2.7199999999999998E-2</v>
      </c>
      <c r="E16" s="366" t="s">
        <v>11</v>
      </c>
      <c r="F16" s="435">
        <v>1.19</v>
      </c>
    </row>
    <row r="17" spans="2:6" ht="14.4">
      <c r="B17" s="366" t="s">
        <v>12</v>
      </c>
      <c r="C17" s="367">
        <v>2.5499999999999998E-2</v>
      </c>
      <c r="E17" s="366" t="s">
        <v>12</v>
      </c>
      <c r="F17" s="435">
        <v>1.202</v>
      </c>
    </row>
    <row r="18" spans="2:6" ht="14.4">
      <c r="B18" s="366" t="s">
        <v>13</v>
      </c>
      <c r="C18" s="367">
        <v>2.3800000000000002E-2</v>
      </c>
      <c r="E18" s="366" t="s">
        <v>13</v>
      </c>
      <c r="F18" s="435">
        <v>1.228</v>
      </c>
    </row>
    <row r="19" spans="2:6" ht="14.4">
      <c r="B19" s="366" t="s">
        <v>14</v>
      </c>
      <c r="C19" s="367">
        <v>2.2200000000000001E-2</v>
      </c>
      <c r="E19" s="366" t="s">
        <v>14</v>
      </c>
      <c r="F19" s="435">
        <v>1.274</v>
      </c>
    </row>
    <row r="20" spans="2:6" ht="14.4">
      <c r="B20" s="366" t="s">
        <v>15</v>
      </c>
      <c r="C20" s="367">
        <v>1.9099999999999999E-2</v>
      </c>
      <c r="E20" s="366" t="s">
        <v>15</v>
      </c>
      <c r="F20" s="435">
        <v>1.3129999999999999</v>
      </c>
    </row>
    <row r="21" spans="2:6" ht="14.4">
      <c r="B21" s="366" t="s">
        <v>16</v>
      </c>
      <c r="C21" s="367">
        <v>1.5800000000000002E-2</v>
      </c>
      <c r="E21" s="366" t="s">
        <v>16</v>
      </c>
      <c r="F21" s="435">
        <v>1.349</v>
      </c>
    </row>
    <row r="22" spans="2:6" ht="14.4">
      <c r="B22" s="368" t="s">
        <v>17</v>
      </c>
      <c r="C22" s="521">
        <v>1.09E-2</v>
      </c>
      <c r="E22" s="368" t="s">
        <v>17</v>
      </c>
      <c r="F22" s="436">
        <v>1.3879999999999999</v>
      </c>
    </row>
    <row r="23" spans="2:6" ht="14.4"/>
    <row r="24" spans="2:6" ht="14.4"/>
  </sheetData>
  <mergeCells count="2">
    <mergeCell ref="B14:C14"/>
    <mergeCell ref="E14:F14"/>
  </mergeCells>
  <pageMargins left="0.7" right="0.7" top="0.75" bottom="0.75" header="0.3" footer="0.3"/>
  <pageSetup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AM147"/>
  <sheetViews>
    <sheetView topLeftCell="A106" workbookViewId="0">
      <selection activeCell="H122" sqref="H122"/>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381</v>
      </c>
      <c r="C2" s="1" t="s">
        <v>384</v>
      </c>
      <c r="D2" s="2" t="s">
        <v>40</v>
      </c>
      <c r="E2" s="47" t="s">
        <v>41</v>
      </c>
      <c r="G2" s="112" t="s">
        <v>362</v>
      </c>
      <c r="H2" s="113" t="str">
        <f>RPI!$B$1</f>
        <v>Updated Oct 2019</v>
      </c>
      <c r="S2" s="1" t="s">
        <v>384</v>
      </c>
      <c r="T2" s="2" t="s">
        <v>40</v>
      </c>
      <c r="U2" s="47" t="s">
        <v>41</v>
      </c>
    </row>
    <row r="3" spans="1:24" ht="15.6" thickBot="1">
      <c r="C3" s="4" t="s">
        <v>42</v>
      </c>
      <c r="D3" s="64">
        <f>'16-17 NGET'!D3-'15-16 NGET'!D3</f>
        <v>0</v>
      </c>
      <c r="E3" s="232">
        <f>'16-17 NGET'!E3-'15-16 NGET'!E3</f>
        <v>0</v>
      </c>
      <c r="S3" s="142" t="s">
        <v>385</v>
      </c>
      <c r="T3" s="148">
        <v>11.7</v>
      </c>
      <c r="U3" s="149">
        <v>9</v>
      </c>
      <c r="W3" s="53">
        <f>D3-T3</f>
        <v>-11.7</v>
      </c>
      <c r="X3" s="53">
        <f t="shared" ref="X3:X20" si="0">E3-U3</f>
        <v>-9</v>
      </c>
    </row>
    <row r="4" spans="1:24" ht="15.6" thickBot="1">
      <c r="C4" s="3" t="s">
        <v>43</v>
      </c>
      <c r="D4" s="62">
        <f>'16-17 NGET'!D4-'15-16 NGET'!D4</f>
        <v>0</v>
      </c>
      <c r="E4" s="63">
        <f>'16-17 NGET'!E4-'15-16 NGET'!E4</f>
        <v>0</v>
      </c>
      <c r="S4" s="142"/>
      <c r="T4" s="148"/>
      <c r="U4" s="149"/>
      <c r="W4" s="53"/>
      <c r="X4" s="53"/>
    </row>
    <row r="5" spans="1:24" ht="15.6" thickBot="1">
      <c r="C5" s="4" t="s">
        <v>44</v>
      </c>
      <c r="D5" s="64">
        <f>'16-17 NGET'!D5-'15-16 NGET'!D5</f>
        <v>0.23307807762585853</v>
      </c>
      <c r="E5" s="232">
        <f>'16-17 NGET'!E5-'15-16 NGET'!E5</f>
        <v>0.19151489875353267</v>
      </c>
      <c r="S5" s="143" t="s">
        <v>44</v>
      </c>
      <c r="T5" s="150">
        <v>3.3</v>
      </c>
      <c r="U5" s="149">
        <v>2.6</v>
      </c>
      <c r="W5" s="53">
        <f t="shared" ref="W5:W20" si="1">D5-T5</f>
        <v>-3.0669219223741413</v>
      </c>
      <c r="X5" s="53">
        <f t="shared" si="0"/>
        <v>-2.4084851012464674</v>
      </c>
    </row>
    <row r="6" spans="1:24" ht="15.6" thickBot="1">
      <c r="C6" s="3" t="s">
        <v>45</v>
      </c>
      <c r="D6" s="62">
        <f>'16-17 NGET'!D6-'15-16 NGET'!D6</f>
        <v>0.21697059091807439</v>
      </c>
      <c r="E6" s="63">
        <f>'16-17 NGET'!E6-'15-16 NGET'!E6</f>
        <v>0.16746373793475025</v>
      </c>
      <c r="S6" s="142" t="s">
        <v>45</v>
      </c>
      <c r="T6" s="148">
        <v>0.1</v>
      </c>
      <c r="U6" s="149">
        <v>0.1</v>
      </c>
      <c r="W6" s="53">
        <f t="shared" si="1"/>
        <v>0.11697059091807438</v>
      </c>
      <c r="X6" s="53">
        <f t="shared" si="0"/>
        <v>6.7463737934750245E-2</v>
      </c>
    </row>
    <row r="7" spans="1:24" ht="15.6" thickBot="1">
      <c r="C7" s="4" t="s">
        <v>46</v>
      </c>
      <c r="D7" s="64">
        <f>'16-17 NGET'!D7-'15-16 NGET'!D7</f>
        <v>0</v>
      </c>
      <c r="E7" s="232">
        <f>'16-17 NGET'!E7-'15-16 NGET'!E7</f>
        <v>0</v>
      </c>
      <c r="S7" s="143" t="s">
        <v>46</v>
      </c>
      <c r="T7" s="150">
        <v>1.9</v>
      </c>
      <c r="U7" s="149">
        <v>1.4</v>
      </c>
      <c r="W7" s="53">
        <f t="shared" si="1"/>
        <v>-1.9</v>
      </c>
      <c r="X7" s="53">
        <f t="shared" si="0"/>
        <v>-1.4</v>
      </c>
    </row>
    <row r="8" spans="1:24" ht="15.6" thickBot="1">
      <c r="C8" s="3" t="s">
        <v>47</v>
      </c>
      <c r="D8" s="62">
        <f>'16-17 NGET'!D8-'15-16 NGET'!D8</f>
        <v>-0.52918933992905626</v>
      </c>
      <c r="E8" s="63">
        <f>'16-17 NGET'!E8-'15-16 NGET'!E8</f>
        <v>-0.4451570840449261</v>
      </c>
      <c r="S8" s="143"/>
      <c r="T8" s="150"/>
      <c r="U8" s="149"/>
      <c r="W8" s="53"/>
      <c r="X8" s="53"/>
    </row>
    <row r="9" spans="1:24" ht="16.2" thickBot="1">
      <c r="C9" s="5" t="s">
        <v>48</v>
      </c>
      <c r="D9" s="67">
        <f>'16-17 NGET'!D9-'15-16 NGET'!D9</f>
        <v>-7.9140671385122374E-2</v>
      </c>
      <c r="E9" s="233">
        <f>'16-17 NGET'!E9-'15-16 NGET'!E9</f>
        <v>-8.6178447356642707E-2</v>
      </c>
      <c r="S9" s="144" t="s">
        <v>48</v>
      </c>
      <c r="T9" s="151">
        <v>17</v>
      </c>
      <c r="U9" s="152">
        <v>13.1</v>
      </c>
      <c r="W9" s="53">
        <f t="shared" si="1"/>
        <v>-17.079140671385122</v>
      </c>
      <c r="X9" s="53">
        <f t="shared" si="0"/>
        <v>-13.186178447356642</v>
      </c>
    </row>
    <row r="10" spans="1:24" ht="15.6" thickBot="1">
      <c r="C10" s="3" t="s">
        <v>52</v>
      </c>
      <c r="D10" s="62">
        <f>'16-17 NGET'!D10-'15-16 NGET'!D10</f>
        <v>0</v>
      </c>
      <c r="E10" s="63">
        <f>'16-17 NGET'!E10-'15-16 NGET'!E10</f>
        <v>0</v>
      </c>
      <c r="S10" s="143" t="s">
        <v>52</v>
      </c>
      <c r="T10" s="150">
        <v>1</v>
      </c>
      <c r="U10" s="149">
        <v>0.9</v>
      </c>
      <c r="W10" s="53">
        <f t="shared" si="1"/>
        <v>-1</v>
      </c>
      <c r="X10" s="53">
        <f t="shared" si="0"/>
        <v>-0.9</v>
      </c>
    </row>
    <row r="11" spans="1:24" ht="15.6" thickBot="1">
      <c r="C11" s="4"/>
      <c r="D11" s="64"/>
      <c r="E11" s="232"/>
      <c r="S11" s="145"/>
      <c r="T11" s="153"/>
      <c r="U11" s="154"/>
      <c r="W11" s="53">
        <f t="shared" si="1"/>
        <v>0</v>
      </c>
      <c r="X11" s="53">
        <f t="shared" si="0"/>
        <v>0</v>
      </c>
    </row>
    <row r="12" spans="1:24" ht="15.6" thickBot="1">
      <c r="C12" s="3" t="s">
        <v>49</v>
      </c>
      <c r="D12" s="62">
        <f>'16-17 NGET'!D12-'15-16 NGET'!D12</f>
        <v>0</v>
      </c>
      <c r="E12" s="63">
        <f>'16-17 NGET'!E12-'15-16 NGET'!E12</f>
        <v>0</v>
      </c>
      <c r="S12" s="143" t="s">
        <v>138</v>
      </c>
      <c r="T12" s="150">
        <v>0.3</v>
      </c>
      <c r="U12" s="149">
        <v>0.2</v>
      </c>
      <c r="W12" s="53">
        <f t="shared" si="1"/>
        <v>-0.3</v>
      </c>
      <c r="X12" s="53">
        <f t="shared" si="0"/>
        <v>-0.2</v>
      </c>
    </row>
    <row r="13" spans="1:24" ht="15.6" thickBot="1">
      <c r="C13" s="4" t="s">
        <v>46</v>
      </c>
      <c r="D13" s="64">
        <f>'16-17 NGET'!D13-'15-16 NGET'!D13</f>
        <v>0</v>
      </c>
      <c r="E13" s="232">
        <f>'16-17 NGET'!E13-'15-16 NGET'!E13</f>
        <v>0</v>
      </c>
      <c r="S13" s="142" t="s">
        <v>46</v>
      </c>
      <c r="T13" s="148">
        <v>0.7</v>
      </c>
      <c r="U13" s="149">
        <v>0.6</v>
      </c>
      <c r="W13" s="53">
        <f t="shared" si="1"/>
        <v>-0.7</v>
      </c>
      <c r="X13" s="53">
        <f t="shared" si="0"/>
        <v>-0.6</v>
      </c>
    </row>
    <row r="14" spans="1:24" ht="15.6" thickBot="1">
      <c r="C14" s="3" t="s">
        <v>47</v>
      </c>
      <c r="D14" s="62">
        <f>'16-17 NGET'!D14-'15-16 NGET'!D14</f>
        <v>-8.0432271107094035E-3</v>
      </c>
      <c r="E14" s="63">
        <f>'16-17 NGET'!E14-'15-16 NGET'!E14</f>
        <v>-6.8883528493356326E-3</v>
      </c>
      <c r="S14" s="142"/>
      <c r="T14" s="148"/>
      <c r="U14" s="149"/>
      <c r="W14" s="53"/>
      <c r="X14" s="53"/>
    </row>
    <row r="15" spans="1:24" ht="16.2" thickBot="1">
      <c r="C15" s="5" t="s">
        <v>50</v>
      </c>
      <c r="D15" s="67">
        <f>'16-17 NGET'!D15-'15-16 NGET'!D15</f>
        <v>-8.0432271107093722E-3</v>
      </c>
      <c r="E15" s="233">
        <f>'16-17 NGET'!E15-'15-16 NGET'!E15</f>
        <v>-6.8883528493356438E-3</v>
      </c>
      <c r="S15" s="146" t="s">
        <v>50</v>
      </c>
      <c r="T15" s="155">
        <v>1</v>
      </c>
      <c r="U15" s="152">
        <v>0.8</v>
      </c>
      <c r="W15" s="53">
        <f t="shared" si="1"/>
        <v>-1.0080432271107094</v>
      </c>
      <c r="X15" s="53">
        <f t="shared" si="0"/>
        <v>-0.80688835284933569</v>
      </c>
    </row>
    <row r="16" spans="1:24" ht="15.6" thickBot="1">
      <c r="C16" s="3"/>
      <c r="D16" s="62"/>
      <c r="E16" s="63"/>
      <c r="S16" s="147"/>
      <c r="T16" s="153"/>
      <c r="U16" s="154"/>
      <c r="W16" s="53">
        <f t="shared" si="1"/>
        <v>0</v>
      </c>
      <c r="X16" s="53">
        <f t="shared" si="0"/>
        <v>0</v>
      </c>
    </row>
    <row r="17" spans="1:24" ht="16.2" thickBot="1">
      <c r="C17" s="5" t="s">
        <v>153</v>
      </c>
      <c r="D17" s="67">
        <f>'16-17 NGET'!D17-'15-16 NGET'!D17</f>
        <v>-8.7183898495831968E-2</v>
      </c>
      <c r="E17" s="233">
        <f>'16-17 NGET'!E17-'15-16 NGET'!E17</f>
        <v>-9.306680020597824E-2</v>
      </c>
      <c r="S17" s="146" t="s">
        <v>153</v>
      </c>
      <c r="T17" s="155">
        <v>18</v>
      </c>
      <c r="U17" s="152">
        <v>13.9</v>
      </c>
      <c r="W17" s="53">
        <f t="shared" si="1"/>
        <v>-18.08718389849583</v>
      </c>
      <c r="X17" s="53">
        <f t="shared" si="0"/>
        <v>-13.993066800205979</v>
      </c>
    </row>
    <row r="18" spans="1:24" ht="15.6" thickBot="1">
      <c r="C18" s="3"/>
      <c r="D18" s="62"/>
      <c r="E18" s="63"/>
      <c r="S18" s="147"/>
      <c r="T18" s="153"/>
      <c r="U18" s="154"/>
      <c r="W18" s="53">
        <f t="shared" si="1"/>
        <v>0</v>
      </c>
      <c r="X18" s="53">
        <f t="shared" si="0"/>
        <v>0</v>
      </c>
    </row>
    <row r="19" spans="1:24" ht="16.2" thickBot="1">
      <c r="C19" s="5" t="s">
        <v>53</v>
      </c>
      <c r="D19" s="67">
        <f>'16-17 NGET'!D19-'15-16 NGET'!D19</f>
        <v>0</v>
      </c>
      <c r="E19" s="233">
        <f>'16-17 NGET'!E19-'15-16 NGET'!E19</f>
        <v>0</v>
      </c>
      <c r="S19" s="146" t="s">
        <v>53</v>
      </c>
      <c r="T19" s="155">
        <v>10.3</v>
      </c>
      <c r="U19" s="152">
        <v>8.9</v>
      </c>
      <c r="W19" s="53">
        <f t="shared" si="1"/>
        <v>-10.3</v>
      </c>
      <c r="X19" s="53">
        <f t="shared" si="0"/>
        <v>-8.9</v>
      </c>
    </row>
    <row r="20" spans="1:24" ht="16.2" thickBot="1">
      <c r="C20" s="6" t="s">
        <v>54</v>
      </c>
      <c r="D20" s="65">
        <f>'16-17 NGET'!D20-'15-16 NGET'!D20</f>
        <v>-4.4440353231497198E-2</v>
      </c>
      <c r="E20" s="66">
        <f>'16-17 NGET'!E20-'15-16 NGET'!E20</f>
        <v>-3.1698336800824123E-2</v>
      </c>
      <c r="S20" s="144" t="s">
        <v>54</v>
      </c>
      <c r="T20" s="151">
        <v>21.4</v>
      </c>
      <c r="U20" s="156">
        <v>14.4</v>
      </c>
      <c r="W20" s="53">
        <f t="shared" si="1"/>
        <v>-21.444440353231496</v>
      </c>
      <c r="X20" s="53">
        <f t="shared" si="0"/>
        <v>-14.431698336800824</v>
      </c>
    </row>
    <row r="23" spans="1:24" ht="13.8" thickBot="1">
      <c r="A23" s="38" t="s">
        <v>360</v>
      </c>
    </row>
    <row r="24" spans="1:24" ht="13.8" thickBot="1">
      <c r="C24" s="14" t="s">
        <v>58</v>
      </c>
      <c r="D24" s="15" t="s">
        <v>59</v>
      </c>
      <c r="E24" s="15" t="s">
        <v>60</v>
      </c>
      <c r="F24" s="15" t="s">
        <v>61</v>
      </c>
      <c r="G24" s="15" t="s">
        <v>62</v>
      </c>
      <c r="H24" s="15" t="s">
        <v>63</v>
      </c>
      <c r="I24" s="15" t="s">
        <v>64</v>
      </c>
      <c r="J24" s="15" t="s">
        <v>65</v>
      </c>
      <c r="K24" s="15" t="s">
        <v>66</v>
      </c>
      <c r="L24" s="15" t="s">
        <v>118</v>
      </c>
    </row>
    <row r="25" spans="1:24">
      <c r="C25" s="16"/>
      <c r="D25" s="26"/>
      <c r="E25" s="26"/>
      <c r="F25" s="26"/>
      <c r="G25" s="26"/>
      <c r="H25" s="26"/>
      <c r="I25" s="26"/>
      <c r="J25" s="26"/>
      <c r="K25" s="26"/>
      <c r="L25" s="26"/>
    </row>
    <row r="26" spans="1:24">
      <c r="A26" t="s">
        <v>338</v>
      </c>
      <c r="C26" s="17" t="s">
        <v>119</v>
      </c>
      <c r="D26" s="27">
        <f>'16-17 NGET'!D26-'15-16 NGET'!D26</f>
        <v>78.055353723066901</v>
      </c>
      <c r="E26" s="27">
        <f>'16-17 NGET'!E26-'15-16 NGET'!E26</f>
        <v>31.792032064494606</v>
      </c>
      <c r="F26" s="27">
        <f>'16-17 NGET'!F26-'15-16 NGET'!F26</f>
        <v>8.4070680684326362</v>
      </c>
      <c r="G26" s="27">
        <f>'16-17 NGET'!G26-'15-16 NGET'!G26</f>
        <v>24.566239455570212</v>
      </c>
      <c r="H26" s="27">
        <f>'16-17 NGET'!H26-'15-16 NGET'!H26</f>
        <v>15.638907724251339</v>
      </c>
      <c r="I26" s="27">
        <f>'16-17 NGET'!I26-'15-16 NGET'!I26</f>
        <v>19.533708186189642</v>
      </c>
      <c r="J26" s="27">
        <f>'16-17 NGET'!J26-'15-16 NGET'!J26</f>
        <v>11.727429598186859</v>
      </c>
      <c r="K26" s="27">
        <f>'16-17 NGET'!K26-'15-16 NGET'!K26</f>
        <v>1.794159933340552</v>
      </c>
      <c r="L26" s="28">
        <f>'16-17 NGET'!L26-'15-16 NGET'!L26</f>
        <v>191.51489875353218</v>
      </c>
    </row>
    <row r="27" spans="1:24">
      <c r="C27" s="18" t="s">
        <v>386</v>
      </c>
      <c r="D27" s="29">
        <f>'16-17 NGET'!D27-'15-16 NGET'!D27</f>
        <v>1.0854967381420124</v>
      </c>
      <c r="E27" s="29">
        <f>'16-17 NGET'!E27-'15-16 NGET'!E27</f>
        <v>3.1874299535058697</v>
      </c>
      <c r="F27" s="29">
        <f>'16-17 NGET'!F27-'15-16 NGET'!F27</f>
        <v>8.7933031383547302</v>
      </c>
      <c r="G27" s="29">
        <f>'16-17 NGET'!G27-'15-16 NGET'!G27</f>
        <v>14.449105184117485</v>
      </c>
      <c r="H27" s="29">
        <f>'16-17 NGET'!H27-'15-16 NGET'!H27</f>
        <v>44.981617213073747</v>
      </c>
      <c r="I27" s="29">
        <f>'16-17 NGET'!I27-'15-16 NGET'!I27</f>
        <v>56.11544438032297</v>
      </c>
      <c r="J27" s="29">
        <f>'16-17 NGET'!J27-'15-16 NGET'!J27</f>
        <v>33.694808241742152</v>
      </c>
      <c r="K27" s="29">
        <f>'16-17 NGET'!K27-'15-16 NGET'!K27</f>
        <v>5.1565330854912474</v>
      </c>
      <c r="L27" s="30">
        <f>'16-17 NGET'!L27-'15-16 NGET'!L27</f>
        <v>167.4637379347505</v>
      </c>
    </row>
    <row r="28" spans="1:24">
      <c r="C28" s="19" t="s">
        <v>71</v>
      </c>
      <c r="D28" s="31">
        <f>'16-17 NGET'!D28-'15-16 NGET'!D28</f>
        <v>79.140850461208856</v>
      </c>
      <c r="E28" s="31">
        <f>'16-17 NGET'!E28-'15-16 NGET'!E28</f>
        <v>34.979462018000504</v>
      </c>
      <c r="F28" s="31">
        <f>'16-17 NGET'!F28-'15-16 NGET'!F28</f>
        <v>17.200371206787167</v>
      </c>
      <c r="G28" s="31">
        <f>'16-17 NGET'!G28-'15-16 NGET'!G28</f>
        <v>39.015344639687783</v>
      </c>
      <c r="H28" s="31">
        <f>'16-17 NGET'!H28-'15-16 NGET'!H28</f>
        <v>60.620524937324944</v>
      </c>
      <c r="I28" s="31">
        <f>'16-17 NGET'!I28-'15-16 NGET'!I28</f>
        <v>75.649152566512612</v>
      </c>
      <c r="J28" s="31">
        <f>'16-17 NGET'!J28-'15-16 NGET'!J28</f>
        <v>45.422237839929039</v>
      </c>
      <c r="K28" s="31">
        <f>'16-17 NGET'!K28-'15-16 NGET'!K28</f>
        <v>6.950693018831771</v>
      </c>
      <c r="L28" s="28">
        <f>'16-17 NGET'!L28-'15-16 NGET'!L28</f>
        <v>358.97863668828359</v>
      </c>
    </row>
    <row r="29" spans="1:24">
      <c r="A29" t="s">
        <v>346</v>
      </c>
      <c r="C29" s="17" t="s">
        <v>121</v>
      </c>
      <c r="D29" s="27">
        <f>'16-17 NGET'!D29-'15-16 NGET'!D29</f>
        <v>-0.3592346747548163</v>
      </c>
      <c r="E29" s="27">
        <f>'16-17 NGET'!E29-'15-16 NGET'!E29</f>
        <v>-781.60782952349791</v>
      </c>
      <c r="F29" s="27">
        <f>'16-17 NGET'!F29-'15-16 NGET'!F29</f>
        <v>8.4070680684326362</v>
      </c>
      <c r="G29" s="27">
        <f>'16-17 NGET'!G29-'15-16 NGET'!G29</f>
        <v>24.566239455570212</v>
      </c>
      <c r="H29" s="27">
        <f>'16-17 NGET'!H29-'15-16 NGET'!H29</f>
        <v>15.638907724251339</v>
      </c>
      <c r="I29" s="27">
        <f>'16-17 NGET'!I29-'15-16 NGET'!I29</f>
        <v>19.533708186189415</v>
      </c>
      <c r="J29" s="27">
        <f>'16-17 NGET'!J29-'15-16 NGET'!J29</f>
        <v>11.727429598186973</v>
      </c>
      <c r="K29" s="27">
        <f>'16-17 NGET'!K29-'15-16 NGET'!K29</f>
        <v>1.794159933340552</v>
      </c>
      <c r="L29" s="27">
        <f>'16-17 NGET'!L29-'15-16 NGET'!L29</f>
        <v>-700.29955123227955</v>
      </c>
    </row>
    <row r="30" spans="1:24">
      <c r="C30" s="18" t="s">
        <v>387</v>
      </c>
      <c r="D30" s="29">
        <f>'16-17 NGET'!D30-'15-16 NGET'!D30</f>
        <v>34.671870977842588</v>
      </c>
      <c r="E30" s="29">
        <f>'16-17 NGET'!E30-'15-16 NGET'!E30</f>
        <v>23.236096840786587</v>
      </c>
      <c r="F30" s="29">
        <f>'16-17 NGET'!F30-'15-16 NGET'!F30</f>
        <v>8.7933031383547302</v>
      </c>
      <c r="G30" s="29">
        <f>'16-17 NGET'!G30-'15-16 NGET'!G30</f>
        <v>14.449105184117485</v>
      </c>
      <c r="H30" s="29">
        <f>'16-17 NGET'!H30-'15-16 NGET'!H30</f>
        <v>44.981617213073747</v>
      </c>
      <c r="I30" s="29">
        <f>'16-17 NGET'!I30-'15-16 NGET'!I30</f>
        <v>56.11544438032297</v>
      </c>
      <c r="J30" s="29">
        <f>'16-17 NGET'!J30-'15-16 NGET'!J30</f>
        <v>33.694808241742152</v>
      </c>
      <c r="K30" s="29">
        <f>'16-17 NGET'!K30-'15-16 NGET'!K30</f>
        <v>5.1565330854912474</v>
      </c>
      <c r="L30" s="29">
        <f>'16-17 NGET'!L30-'15-16 NGET'!L30</f>
        <v>221.0987790617321</v>
      </c>
    </row>
    <row r="31" spans="1:24">
      <c r="C31" s="19" t="s">
        <v>77</v>
      </c>
      <c r="D31" s="31">
        <f>'16-17 NGET'!D31-'15-16 NGET'!D31</f>
        <v>34.312636303087857</v>
      </c>
      <c r="E31" s="31">
        <f>'16-17 NGET'!E31-'15-16 NGET'!E31</f>
        <v>-758.37173268271124</v>
      </c>
      <c r="F31" s="31">
        <f>'16-17 NGET'!F31-'15-16 NGET'!F31</f>
        <v>17.200371206787167</v>
      </c>
      <c r="G31" s="31">
        <f>'16-17 NGET'!G31-'15-16 NGET'!G31</f>
        <v>39.015344639687783</v>
      </c>
      <c r="H31" s="31">
        <f>'16-17 NGET'!H31-'15-16 NGET'!H31</f>
        <v>60.620524937324944</v>
      </c>
      <c r="I31" s="31">
        <f>'16-17 NGET'!I31-'15-16 NGET'!I31</f>
        <v>75.649152566512385</v>
      </c>
      <c r="J31" s="31">
        <f>'16-17 NGET'!J31-'15-16 NGET'!J31</f>
        <v>45.422237839929267</v>
      </c>
      <c r="K31" s="31">
        <f>'16-17 NGET'!K31-'15-16 NGET'!K31</f>
        <v>6.950693018831771</v>
      </c>
      <c r="L31" s="31">
        <f>'16-17 NGET'!L31-'15-16 NGET'!L31</f>
        <v>-479.20077217055041</v>
      </c>
    </row>
    <row r="32" spans="1:24">
      <c r="A32" t="s">
        <v>233</v>
      </c>
      <c r="C32" s="17" t="s">
        <v>388</v>
      </c>
      <c r="D32" s="27">
        <f>'16-17 NGET'!D32-'15-16 NGET'!D32</f>
        <v>36.409365824983979</v>
      </c>
      <c r="E32" s="27">
        <f>'16-17 NGET'!E32-'15-16 NGET'!E32</f>
        <v>-400.20463442488835</v>
      </c>
      <c r="F32" s="27">
        <f>'16-17 NGET'!F32-'15-16 NGET'!F32</f>
        <v>8.4070680684326362</v>
      </c>
      <c r="G32" s="27">
        <f>'16-17 NGET'!G32-'15-16 NGET'!G32</f>
        <v>24.566239455570212</v>
      </c>
      <c r="H32" s="27">
        <f>'16-17 NGET'!H32-'15-16 NGET'!H32</f>
        <v>15.638907724251339</v>
      </c>
      <c r="I32" s="27">
        <f>'16-17 NGET'!I32-'15-16 NGET'!I32</f>
        <v>19.533708186189415</v>
      </c>
      <c r="J32" s="27">
        <f>'16-17 NGET'!J32-'15-16 NGET'!J32</f>
        <v>11.727429598186973</v>
      </c>
      <c r="K32" s="27">
        <f>'16-17 NGET'!K32-'15-16 NGET'!K32</f>
        <v>1.794159933340552</v>
      </c>
      <c r="L32" s="27">
        <f>'16-17 NGET'!L32-'15-16 NGET'!L32</f>
        <v>-282.12775563393188</v>
      </c>
    </row>
    <row r="33" spans="3:14">
      <c r="C33" s="18" t="s">
        <v>389</v>
      </c>
      <c r="D33" s="29">
        <f>'16-17 NGET'!D33-'15-16 NGET'!D33</f>
        <v>18.92322009684699</v>
      </c>
      <c r="E33" s="29">
        <f>'16-17 NGET'!E33-'15-16 NGET'!E33</f>
        <v>13.835276937340666</v>
      </c>
      <c r="F33" s="29">
        <f>'16-17 NGET'!F33-'15-16 NGET'!F33</f>
        <v>8.7933031383547302</v>
      </c>
      <c r="G33" s="29">
        <f>'16-17 NGET'!G33-'15-16 NGET'!G33</f>
        <v>14.449105184117485</v>
      </c>
      <c r="H33" s="29">
        <f>'16-17 NGET'!H33-'15-16 NGET'!H33</f>
        <v>44.981617213073747</v>
      </c>
      <c r="I33" s="29">
        <f>'16-17 NGET'!I33-'15-16 NGET'!I33</f>
        <v>56.11544438032297</v>
      </c>
      <c r="J33" s="29">
        <f>'16-17 NGET'!J33-'15-16 NGET'!J33</f>
        <v>33.694808241742152</v>
      </c>
      <c r="K33" s="29">
        <f>'16-17 NGET'!K33-'15-16 NGET'!K33</f>
        <v>5.1565330854912474</v>
      </c>
      <c r="L33" s="29">
        <f>'16-17 NGET'!L33-'15-16 NGET'!L33</f>
        <v>195.94930827729013</v>
      </c>
    </row>
    <row r="34" spans="3:14">
      <c r="C34" s="19" t="s">
        <v>78</v>
      </c>
      <c r="D34" s="31">
        <f>'16-17 NGET'!D34-'15-16 NGET'!D34</f>
        <v>55.332585921830969</v>
      </c>
      <c r="E34" s="31">
        <f>'16-17 NGET'!E34-'15-16 NGET'!E34</f>
        <v>-386.36935748754763</v>
      </c>
      <c r="F34" s="31">
        <f>'16-17 NGET'!F34-'15-16 NGET'!F34</f>
        <v>17.200371206787167</v>
      </c>
      <c r="G34" s="31">
        <f>'16-17 NGET'!G34-'15-16 NGET'!G34</f>
        <v>39.015344639687783</v>
      </c>
      <c r="H34" s="31">
        <f>'16-17 NGET'!H34-'15-16 NGET'!H34</f>
        <v>60.620524937324944</v>
      </c>
      <c r="I34" s="31">
        <f>'16-17 NGET'!I34-'15-16 NGET'!I34</f>
        <v>75.649152566512385</v>
      </c>
      <c r="J34" s="31">
        <f>'16-17 NGET'!J34-'15-16 NGET'!J34</f>
        <v>45.422237839929267</v>
      </c>
      <c r="K34" s="31">
        <f>'16-17 NGET'!K34-'15-16 NGET'!K34</f>
        <v>6.950693018831771</v>
      </c>
      <c r="L34" s="31">
        <f>'16-17 NGET'!L34-'15-16 NGET'!L34</f>
        <v>-86.178447356644028</v>
      </c>
    </row>
    <row r="35" spans="3:14">
      <c r="C35" s="20"/>
      <c r="D35" s="32"/>
      <c r="E35" s="32"/>
      <c r="F35" s="32"/>
      <c r="G35" s="32"/>
      <c r="H35" s="32"/>
      <c r="I35" s="32"/>
      <c r="J35" s="32"/>
      <c r="K35" s="32"/>
      <c r="L35" s="33"/>
    </row>
    <row r="36" spans="3:14">
      <c r="C36" s="17" t="s">
        <v>79</v>
      </c>
      <c r="D36" s="27">
        <f>'16-17 NGET'!D36-'15-16 NGET'!D36</f>
        <v>8.2998878882746112</v>
      </c>
      <c r="E36" s="27">
        <f>'16-17 NGET'!E36-'15-16 NGET'!E36</f>
        <v>-57.955403623132156</v>
      </c>
      <c r="F36" s="27">
        <f>'16-17 NGET'!F36-'15-16 NGET'!F36</f>
        <v>2.5800556810179387</v>
      </c>
      <c r="G36" s="27">
        <f>'16-17 NGET'!G36-'15-16 NGET'!G36</f>
        <v>5.8523016959532015</v>
      </c>
      <c r="H36" s="27">
        <f>'16-17 NGET'!H36-'15-16 NGET'!H36</f>
        <v>9.0930787405985711</v>
      </c>
      <c r="I36" s="27">
        <f>'16-17 NGET'!I36-'15-16 NGET'!I36</f>
        <v>11.347372884976863</v>
      </c>
      <c r="J36" s="27">
        <f>'16-17 NGET'!J36-'15-16 NGET'!J36</f>
        <v>6.8133356759893786</v>
      </c>
      <c r="K36" s="27">
        <f>'16-17 NGET'!K36-'15-16 NGET'!K36</f>
        <v>1.042603952824777</v>
      </c>
      <c r="L36" s="28">
        <f>'16-17 NGET'!L36-'15-16 NGET'!L36</f>
        <v>-12.926767103496559</v>
      </c>
    </row>
    <row r="37" spans="3:14">
      <c r="C37" s="18" t="s">
        <v>80</v>
      </c>
      <c r="D37" s="29">
        <f>'16-17 NGET'!D37-'15-16 NGET'!D37</f>
        <v>47.032698033556017</v>
      </c>
      <c r="E37" s="29">
        <f>'16-17 NGET'!E37-'15-16 NGET'!E37</f>
        <v>-328.41395386441536</v>
      </c>
      <c r="F37" s="29">
        <f>'16-17 NGET'!F37-'15-16 NGET'!F37</f>
        <v>14.620315525769456</v>
      </c>
      <c r="G37" s="29">
        <f>'16-17 NGET'!G37-'15-16 NGET'!G37</f>
        <v>33.163042943734808</v>
      </c>
      <c r="H37" s="29">
        <f>'16-17 NGET'!H37-'15-16 NGET'!H37</f>
        <v>51.527446196726032</v>
      </c>
      <c r="I37" s="29">
        <f>'16-17 NGET'!I37-'15-16 NGET'!I37</f>
        <v>64.301779681535436</v>
      </c>
      <c r="J37" s="29">
        <f>'16-17 NGET'!J37-'15-16 NGET'!J37</f>
        <v>38.608902163939661</v>
      </c>
      <c r="K37" s="29">
        <f>'16-17 NGET'!K37-'15-16 NGET'!K37</f>
        <v>5.9080890660070509</v>
      </c>
      <c r="L37" s="30">
        <f>'16-17 NGET'!L37-'15-16 NGET'!L37</f>
        <v>-73.251680253146333</v>
      </c>
    </row>
    <row r="38" spans="3:14" ht="13.8" thickBot="1">
      <c r="C38" s="21" t="s">
        <v>390</v>
      </c>
      <c r="D38" s="34">
        <f>'16-17 NGET'!D38-'15-16 NGET'!D38</f>
        <v>55.332585921830741</v>
      </c>
      <c r="E38" s="34">
        <f>'16-17 NGET'!E38-'15-16 NGET'!E38</f>
        <v>-386.3693574875474</v>
      </c>
      <c r="F38" s="34">
        <f>'16-17 NGET'!F38-'15-16 NGET'!F38</f>
        <v>17.200371206787395</v>
      </c>
      <c r="G38" s="34">
        <f>'16-17 NGET'!G38-'15-16 NGET'!G38</f>
        <v>39.01534463968801</v>
      </c>
      <c r="H38" s="34">
        <f>'16-17 NGET'!H38-'15-16 NGET'!H38</f>
        <v>60.620524937324717</v>
      </c>
      <c r="I38" s="34">
        <f>'16-17 NGET'!I38-'15-16 NGET'!I38</f>
        <v>75.649152566512385</v>
      </c>
      <c r="J38" s="34">
        <f>'16-17 NGET'!J38-'15-16 NGET'!J38</f>
        <v>45.422237839929039</v>
      </c>
      <c r="K38" s="34">
        <f>'16-17 NGET'!K38-'15-16 NGET'!K38</f>
        <v>6.950693018831771</v>
      </c>
      <c r="L38" s="35">
        <f>'16-17 NGET'!L38-'15-16 NGET'!L38</f>
        <v>-86.178447356644028</v>
      </c>
    </row>
    <row r="39" spans="3:14">
      <c r="D39" s="109"/>
      <c r="E39" s="109"/>
      <c r="F39" s="109"/>
      <c r="G39" s="109"/>
      <c r="H39" s="109"/>
      <c r="I39" s="109"/>
      <c r="J39" s="109"/>
      <c r="K39" s="109"/>
      <c r="L39" s="109"/>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'16-17 NGET'!D42-'15-16 NGET'!D42</f>
        <v>0</v>
      </c>
      <c r="E42" s="36">
        <f>'16-17 NGET'!E42-'15-16 NGET'!E42</f>
        <v>32.441122422625995</v>
      </c>
      <c r="F42" s="36">
        <f>'16-17 NGET'!F42-'15-16 NGET'!F42</f>
        <v>-297.37569078979504</v>
      </c>
      <c r="G42" s="36">
        <f>'16-17 NGET'!G42-'15-16 NGET'!G42</f>
        <v>-271.64722684576736</v>
      </c>
      <c r="H42" s="36">
        <f>'16-17 NGET'!H42-'15-16 NGET'!H42</f>
        <v>-227.87374835273658</v>
      </c>
      <c r="I42" s="36">
        <f>'16-17 NGET'!I42-'15-16 NGET'!I42</f>
        <v>-166.75626792805997</v>
      </c>
      <c r="J42" s="36">
        <f>'16-17 NGET'!J42-'15-16 NGET'!J42</f>
        <v>-94.31083847321861</v>
      </c>
      <c r="K42" s="36">
        <f>'16-17 NGET'!K42-'15-16 NGET'!K42</f>
        <v>-49.217687301948899</v>
      </c>
    </row>
    <row r="43" spans="3:14">
      <c r="C43" s="17" t="s">
        <v>86</v>
      </c>
      <c r="D43" s="27">
        <f>'16-17 NGET'!D43-'15-16 NGET'!D43</f>
        <v>32.44112242262554</v>
      </c>
      <c r="E43" s="27">
        <f>'16-17 NGET'!E43-'15-16 NGET'!E43</f>
        <v>-328.41395386441536</v>
      </c>
      <c r="F43" s="27">
        <f>'16-17 NGET'!F43-'15-16 NGET'!F43</f>
        <v>14.620315525769456</v>
      </c>
      <c r="G43" s="27">
        <f>'16-17 NGET'!G43-'15-16 NGET'!G43</f>
        <v>33.163042943734808</v>
      </c>
      <c r="H43" s="27">
        <f>'16-17 NGET'!H43-'15-16 NGET'!H43</f>
        <v>51.527446196726032</v>
      </c>
      <c r="I43" s="27">
        <f>'16-17 NGET'!I43-'15-16 NGET'!I43</f>
        <v>64.301779681535436</v>
      </c>
      <c r="J43" s="27">
        <f>'16-17 NGET'!J43-'15-16 NGET'!J43</f>
        <v>38.608902163939661</v>
      </c>
      <c r="K43" s="27">
        <f>'16-17 NGET'!K43-'15-16 NGET'!K43</f>
        <v>5.9080890660070509</v>
      </c>
    </row>
    <row r="44" spans="3:14">
      <c r="C44" s="18" t="s">
        <v>92</v>
      </c>
      <c r="D44" s="29">
        <f>'16-17 NGET'!D44-'15-16 NGET'!D44</f>
        <v>0</v>
      </c>
      <c r="E44" s="29">
        <f>'16-17 NGET'!E44-'15-16 NGET'!E44</f>
        <v>0</v>
      </c>
      <c r="F44" s="29">
        <f>'16-17 NGET'!F44-'15-16 NGET'!F44</f>
        <v>0</v>
      </c>
      <c r="G44" s="29">
        <f>'16-17 NGET'!G44-'15-16 NGET'!G44</f>
        <v>0</v>
      </c>
      <c r="H44" s="29">
        <f>'16-17 NGET'!H44-'15-16 NGET'!H44</f>
        <v>0</v>
      </c>
      <c r="I44" s="29">
        <f>'16-17 NGET'!I44-'15-16 NGET'!I44</f>
        <v>0</v>
      </c>
      <c r="J44" s="29">
        <f>'16-17 NGET'!J44-'15-16 NGET'!J44</f>
        <v>0</v>
      </c>
      <c r="K44" s="29">
        <f>'16-17 NGET'!K44-'15-16 NGET'!K44</f>
        <v>0</v>
      </c>
    </row>
    <row r="45" spans="3:14">
      <c r="C45" s="17" t="s">
        <v>93</v>
      </c>
      <c r="D45" s="27">
        <f>'16-17 NGET'!D45-'15-16 NGET'!D45</f>
        <v>0</v>
      </c>
      <c r="E45" s="27">
        <f>'16-17 NGET'!E45-'15-16 NGET'!E45</f>
        <v>-1.4028593480054283</v>
      </c>
      <c r="F45" s="27">
        <f>'16-17 NGET'!F45-'15-16 NGET'!F45</f>
        <v>11.108148418258025</v>
      </c>
      <c r="G45" s="27">
        <f>'16-17 NGET'!G45-'15-16 NGET'!G45</f>
        <v>10.610435549295687</v>
      </c>
      <c r="H45" s="27">
        <f>'16-17 NGET'!H45-'15-16 NGET'!H45</f>
        <v>9.5900342279499853</v>
      </c>
      <c r="I45" s="27">
        <f>'16-17 NGET'!I45-'15-16 NGET'!I45</f>
        <v>8.143649773305043</v>
      </c>
      <c r="J45" s="27">
        <f>'16-17 NGET'!J45-'15-16 NGET'!J45</f>
        <v>6.4842490073299359</v>
      </c>
      <c r="K45" s="27">
        <f>'16-17 NGET'!K45-'15-16 NGET'!K45</f>
        <v>5.5622453735641955</v>
      </c>
      <c r="N45" s="208"/>
    </row>
    <row r="46" spans="3:14" ht="13.8" thickBot="1">
      <c r="C46" s="25" t="s">
        <v>94</v>
      </c>
      <c r="D46" s="37">
        <f>'16-17 NGET'!D46-'15-16 NGET'!D46</f>
        <v>32.441122422625995</v>
      </c>
      <c r="E46" s="37">
        <f>'16-17 NGET'!E46-'15-16 NGET'!E46</f>
        <v>-297.37569078979504</v>
      </c>
      <c r="F46" s="37">
        <f>'16-17 NGET'!F46-'15-16 NGET'!F46</f>
        <v>-271.64722684576736</v>
      </c>
      <c r="G46" s="37">
        <f>'16-17 NGET'!G46-'15-16 NGET'!G46</f>
        <v>-227.87374835273658</v>
      </c>
      <c r="H46" s="37">
        <f>'16-17 NGET'!H46-'15-16 NGET'!H46</f>
        <v>-166.75626792805997</v>
      </c>
      <c r="I46" s="37">
        <f>'16-17 NGET'!I46-'15-16 NGET'!I46</f>
        <v>-94.31083847321861</v>
      </c>
      <c r="J46" s="37">
        <f>'16-17 NGET'!J46-'15-16 NGET'!J46</f>
        <v>-49.217687301948899</v>
      </c>
      <c r="K46" s="37">
        <f>'16-17 NGET'!K46-'15-16 NGET'!K46</f>
        <v>-37.747352862377738</v>
      </c>
      <c r="N46" s="209"/>
    </row>
    <row r="47" spans="3:14">
      <c r="D47" s="53"/>
      <c r="E47" s="53"/>
      <c r="F47" s="53"/>
      <c r="G47" s="53"/>
      <c r="H47" s="53"/>
      <c r="I47" s="53"/>
      <c r="J47" s="53"/>
      <c r="K47" s="53"/>
    </row>
    <row r="49" spans="1:39" ht="13.8" thickBot="1">
      <c r="A49" s="38" t="s">
        <v>363</v>
      </c>
    </row>
    <row r="50" spans="1:39" ht="13.8" thickBot="1">
      <c r="C50" s="7" t="s">
        <v>58</v>
      </c>
      <c r="D50" s="8" t="s">
        <v>59</v>
      </c>
      <c r="E50" s="8" t="s">
        <v>60</v>
      </c>
      <c r="F50" s="8" t="s">
        <v>61</v>
      </c>
      <c r="G50" s="8" t="s">
        <v>62</v>
      </c>
      <c r="H50" s="8" t="s">
        <v>63</v>
      </c>
      <c r="I50" s="8" t="s">
        <v>64</v>
      </c>
      <c r="J50" s="8" t="s">
        <v>65</v>
      </c>
      <c r="K50" s="8" t="s">
        <v>66</v>
      </c>
      <c r="P50" s="204"/>
    </row>
    <row r="51" spans="1:39">
      <c r="C51" s="22" t="s">
        <v>91</v>
      </c>
      <c r="D51" s="41">
        <f>'16-17 NGET'!D51-'15-16 NGET'!D51</f>
        <v>0</v>
      </c>
      <c r="E51" s="41">
        <f>'16-17 NGET'!E51-'15-16 NGET'!E51</f>
        <v>32.441122422625995</v>
      </c>
      <c r="F51" s="41">
        <f>'16-17 NGET'!F51-'15-16 NGET'!F51</f>
        <v>-297.37569078979504</v>
      </c>
      <c r="G51" s="41">
        <f>'16-17 NGET'!G51-'15-16 NGET'!G51</f>
        <v>-271.64722684576736</v>
      </c>
      <c r="H51" s="41">
        <f>'16-17 NGET'!H51-'15-16 NGET'!H51</f>
        <v>-227.8737483527384</v>
      </c>
      <c r="I51" s="41">
        <f>'16-17 NGET'!I51-'15-16 NGET'!I51</f>
        <v>-166.75626792805997</v>
      </c>
      <c r="J51" s="41">
        <f>'16-17 NGET'!J51-'15-16 NGET'!J51</f>
        <v>-94.310838473220429</v>
      </c>
      <c r="K51" s="41">
        <f>'16-17 NGET'!K51-'15-16 NGET'!K51</f>
        <v>-49.217687301950718</v>
      </c>
      <c r="P51" s="42"/>
    </row>
    <row r="52" spans="1:39">
      <c r="C52" s="10" t="s">
        <v>85</v>
      </c>
      <c r="D52" s="42">
        <f>'16-17 NGET'!D52-'15-16 NGET'!D52</f>
        <v>0</v>
      </c>
      <c r="E52" s="42">
        <f>'16-17 NGET'!E52-'15-16 NGET'!E52</f>
        <v>0</v>
      </c>
      <c r="F52" s="42">
        <f>'16-17 NGET'!F52-'15-16 NGET'!F52</f>
        <v>0</v>
      </c>
      <c r="G52" s="42">
        <f>'16-17 NGET'!G52-'15-16 NGET'!G52</f>
        <v>0</v>
      </c>
      <c r="H52" s="42">
        <f>'16-17 NGET'!H52-'15-16 NGET'!H52</f>
        <v>0</v>
      </c>
      <c r="I52" s="42">
        <f>'16-17 NGET'!I52-'15-16 NGET'!I52</f>
        <v>0</v>
      </c>
      <c r="J52" s="42">
        <f>'16-17 NGET'!J52-'15-16 NGET'!J52</f>
        <v>0</v>
      </c>
      <c r="K52" s="42">
        <f>'16-17 NGET'!K52-'15-16 NGET'!K52</f>
        <v>0</v>
      </c>
      <c r="P52" s="42"/>
    </row>
    <row r="53" spans="1:39">
      <c r="C53" s="11" t="s">
        <v>86</v>
      </c>
      <c r="D53" s="43">
        <f>'16-17 NGET'!D53-'15-16 NGET'!D53</f>
        <v>32.44112242262554</v>
      </c>
      <c r="E53" s="43">
        <f>'16-17 NGET'!E53-'15-16 NGET'!E53</f>
        <v>-328.41395386441536</v>
      </c>
      <c r="F53" s="43">
        <f>'16-17 NGET'!F53-'15-16 NGET'!F53</f>
        <v>14.620315525769456</v>
      </c>
      <c r="G53" s="43">
        <f>'16-17 NGET'!G53-'15-16 NGET'!G53</f>
        <v>33.163042943734808</v>
      </c>
      <c r="H53" s="43">
        <f>'16-17 NGET'!H53-'15-16 NGET'!H53</f>
        <v>51.527446196726032</v>
      </c>
      <c r="I53" s="43">
        <f>'16-17 NGET'!I53-'15-16 NGET'!I53</f>
        <v>64.301779681535436</v>
      </c>
      <c r="J53" s="43">
        <f>'16-17 NGET'!J53-'15-16 NGET'!J53</f>
        <v>38.608902163939661</v>
      </c>
      <c r="K53" s="43">
        <f>'16-17 NGET'!K53-'15-16 NGET'!K53</f>
        <v>5.9080890660070509</v>
      </c>
      <c r="P53" s="42"/>
    </row>
    <row r="54" spans="1:39">
      <c r="C54" s="10" t="s">
        <v>87</v>
      </c>
      <c r="D54" s="42">
        <f>'16-17 NGET'!D54-'15-16 NGET'!D54</f>
        <v>0</v>
      </c>
      <c r="E54" s="42">
        <f>'16-17 NGET'!E54-'15-16 NGET'!E54</f>
        <v>-1.4028593480054496</v>
      </c>
      <c r="F54" s="42">
        <f>'16-17 NGET'!F54-'15-16 NGET'!F54</f>
        <v>11.108148418257997</v>
      </c>
      <c r="G54" s="42">
        <f>'16-17 NGET'!G54-'15-16 NGET'!G54</f>
        <v>10.610435549295516</v>
      </c>
      <c r="H54" s="42">
        <f>'16-17 NGET'!H54-'15-16 NGET'!H54</f>
        <v>9.5900342279501274</v>
      </c>
      <c r="I54" s="42">
        <f>'16-17 NGET'!I54-'15-16 NGET'!I54</f>
        <v>8.1436497733050146</v>
      </c>
      <c r="J54" s="42">
        <f>'16-17 NGET'!J54-'15-16 NGET'!J54</f>
        <v>6.4842490073299359</v>
      </c>
      <c r="K54" s="42">
        <f>'16-17 NGET'!K54-'15-16 NGET'!K54</f>
        <v>5.5622453735641102</v>
      </c>
      <c r="P54" s="42"/>
    </row>
    <row r="55" spans="1:39">
      <c r="C55" s="39" t="s">
        <v>94</v>
      </c>
      <c r="D55" s="45">
        <f>'16-17 NGET'!D55-'15-16 NGET'!D55</f>
        <v>32.441122422625995</v>
      </c>
      <c r="E55" s="45">
        <f>'16-17 NGET'!E55-'15-16 NGET'!E55</f>
        <v>-297.37569078979504</v>
      </c>
      <c r="F55" s="45">
        <f>'16-17 NGET'!F55-'15-16 NGET'!F55</f>
        <v>-271.64722684576736</v>
      </c>
      <c r="G55" s="45">
        <f>'16-17 NGET'!G55-'15-16 NGET'!G55</f>
        <v>-227.8737483527384</v>
      </c>
      <c r="H55" s="45">
        <f>'16-17 NGET'!H55-'15-16 NGET'!H55</f>
        <v>-166.75626792805997</v>
      </c>
      <c r="I55" s="45">
        <f>'16-17 NGET'!I55-'15-16 NGET'!I55</f>
        <v>-94.310838473220429</v>
      </c>
      <c r="J55" s="45">
        <f>'16-17 NGET'!J55-'15-16 NGET'!J55</f>
        <v>-49.217687301950718</v>
      </c>
      <c r="K55" s="45">
        <f>'16-17 NGET'!K55-'15-16 NGET'!K55</f>
        <v>-37.747352862377738</v>
      </c>
      <c r="M55" s="189"/>
      <c r="O55" s="210"/>
      <c r="P55" s="50"/>
    </row>
    <row r="56" spans="1:39" ht="13.8" thickBot="1">
      <c r="C56" s="40" t="s">
        <v>163</v>
      </c>
      <c r="D56" s="46">
        <f>'16-17 NGET'!D56-'15-16 NGET'!D56</f>
        <v>0</v>
      </c>
      <c r="E56" s="46">
        <f>'16-17 NGET'!E56-'15-16 NGET'!E56</f>
        <v>0</v>
      </c>
      <c r="F56" s="46">
        <f>'16-17 NGET'!F56-'15-16 NGET'!F56</f>
        <v>0</v>
      </c>
      <c r="G56" s="46">
        <f>'16-17 NGET'!G56-'15-16 NGET'!G56</f>
        <v>0</v>
      </c>
      <c r="H56" s="46">
        <f>'16-17 NGET'!H56-'15-16 NGET'!H56</f>
        <v>0</v>
      </c>
      <c r="I56" s="46">
        <f>'16-17 NGET'!I56-'15-16 NGET'!I56</f>
        <v>0</v>
      </c>
      <c r="J56" s="46">
        <f>'16-17 NGET'!J56-'15-16 NGET'!J56</f>
        <v>0</v>
      </c>
      <c r="K56" s="46">
        <f>'16-17 NGET'!K56-'15-16 NGET'!K56</f>
        <v>0</v>
      </c>
      <c r="P56" s="42"/>
    </row>
    <row r="57" spans="1:39">
      <c r="D57" s="53"/>
      <c r="E57" s="53"/>
      <c r="F57" s="53"/>
      <c r="G57" s="53"/>
      <c r="H57" s="53"/>
      <c r="I57" s="53"/>
      <c r="J57" s="53"/>
      <c r="K57" s="53"/>
      <c r="P57" s="53"/>
    </row>
    <row r="58" spans="1:39" ht="13.8" thickBot="1">
      <c r="P58" s="207"/>
    </row>
    <row r="59" spans="1:39" ht="13.8" thickBot="1">
      <c r="C59" s="7" t="s">
        <v>58</v>
      </c>
      <c r="D59" s="8" t="s">
        <v>59</v>
      </c>
      <c r="E59" s="8" t="s">
        <v>60</v>
      </c>
      <c r="F59" s="8" t="s">
        <v>61</v>
      </c>
      <c r="G59" s="8" t="s">
        <v>62</v>
      </c>
      <c r="H59" s="8" t="s">
        <v>63</v>
      </c>
      <c r="I59" s="8" t="s">
        <v>64</v>
      </c>
      <c r="J59" s="8" t="s">
        <v>65</v>
      </c>
      <c r="K59" s="8" t="s">
        <v>66</v>
      </c>
      <c r="P59" s="204"/>
      <c r="S59" s="7" t="s">
        <v>58</v>
      </c>
      <c r="T59" s="8" t="s">
        <v>59</v>
      </c>
      <c r="U59" s="8" t="s">
        <v>60</v>
      </c>
      <c r="V59" s="8" t="s">
        <v>61</v>
      </c>
      <c r="W59" s="8" t="s">
        <v>62</v>
      </c>
      <c r="X59" s="8" t="s">
        <v>63</v>
      </c>
      <c r="Y59" s="8" t="s">
        <v>64</v>
      </c>
      <c r="Z59" s="8" t="s">
        <v>65</v>
      </c>
      <c r="AA59" s="8" t="s">
        <v>66</v>
      </c>
      <c r="AC59" s="8" t="s">
        <v>59</v>
      </c>
      <c r="AD59" s="8" t="s">
        <v>60</v>
      </c>
      <c r="AE59" s="8" t="s">
        <v>61</v>
      </c>
      <c r="AF59" s="8" t="s">
        <v>62</v>
      </c>
      <c r="AG59" s="8" t="s">
        <v>63</v>
      </c>
      <c r="AH59" s="8" t="s">
        <v>64</v>
      </c>
      <c r="AI59" s="8" t="s">
        <v>65</v>
      </c>
      <c r="AJ59" s="8" t="s">
        <v>66</v>
      </c>
      <c r="AK59" s="8" t="s">
        <v>391</v>
      </c>
    </row>
    <row r="60" spans="1:39">
      <c r="C60" s="22" t="s">
        <v>79</v>
      </c>
      <c r="D60" s="41">
        <f>'16-17 NGET'!D60-'15-16 NGET'!D60</f>
        <v>8.2998878882746112</v>
      </c>
      <c r="E60" s="41">
        <f>'16-17 NGET'!E60-'15-16 NGET'!E60</f>
        <v>-57.955403623132156</v>
      </c>
      <c r="F60" s="41">
        <f>'16-17 NGET'!F60-'15-16 NGET'!F60</f>
        <v>2.5800556810179387</v>
      </c>
      <c r="G60" s="41">
        <f>'16-17 NGET'!G60-'15-16 NGET'!G60</f>
        <v>5.8523016959532015</v>
      </c>
      <c r="H60" s="41">
        <f>'16-17 NGET'!H60-'15-16 NGET'!H60</f>
        <v>9.0930787405985711</v>
      </c>
      <c r="I60" s="41">
        <f>'16-17 NGET'!I60-'15-16 NGET'!I60</f>
        <v>11.347372884976863</v>
      </c>
      <c r="J60" s="41">
        <f>'16-17 NGET'!J60-'15-16 NGET'!J60</f>
        <v>6.8133356759893786</v>
      </c>
      <c r="K60" s="41">
        <f>'16-17 NGET'!K60-'15-16 NGET'!K60</f>
        <v>1.042603952824777</v>
      </c>
      <c r="L60" s="28">
        <f>'16-17 NGET'!L60-'15-16 NGET'!L60</f>
        <v>-12.926767103496559</v>
      </c>
      <c r="P60" s="42"/>
      <c r="S60" s="22" t="s">
        <v>79</v>
      </c>
      <c r="T60" s="41">
        <v>262</v>
      </c>
      <c r="U60" s="41">
        <v>292</v>
      </c>
      <c r="V60" s="41">
        <v>277</v>
      </c>
      <c r="W60" s="41">
        <v>287</v>
      </c>
      <c r="X60" s="41">
        <v>249</v>
      </c>
      <c r="Y60" s="41">
        <v>252</v>
      </c>
      <c r="Z60" s="41">
        <v>199</v>
      </c>
      <c r="AA60" s="41">
        <v>153</v>
      </c>
      <c r="AB60" s="109"/>
      <c r="AC60" s="41">
        <f>D60-T60</f>
        <v>-253.70011211172539</v>
      </c>
      <c r="AD60" s="41">
        <f t="shared" ref="AD60:AJ74" si="2">E60-U60</f>
        <v>-349.95540362313216</v>
      </c>
      <c r="AE60" s="41">
        <f t="shared" si="2"/>
        <v>-274.41994431898206</v>
      </c>
      <c r="AF60" s="41">
        <f t="shared" si="2"/>
        <v>-281.1476983040468</v>
      </c>
      <c r="AG60" s="41">
        <f t="shared" si="2"/>
        <v>-239.90692125940143</v>
      </c>
      <c r="AH60" s="41">
        <f t="shared" si="2"/>
        <v>-240.65262711502314</v>
      </c>
      <c r="AI60" s="41">
        <f t="shared" si="2"/>
        <v>-192.18666432401062</v>
      </c>
      <c r="AJ60" s="41">
        <f t="shared" si="2"/>
        <v>-151.95739604717522</v>
      </c>
      <c r="AK60" s="162">
        <f>SUM(AC60:AJ60)</f>
        <v>-1983.9267671034968</v>
      </c>
      <c r="AL60" s="109"/>
      <c r="AM60" s="109"/>
    </row>
    <row r="61" spans="1:39">
      <c r="C61" s="10" t="s">
        <v>98</v>
      </c>
      <c r="D61" s="42">
        <f>'16-17 NGET'!D61-'15-16 NGET'!D61</f>
        <v>0</v>
      </c>
      <c r="E61" s="42">
        <f>'16-17 NGET'!E61-'15-16 NGET'!E61</f>
        <v>0</v>
      </c>
      <c r="F61" s="42">
        <f>'16-17 NGET'!F61-'15-16 NGET'!F61</f>
        <v>0</v>
      </c>
      <c r="G61" s="42">
        <f>'16-17 NGET'!G61-'15-16 NGET'!G61</f>
        <v>0</v>
      </c>
      <c r="H61" s="42">
        <f>'16-17 NGET'!H61-'15-16 NGET'!H61</f>
        <v>0</v>
      </c>
      <c r="I61" s="42">
        <f>'16-17 NGET'!I61-'15-16 NGET'!I61</f>
        <v>0</v>
      </c>
      <c r="J61" s="42">
        <f>'16-17 NGET'!J61-'15-16 NGET'!J61</f>
        <v>0</v>
      </c>
      <c r="K61" s="42">
        <f>'16-17 NGET'!K61-'15-16 NGET'!K61</f>
        <v>0</v>
      </c>
      <c r="L61" s="28">
        <f>'16-17 NGET'!L61-'15-16 NGET'!L61</f>
        <v>0</v>
      </c>
      <c r="P61" s="42"/>
      <c r="S61" s="10" t="s">
        <v>98</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99</v>
      </c>
      <c r="D62" s="43">
        <f>'16-17 NGET'!D62-'15-16 NGET'!D62</f>
        <v>0</v>
      </c>
      <c r="E62" s="43">
        <f>'16-17 NGET'!E62-'15-16 NGET'!E62</f>
        <v>0</v>
      </c>
      <c r="F62" s="43">
        <f>'16-17 NGET'!F62-'15-16 NGET'!F62</f>
        <v>0</v>
      </c>
      <c r="G62" s="43">
        <f>'16-17 NGET'!G62-'15-16 NGET'!G62</f>
        <v>-1.8094369549075395E-3</v>
      </c>
      <c r="H62" s="43">
        <f>'16-17 NGET'!H62-'15-16 NGET'!H62</f>
        <v>-3.7737255244181256E-3</v>
      </c>
      <c r="I62" s="43">
        <f>'16-17 NGET'!I62-'15-16 NGET'!I62</f>
        <v>-5.9028053300380634E-3</v>
      </c>
      <c r="J62" s="43">
        <f>'16-17 NGET'!J62-'15-16 NGET'!J62</f>
        <v>-8.2071831355392533E-3</v>
      </c>
      <c r="K62" s="43">
        <f>'16-17 NGET'!K62-'15-16 NGET'!K62</f>
        <v>-1.069796318626004E-2</v>
      </c>
      <c r="L62" s="28">
        <f>'16-17 NGET'!L62-'15-16 NGET'!L62</f>
        <v>-3.03911141311346E-2</v>
      </c>
      <c r="P62" s="42"/>
      <c r="S62" s="11" t="s">
        <v>99</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-32.001809436954908</v>
      </c>
      <c r="AG62" s="43">
        <f t="shared" si="2"/>
        <v>-32.003773725524418</v>
      </c>
      <c r="AH62" s="43">
        <f t="shared" si="2"/>
        <v>-32.005902805330038</v>
      </c>
      <c r="AI62" s="43">
        <f t="shared" si="2"/>
        <v>-32.008207183135539</v>
      </c>
      <c r="AJ62" s="43">
        <f t="shared" si="2"/>
        <v>-32.01069796318626</v>
      </c>
      <c r="AK62" s="45">
        <f t="shared" si="4"/>
        <v>-256.03039111413113</v>
      </c>
      <c r="AL62" s="109"/>
      <c r="AM62" s="109"/>
    </row>
    <row r="63" spans="1:39">
      <c r="C63" s="10" t="s">
        <v>100</v>
      </c>
      <c r="D63" s="42">
        <f>'16-17 NGET'!D63-'15-16 NGET'!D63</f>
        <v>0</v>
      </c>
      <c r="E63" s="42">
        <f>'16-17 NGET'!E63-'15-16 NGET'!E63</f>
        <v>0</v>
      </c>
      <c r="F63" s="42">
        <f>'16-17 NGET'!F63-'15-16 NGET'!F63</f>
        <v>0</v>
      </c>
      <c r="G63" s="42">
        <f>'16-17 NGET'!G63-'15-16 NGET'!G63</f>
        <v>-19.263784250501491</v>
      </c>
      <c r="H63" s="42">
        <f>'16-17 NGET'!H63-'15-16 NGET'!H63</f>
        <v>0</v>
      </c>
      <c r="I63" s="42">
        <f>'16-17 NGET'!I63-'15-16 NGET'!I63</f>
        <v>0</v>
      </c>
      <c r="J63" s="42">
        <f>'16-17 NGET'!J63-'15-16 NGET'!J63</f>
        <v>0</v>
      </c>
      <c r="K63" s="42">
        <f>'16-17 NGET'!K63-'15-16 NGET'!K63</f>
        <v>0</v>
      </c>
      <c r="L63" s="28">
        <f>'16-17 NGET'!L63-'15-16 NGET'!L63</f>
        <v>-19.263784250501491</v>
      </c>
      <c r="P63" s="42"/>
      <c r="S63" s="10" t="s">
        <v>100</v>
      </c>
      <c r="T63" s="42">
        <v>0</v>
      </c>
      <c r="U63" s="42">
        <v>17</v>
      </c>
      <c r="V63" s="42">
        <v>14</v>
      </c>
      <c r="W63" s="42">
        <v>0</v>
      </c>
      <c r="X63" s="42">
        <v>22</v>
      </c>
      <c r="Y63" s="42">
        <v>0</v>
      </c>
      <c r="Z63" s="42">
        <v>0</v>
      </c>
      <c r="AA63" s="42">
        <v>0</v>
      </c>
      <c r="AB63" s="109"/>
      <c r="AC63" s="42">
        <f t="shared" si="3"/>
        <v>0</v>
      </c>
      <c r="AD63" s="42">
        <f t="shared" si="2"/>
        <v>-17</v>
      </c>
      <c r="AE63" s="42">
        <f t="shared" si="2"/>
        <v>-14</v>
      </c>
      <c r="AF63" s="42">
        <f t="shared" si="2"/>
        <v>-19.263784250501491</v>
      </c>
      <c r="AG63" s="42">
        <f t="shared" si="2"/>
        <v>-22</v>
      </c>
      <c r="AH63" s="42">
        <f t="shared" si="2"/>
        <v>0</v>
      </c>
      <c r="AI63" s="42">
        <f t="shared" si="2"/>
        <v>0</v>
      </c>
      <c r="AJ63" s="42">
        <f t="shared" si="2"/>
        <v>0</v>
      </c>
      <c r="AK63" s="50">
        <f t="shared" si="4"/>
        <v>-72.263784250501487</v>
      </c>
      <c r="AL63" s="109"/>
      <c r="AM63" s="109"/>
    </row>
    <row r="64" spans="1:39">
      <c r="C64" s="11" t="s">
        <v>101</v>
      </c>
      <c r="D64" s="43">
        <f>'16-17 NGET'!D64-'15-16 NGET'!D64</f>
        <v>0</v>
      </c>
      <c r="E64" s="43">
        <f>'16-17 NGET'!E64-'15-16 NGET'!E64</f>
        <v>0</v>
      </c>
      <c r="F64" s="43">
        <f>'16-17 NGET'!F64-'15-16 NGET'!F64</f>
        <v>0</v>
      </c>
      <c r="G64" s="43">
        <f>'16-17 NGET'!G64-'15-16 NGET'!G64</f>
        <v>0</v>
      </c>
      <c r="H64" s="43">
        <f>'16-17 NGET'!H64-'15-16 NGET'!H64</f>
        <v>0</v>
      </c>
      <c r="I64" s="43">
        <f>'16-17 NGET'!I64-'15-16 NGET'!I64</f>
        <v>0</v>
      </c>
      <c r="J64" s="43">
        <f>'16-17 NGET'!J64-'15-16 NGET'!J64</f>
        <v>0</v>
      </c>
      <c r="K64" s="43">
        <f>'16-17 NGET'!K64-'15-16 NGET'!K64</f>
        <v>0</v>
      </c>
      <c r="L64" s="28">
        <f>'16-17 NGET'!L64-'15-16 NGET'!L64</f>
        <v>0</v>
      </c>
      <c r="P64" s="42"/>
      <c r="S64" s="11" t="s">
        <v>101</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102</v>
      </c>
      <c r="D65" s="42">
        <f>'16-17 NGET'!D65-'15-16 NGET'!D65</f>
        <v>-7.7393922804311188</v>
      </c>
      <c r="E65" s="42">
        <f>'16-17 NGET'!E65-'15-16 NGET'!E65</f>
        <v>-1.8082255704207881</v>
      </c>
      <c r="F65" s="42">
        <f>'16-17 NGET'!F65-'15-16 NGET'!F65</f>
        <v>16.162741357546423</v>
      </c>
      <c r="G65" s="42">
        <f>'16-17 NGET'!G65-'15-16 NGET'!G65</f>
        <v>2.959218208712258</v>
      </c>
      <c r="H65" s="42">
        <f>'16-17 NGET'!H65-'15-16 NGET'!H65</f>
        <v>-0.79571720002580548</v>
      </c>
      <c r="I65" s="42">
        <f>'16-17 NGET'!I65-'15-16 NGET'!I65</f>
        <v>-4.5209113090652124</v>
      </c>
      <c r="J65" s="42">
        <f>'16-17 NGET'!J65-'15-16 NGET'!J65</f>
        <v>-0.75216386200533236</v>
      </c>
      <c r="K65" s="42">
        <f>'16-17 NGET'!K65-'15-16 NGET'!K65</f>
        <v>4.5067056117370612</v>
      </c>
      <c r="L65" s="28">
        <f>'16-17 NGET'!L65-'15-16 NGET'!L65</f>
        <v>8.0122549560475136</v>
      </c>
      <c r="P65" s="42"/>
      <c r="S65" s="10" t="s">
        <v>102</v>
      </c>
      <c r="T65" s="42">
        <v>90</v>
      </c>
      <c r="U65" s="42">
        <v>95</v>
      </c>
      <c r="V65" s="42">
        <v>92</v>
      </c>
      <c r="W65" s="42">
        <v>86</v>
      </c>
      <c r="X65" s="42">
        <v>75</v>
      </c>
      <c r="Y65" s="42">
        <v>70</v>
      </c>
      <c r="Z65" s="42">
        <v>61</v>
      </c>
      <c r="AA65" s="42">
        <v>59</v>
      </c>
      <c r="AB65" s="109"/>
      <c r="AC65" s="42">
        <f t="shared" si="3"/>
        <v>-97.739392280431119</v>
      </c>
      <c r="AD65" s="42">
        <f t="shared" si="2"/>
        <v>-96.808225570420788</v>
      </c>
      <c r="AE65" s="42">
        <f t="shared" si="2"/>
        <v>-75.837258642453577</v>
      </c>
      <c r="AF65" s="42">
        <f t="shared" si="2"/>
        <v>-83.040781791287742</v>
      </c>
      <c r="AG65" s="42">
        <f t="shared" si="2"/>
        <v>-75.795717200025805</v>
      </c>
      <c r="AH65" s="42">
        <f t="shared" si="2"/>
        <v>-74.520911309065212</v>
      </c>
      <c r="AI65" s="42">
        <f t="shared" si="2"/>
        <v>-61.752163862005332</v>
      </c>
      <c r="AJ65" s="42">
        <f t="shared" si="2"/>
        <v>-54.493294388262939</v>
      </c>
      <c r="AK65" s="50">
        <f t="shared" si="4"/>
        <v>-619.98774504395249</v>
      </c>
      <c r="AL65" s="109"/>
      <c r="AM65" s="109"/>
    </row>
    <row r="66" spans="1:39">
      <c r="C66" s="11" t="s">
        <v>103</v>
      </c>
      <c r="D66" s="43">
        <f>'16-17 NGET'!D66-'15-16 NGET'!D66</f>
        <v>0.70621312489390675</v>
      </c>
      <c r="E66" s="43">
        <f>'16-17 NGET'!E66-'15-16 NGET'!E66</f>
        <v>-4.1884235887592922</v>
      </c>
      <c r="F66" s="43">
        <f>'16-17 NGET'!F66-'15-16 NGET'!F66</f>
        <v>-23.183409149842873</v>
      </c>
      <c r="G66" s="43">
        <f>'16-17 NGET'!G66-'15-16 NGET'!G66</f>
        <v>-31.765028505182272</v>
      </c>
      <c r="H66" s="43">
        <f>'16-17 NGET'!H66-'15-16 NGET'!H66</f>
        <v>-29.046125218990255</v>
      </c>
      <c r="I66" s="43">
        <f>'16-17 NGET'!I66-'15-16 NGET'!I66</f>
        <v>-25.204170544728868</v>
      </c>
      <c r="J66" s="43">
        <f>'16-17 NGET'!J66-'15-16 NGET'!J66</f>
        <v>-21.388999165227688</v>
      </c>
      <c r="K66" s="43">
        <f>'16-17 NGET'!K66-'15-16 NGET'!K66</f>
        <v>-19.447307125082716</v>
      </c>
      <c r="L66" s="28">
        <f>'16-17 NGET'!L66-'15-16 NGET'!L66</f>
        <v>-153.51725017292119</v>
      </c>
      <c r="P66" s="42"/>
      <c r="S66" s="11" t="s">
        <v>103</v>
      </c>
      <c r="T66" s="43">
        <v>976</v>
      </c>
      <c r="U66" s="43">
        <v>1065</v>
      </c>
      <c r="V66" s="43">
        <v>1159</v>
      </c>
      <c r="W66" s="43">
        <v>1250</v>
      </c>
      <c r="X66" s="43">
        <v>1324</v>
      </c>
      <c r="Y66" s="43">
        <v>1382</v>
      </c>
      <c r="Z66" s="43">
        <v>1422</v>
      </c>
      <c r="AA66" s="43">
        <v>1441</v>
      </c>
      <c r="AB66" s="109"/>
      <c r="AC66" s="43">
        <f t="shared" si="3"/>
        <v>-975.29378687510609</v>
      </c>
      <c r="AD66" s="43">
        <f t="shared" si="2"/>
        <v>-1069.1884235887592</v>
      </c>
      <c r="AE66" s="43">
        <f t="shared" si="2"/>
        <v>-1182.1834091498429</v>
      </c>
      <c r="AF66" s="43">
        <f t="shared" si="2"/>
        <v>-1281.7650285051823</v>
      </c>
      <c r="AG66" s="43">
        <f t="shared" si="2"/>
        <v>-1353.0461252189903</v>
      </c>
      <c r="AH66" s="43">
        <f t="shared" si="2"/>
        <v>-1407.2041705447289</v>
      </c>
      <c r="AI66" s="43">
        <f t="shared" si="2"/>
        <v>-1443.3889991652277</v>
      </c>
      <c r="AJ66" s="43">
        <f t="shared" si="2"/>
        <v>-1460.4473071250827</v>
      </c>
      <c r="AK66" s="45">
        <f t="shared" si="4"/>
        <v>-10172.517250172921</v>
      </c>
      <c r="AL66" s="109"/>
      <c r="AM66" s="109"/>
    </row>
    <row r="67" spans="1:39">
      <c r="C67" s="10" t="s">
        <v>168</v>
      </c>
      <c r="D67" s="42">
        <f>'16-17 NGET'!D67-'15-16 NGET'!D67</f>
        <v>0</v>
      </c>
      <c r="E67" s="42">
        <f>'16-17 NGET'!E67-'15-16 NGET'!E67</f>
        <v>0</v>
      </c>
      <c r="F67" s="42">
        <f>'16-17 NGET'!F67-'15-16 NGET'!F67</f>
        <v>0</v>
      </c>
      <c r="G67" s="42">
        <f>'16-17 NGET'!G67-'15-16 NGET'!G67</f>
        <v>0</v>
      </c>
      <c r="H67" s="42">
        <f>'16-17 NGET'!H67-'15-16 NGET'!H67</f>
        <v>0</v>
      </c>
      <c r="I67" s="42">
        <f>'16-17 NGET'!I67-'15-16 NGET'!I67</f>
        <v>0</v>
      </c>
      <c r="J67" s="42">
        <f>'16-17 NGET'!J67-'15-16 NGET'!J67</f>
        <v>0</v>
      </c>
      <c r="K67" s="42">
        <f>'16-17 NGET'!K67-'15-16 NGET'!K67</f>
        <v>0</v>
      </c>
      <c r="L67" s="28">
        <f>'16-17 NGET'!L67-'15-16 NGET'!L67</f>
        <v>0</v>
      </c>
      <c r="P67" s="42"/>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169</v>
      </c>
      <c r="D68" s="43">
        <f>'16-17 NGET'!D68-'15-16 NGET'!D68</f>
        <v>-0.39000284531302754</v>
      </c>
      <c r="E68" s="43">
        <f>'16-17 NGET'!E68-'15-16 NGET'!E68</f>
        <v>-0.40728777141731598</v>
      </c>
      <c r="F68" s="43">
        <f>'16-17 NGET'!F68-'15-16 NGET'!F68</f>
        <v>-0.42492333191967191</v>
      </c>
      <c r="G68" s="43">
        <f>'16-17 NGET'!G68-'15-16 NGET'!G68</f>
        <v>-0.48539814568052009</v>
      </c>
      <c r="H68" s="43">
        <f>'16-17 NGET'!H68-'15-16 NGET'!H68</f>
        <v>-0.55027047666111173</v>
      </c>
      <c r="I68" s="43">
        <f>'16-17 NGET'!I68-'15-16 NGET'!I68</f>
        <v>-0.61980595169215746</v>
      </c>
      <c r="J68" s="43">
        <f>'16-17 NGET'!J68-'15-16 NGET'!J68</f>
        <v>-0.69428487930825611</v>
      </c>
      <c r="K68" s="43">
        <f>'16-17 NGET'!K68-'15-16 NGET'!K68</f>
        <v>-0.77400301991863785</v>
      </c>
      <c r="L68" s="28">
        <f>'16-17 NGET'!L68-'15-16 NGET'!L68</f>
        <v>-4.3459764219107342</v>
      </c>
      <c r="P68" s="42"/>
      <c r="S68" s="10" t="s">
        <v>104</v>
      </c>
      <c r="T68" s="42">
        <v>-50</v>
      </c>
      <c r="U68" s="42">
        <v>-49</v>
      </c>
      <c r="V68" s="42">
        <v>-55</v>
      </c>
      <c r="W68" s="42">
        <v>-63</v>
      </c>
      <c r="X68" s="42">
        <v>-116</v>
      </c>
      <c r="Y68" s="42">
        <v>-117</v>
      </c>
      <c r="Z68" s="42">
        <v>-118</v>
      </c>
      <c r="AA68" s="42">
        <v>-119</v>
      </c>
      <c r="AB68" s="109"/>
      <c r="AC68" s="42">
        <f t="shared" si="3"/>
        <v>49.609997154686972</v>
      </c>
      <c r="AD68" s="42">
        <f t="shared" si="2"/>
        <v>48.592712228582684</v>
      </c>
      <c r="AE68" s="42">
        <f t="shared" si="2"/>
        <v>54.575076668080328</v>
      </c>
      <c r="AF68" s="42">
        <f t="shared" si="2"/>
        <v>62.51460185431948</v>
      </c>
      <c r="AG68" s="42">
        <f t="shared" si="2"/>
        <v>115.44972952333889</v>
      </c>
      <c r="AH68" s="42">
        <f t="shared" si="2"/>
        <v>116.38019404830784</v>
      </c>
      <c r="AI68" s="42">
        <f t="shared" si="2"/>
        <v>117.30571512069174</v>
      </c>
      <c r="AJ68" s="42">
        <f t="shared" si="2"/>
        <v>118.22599698008136</v>
      </c>
      <c r="AK68" s="50">
        <f t="shared" si="4"/>
        <v>682.65402357808932</v>
      </c>
      <c r="AL68" s="109"/>
      <c r="AM68" s="109"/>
    </row>
    <row r="69" spans="1:39" ht="13.8" thickBot="1">
      <c r="C69" s="23" t="s">
        <v>107</v>
      </c>
      <c r="D69" s="44">
        <f>'16-17 NGET'!D69-'15-16 NGET'!D69</f>
        <v>0.87670588742457767</v>
      </c>
      <c r="E69" s="44">
        <f>'16-17 NGET'!E69-'15-16 NGET'!E69</f>
        <v>-64.359340553729453</v>
      </c>
      <c r="F69" s="44">
        <f>'16-17 NGET'!F69-'15-16 NGET'!F69</f>
        <v>-4.8655354431982687</v>
      </c>
      <c r="G69" s="44">
        <f>'16-17 NGET'!G69-'15-16 NGET'!G69</f>
        <v>-42.70450043365372</v>
      </c>
      <c r="H69" s="44">
        <f>'16-17 NGET'!H69-'15-16 NGET'!H69</f>
        <v>-21.302807880603041</v>
      </c>
      <c r="I69" s="44">
        <f>'16-17 NGET'!I69-'15-16 NGET'!I69</f>
        <v>-19.003417725839654</v>
      </c>
      <c r="J69" s="44">
        <f>'16-17 NGET'!J69-'15-16 NGET'!J69</f>
        <v>-16.030319413687266</v>
      </c>
      <c r="K69" s="44">
        <f>'16-17 NGET'!K69-'15-16 NGET'!K69</f>
        <v>-14.682698543625747</v>
      </c>
      <c r="L69" s="28">
        <f>'16-17 NGET'!L69-'15-16 NGET'!L69</f>
        <v>-182.07191410691485</v>
      </c>
      <c r="P69" s="50"/>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58</v>
      </c>
      <c r="D71" s="8" t="s">
        <v>59</v>
      </c>
      <c r="E71" s="8" t="s">
        <v>60</v>
      </c>
      <c r="F71" s="8" t="s">
        <v>61</v>
      </c>
      <c r="G71" s="8" t="s">
        <v>62</v>
      </c>
      <c r="H71" s="8" t="s">
        <v>63</v>
      </c>
      <c r="I71" s="8" t="s">
        <v>64</v>
      </c>
      <c r="J71" s="8" t="s">
        <v>65</v>
      </c>
      <c r="K71" s="8" t="s">
        <v>66</v>
      </c>
      <c r="L71" s="28"/>
      <c r="P71" s="20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392</v>
      </c>
      <c r="D72" s="42">
        <f>'16-17 NGET'!D72-'15-16 NGET'!D72</f>
        <v>0.87670588742435029</v>
      </c>
      <c r="E72" s="42">
        <f>'16-17 NGET'!E72-'15-16 NGET'!E72</f>
        <v>-64.359340553729453</v>
      </c>
      <c r="F72" s="42">
        <f>'16-17 NGET'!F72-'15-16 NGET'!F72</f>
        <v>-4.8655354431978139</v>
      </c>
      <c r="G72" s="42">
        <f>'16-17 NGET'!G72-'15-16 NGET'!G72</f>
        <v>-42.704500433654175</v>
      </c>
      <c r="H72" s="42">
        <f>'16-17 NGET'!H72-'15-16 NGET'!H72</f>
        <v>-21.302807880602813</v>
      </c>
      <c r="I72" s="42">
        <f>'16-17 NGET'!I72-'15-16 NGET'!I72</f>
        <v>-19.003417725839199</v>
      </c>
      <c r="J72" s="42">
        <f>'16-17 NGET'!J72-'15-16 NGET'!J72</f>
        <v>-16.030319413687266</v>
      </c>
      <c r="K72" s="42">
        <f>'16-17 NGET'!K72-'15-16 NGET'!K72</f>
        <v>-14.682698543625747</v>
      </c>
      <c r="L72" s="28">
        <f>'16-17 NGET'!L72-'15-16 NGET'!L72</f>
        <v>-182.07191410691303</v>
      </c>
      <c r="P72" s="42"/>
      <c r="S72" s="11" t="s">
        <v>105</v>
      </c>
      <c r="T72" s="43">
        <v>1427</v>
      </c>
      <c r="U72" s="43">
        <v>1565</v>
      </c>
      <c r="V72" s="43">
        <v>1629</v>
      </c>
      <c r="W72" s="43">
        <v>1701</v>
      </c>
      <c r="X72" s="43">
        <v>1692</v>
      </c>
      <c r="Y72" s="43">
        <v>1723</v>
      </c>
      <c r="Z72" s="43">
        <v>1698</v>
      </c>
      <c r="AA72" s="43">
        <v>1666</v>
      </c>
      <c r="AB72" s="109"/>
      <c r="AC72" s="43">
        <f t="shared" si="3"/>
        <v>-1426.1232941125756</v>
      </c>
      <c r="AD72" s="43">
        <f t="shared" si="2"/>
        <v>-1629.3593405537295</v>
      </c>
      <c r="AE72" s="43">
        <f t="shared" si="2"/>
        <v>-1633.8655354431978</v>
      </c>
      <c r="AF72" s="43">
        <f t="shared" si="2"/>
        <v>-1743.7045004336542</v>
      </c>
      <c r="AG72" s="43">
        <f t="shared" si="2"/>
        <v>-1713.3028078806028</v>
      </c>
      <c r="AH72" s="43">
        <f t="shared" si="2"/>
        <v>-1742.0034177258392</v>
      </c>
      <c r="AI72" s="43">
        <f t="shared" si="2"/>
        <v>-1714.0303194136873</v>
      </c>
      <c r="AJ72" s="43">
        <f t="shared" si="2"/>
        <v>-1680.6826985436257</v>
      </c>
      <c r="AK72" s="45">
        <f t="shared" si="4"/>
        <v>-13283.071914106911</v>
      </c>
      <c r="AL72" s="109"/>
      <c r="AM72" s="109"/>
    </row>
    <row r="73" spans="1:39">
      <c r="C73" s="11" t="s">
        <v>175</v>
      </c>
      <c r="D73" s="43">
        <f>'16-17 NGET'!D73-'15-16 NGET'!D73</f>
        <v>0</v>
      </c>
      <c r="E73" s="43">
        <f>'16-17 NGET'!E73-'15-16 NGET'!E73</f>
        <v>0</v>
      </c>
      <c r="F73" s="43">
        <f>'16-17 NGET'!F73-'15-16 NGET'!F73</f>
        <v>0</v>
      </c>
      <c r="G73" s="43">
        <f>'16-17 NGET'!G73-'15-16 NGET'!G73</f>
        <v>0</v>
      </c>
      <c r="H73" s="43">
        <f>'16-17 NGET'!H73-'15-16 NGET'!H73</f>
        <v>0</v>
      </c>
      <c r="I73" s="43">
        <f>'16-17 NGET'!I73-'15-16 NGET'!I73</f>
        <v>0</v>
      </c>
      <c r="J73" s="43">
        <f>'16-17 NGET'!J73-'15-16 NGET'!J73</f>
        <v>0</v>
      </c>
      <c r="K73" s="43">
        <f>'16-17 NGET'!K73-'15-16 NGET'!K73</f>
        <v>0</v>
      </c>
      <c r="L73" s="28">
        <f>'16-17 NGET'!L73-'15-16 NGET'!L73</f>
        <v>0</v>
      </c>
      <c r="N73" s="208"/>
      <c r="P73" s="42"/>
      <c r="S73" s="10" t="s">
        <v>175</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107</v>
      </c>
      <c r="D74" s="44">
        <f>'16-17 NGET'!D74-'15-16 NGET'!D74</f>
        <v>0.87670588742435029</v>
      </c>
      <c r="E74" s="44">
        <f>'16-17 NGET'!E74-'15-16 NGET'!E74</f>
        <v>-64.359340553729453</v>
      </c>
      <c r="F74" s="44">
        <f>'16-17 NGET'!F74-'15-16 NGET'!F74</f>
        <v>-4.8655354431978139</v>
      </c>
      <c r="G74" s="44">
        <f>'16-17 NGET'!G74-'15-16 NGET'!G74</f>
        <v>-42.704500433654175</v>
      </c>
      <c r="H74" s="44">
        <f>'16-17 NGET'!H74-'15-16 NGET'!H74</f>
        <v>-21.302807880602813</v>
      </c>
      <c r="I74" s="44">
        <f>'16-17 NGET'!I74-'15-16 NGET'!I74</f>
        <v>-19.003417725839199</v>
      </c>
      <c r="J74" s="44">
        <f>'16-17 NGET'!J74-'15-16 NGET'!J74</f>
        <v>-16.030319413687266</v>
      </c>
      <c r="K74" s="44">
        <f>'16-17 NGET'!K74-'15-16 NGET'!K74</f>
        <v>-14.682698543625747</v>
      </c>
      <c r="L74" s="28">
        <f>'16-17 NGET'!L74-'15-16 NGET'!L74</f>
        <v>-182.07191410691303</v>
      </c>
      <c r="N74" s="209"/>
      <c r="P74" s="50"/>
      <c r="S74" s="23" t="s">
        <v>107</v>
      </c>
      <c r="T74" s="44">
        <v>1542</v>
      </c>
      <c r="U74" s="44">
        <v>1681</v>
      </c>
      <c r="V74" s="44">
        <v>1753</v>
      </c>
      <c r="W74" s="44">
        <v>1823</v>
      </c>
      <c r="X74" s="44">
        <v>1816</v>
      </c>
      <c r="Y74" s="44">
        <v>1849</v>
      </c>
      <c r="Z74" s="44">
        <v>1826</v>
      </c>
      <c r="AA74" s="44">
        <v>1795</v>
      </c>
      <c r="AB74" s="109"/>
      <c r="AC74" s="44">
        <f t="shared" si="3"/>
        <v>-1541.1232941125756</v>
      </c>
      <c r="AD74" s="44">
        <f t="shared" si="2"/>
        <v>-1745.3593405537295</v>
      </c>
      <c r="AE74" s="44">
        <f t="shared" si="2"/>
        <v>-1757.8655354431978</v>
      </c>
      <c r="AF74" s="44">
        <f t="shared" si="2"/>
        <v>-1865.7045004336542</v>
      </c>
      <c r="AG74" s="44">
        <f t="shared" si="2"/>
        <v>-1837.3028078806028</v>
      </c>
      <c r="AH74" s="44">
        <f t="shared" si="2"/>
        <v>-1868.0034177258392</v>
      </c>
      <c r="AI74" s="44">
        <f t="shared" si="2"/>
        <v>-1842.0303194136873</v>
      </c>
      <c r="AJ74" s="44">
        <f t="shared" si="2"/>
        <v>-1809.6826985436257</v>
      </c>
      <c r="AK74" s="44">
        <f t="shared" si="4"/>
        <v>-14267.071914106911</v>
      </c>
      <c r="AL74" s="109"/>
      <c r="AM74" s="109"/>
    </row>
    <row r="75" spans="1:39">
      <c r="D75" s="53"/>
      <c r="E75" s="53"/>
      <c r="F75" s="53"/>
      <c r="G75" s="53"/>
      <c r="H75" s="53"/>
      <c r="I75" s="53"/>
      <c r="J75" s="53"/>
      <c r="K75" s="53"/>
      <c r="L75" s="53"/>
      <c r="P75" s="53"/>
      <c r="AK75" s="38"/>
    </row>
    <row r="76" spans="1:39">
      <c r="E76" s="53" t="s">
        <v>393</v>
      </c>
      <c r="F76" s="53"/>
      <c r="G76" s="53">
        <f>D74*1.04552*1.04432*1.0433+E74*1.04432*1.0433+F74*1.0433+G74</f>
        <v>-116.90404246277896</v>
      </c>
      <c r="H76" s="53"/>
      <c r="I76" s="53"/>
      <c r="J76" s="53"/>
      <c r="K76" s="53"/>
      <c r="L76" s="53"/>
      <c r="AK76" s="38"/>
    </row>
    <row r="77" spans="1:39">
      <c r="E77" s="53" t="s">
        <v>201</v>
      </c>
      <c r="F77" s="53"/>
      <c r="G77" s="53">
        <f>G76-'ET workings 16-17'!G106+'NGET differences 15-16'!G74+'NGET differences 14-15'!G74</f>
        <v>-4.2632564145606011E-13</v>
      </c>
      <c r="H77" s="53"/>
      <c r="I77" s="53"/>
      <c r="J77" s="53"/>
      <c r="K77" s="53"/>
      <c r="L77" s="53"/>
      <c r="AK77" s="38"/>
    </row>
    <row r="78" spans="1:39" ht="13.8" thickBot="1"/>
    <row r="79" spans="1:39" ht="13.8" thickBot="1">
      <c r="A79" s="38"/>
      <c r="C79" s="14" t="s">
        <v>58</v>
      </c>
      <c r="D79" s="15" t="s">
        <v>59</v>
      </c>
      <c r="E79" s="15" t="s">
        <v>60</v>
      </c>
      <c r="F79" s="15" t="s">
        <v>61</v>
      </c>
      <c r="G79" s="15" t="s">
        <v>62</v>
      </c>
      <c r="H79" s="15" t="s">
        <v>63</v>
      </c>
      <c r="I79" s="15" t="s">
        <v>64</v>
      </c>
      <c r="J79" s="15" t="s">
        <v>65</v>
      </c>
      <c r="K79" s="15" t="s">
        <v>66</v>
      </c>
      <c r="L79" s="15" t="s">
        <v>118</v>
      </c>
      <c r="P79" s="205"/>
    </row>
    <row r="80" spans="1:39">
      <c r="C80" s="124"/>
      <c r="D80" s="125"/>
      <c r="E80" s="125"/>
      <c r="F80" s="125"/>
      <c r="G80" s="125"/>
      <c r="H80" s="125"/>
      <c r="I80" s="125"/>
      <c r="J80" s="125"/>
      <c r="K80" s="125"/>
      <c r="L80" s="125"/>
      <c r="P80" s="206"/>
    </row>
    <row r="81" spans="1:16">
      <c r="C81" s="17" t="str">
        <f>C3</f>
        <v>TO capex - load-related</v>
      </c>
      <c r="D81" s="165">
        <f>'16-17 NGET'!D81-'15-16 NGET'!D81</f>
        <v>0</v>
      </c>
      <c r="E81" s="165">
        <f>'16-17 NGET'!E81-'15-16 NGET'!E81</f>
        <v>0</v>
      </c>
      <c r="F81" s="165">
        <f>'16-17 NGET'!F81-'15-16 NGET'!F81</f>
        <v>0</v>
      </c>
      <c r="G81" s="165">
        <f>'16-17 NGET'!G81-'15-16 NGET'!G81</f>
        <v>0</v>
      </c>
      <c r="H81" s="165">
        <f>'16-17 NGET'!H81-'15-16 NGET'!H81</f>
        <v>0</v>
      </c>
      <c r="I81" s="165">
        <f>'16-17 NGET'!I81-'15-16 NGET'!I81</f>
        <v>0</v>
      </c>
      <c r="J81" s="165">
        <f>'16-17 NGET'!J81-'15-16 NGET'!J81</f>
        <v>0</v>
      </c>
      <c r="K81" s="165">
        <f>'16-17 NGET'!K81-'15-16 NGET'!K81</f>
        <v>0</v>
      </c>
      <c r="L81" s="165">
        <f>'16-17 NGET'!L81-'15-16 NGET'!L81</f>
        <v>0</v>
      </c>
      <c r="M81" s="53">
        <f>'16-17 NGET'!M81-'15-16 NGET'!M81</f>
        <v>0</v>
      </c>
      <c r="N81" s="53">
        <f>'16-17 NGET'!N81-'15-16 NGET'!N81</f>
        <v>0</v>
      </c>
      <c r="P81" s="165"/>
    </row>
    <row r="82" spans="1:16">
      <c r="C82" s="17" t="s">
        <v>394</v>
      </c>
      <c r="D82" s="165">
        <f>'16-17 NGET'!D82-'15-16 NGET'!D82</f>
        <v>0</v>
      </c>
      <c r="E82" s="165">
        <f>'16-17 NGET'!E82-'15-16 NGET'!E82</f>
        <v>0</v>
      </c>
      <c r="F82" s="165">
        <f>'16-17 NGET'!F82-'15-16 NGET'!F82</f>
        <v>0</v>
      </c>
      <c r="G82" s="165">
        <f>'16-17 NGET'!G82-'15-16 NGET'!G82</f>
        <v>0</v>
      </c>
      <c r="H82" s="165">
        <f>'16-17 NGET'!H82-'15-16 NGET'!H82</f>
        <v>0</v>
      </c>
      <c r="I82" s="165">
        <f>'16-17 NGET'!I82-'15-16 NGET'!I82</f>
        <v>0</v>
      </c>
      <c r="J82" s="165">
        <f>'16-17 NGET'!J82-'15-16 NGET'!J82</f>
        <v>0</v>
      </c>
      <c r="K82" s="165">
        <f>'16-17 NGET'!K82-'15-16 NGET'!K82</f>
        <v>0</v>
      </c>
      <c r="L82" s="165">
        <f>'16-17 NGET'!L82-'15-16 NGET'!L82</f>
        <v>0</v>
      </c>
      <c r="M82" s="53">
        <f>'16-17 NGET'!M82-'15-16 NGET'!M82</f>
        <v>0</v>
      </c>
      <c r="N82" s="53">
        <f>'16-17 NGET'!N82-'15-16 NGET'!N82</f>
        <v>0</v>
      </c>
      <c r="P82" s="165"/>
    </row>
    <row r="83" spans="1:16">
      <c r="C83" s="18" t="str">
        <f>C5</f>
        <v xml:space="preserve">Uncertainty mechanism capex </v>
      </c>
      <c r="D83" s="166">
        <f>'16-17 NGET'!D83-'15-16 NGET'!D83</f>
        <v>78.055353723067014</v>
      </c>
      <c r="E83" s="166">
        <f>'16-17 NGET'!E83-'15-16 NGET'!E83</f>
        <v>31.792032064494492</v>
      </c>
      <c r="F83" s="166">
        <f>'16-17 NGET'!F83-'15-16 NGET'!F83</f>
        <v>8.4070680684326362</v>
      </c>
      <c r="G83" s="166">
        <f>'16-17 NGET'!G83-'15-16 NGET'!G83</f>
        <v>24.56623945557044</v>
      </c>
      <c r="H83" s="166">
        <f>'16-17 NGET'!H83-'15-16 NGET'!H83</f>
        <v>15.638907724251396</v>
      </c>
      <c r="I83" s="166">
        <f>'16-17 NGET'!I83-'15-16 NGET'!I83</f>
        <v>19.533708186189557</v>
      </c>
      <c r="J83" s="166">
        <f>'16-17 NGET'!J83-'15-16 NGET'!J83</f>
        <v>11.727429598186887</v>
      </c>
      <c r="K83" s="166">
        <f>'16-17 NGET'!K83-'15-16 NGET'!K83</f>
        <v>1.7941599333404987</v>
      </c>
      <c r="L83" s="166">
        <f>'16-17 NGET'!L83-'15-16 NGET'!L83</f>
        <v>191.51489875353263</v>
      </c>
      <c r="M83" s="53">
        <f>'16-17 NGET'!M83-'15-16 NGET'!M83</f>
        <v>0.19151489875353267</v>
      </c>
      <c r="N83" s="53">
        <f>'16-17 NGET'!N83-'15-16 NGET'!N83</f>
        <v>0</v>
      </c>
      <c r="P83" s="165"/>
    </row>
    <row r="84" spans="1:16">
      <c r="C84" s="17" t="str">
        <f>C6</f>
        <v xml:space="preserve">Uncertainty mechanism opex </v>
      </c>
      <c r="D84" s="165">
        <f>'16-17 NGET'!D84-'15-16 NGET'!D84</f>
        <v>1.0854967381420191</v>
      </c>
      <c r="E84" s="165">
        <f>'16-17 NGET'!E84-'15-16 NGET'!E84</f>
        <v>3.1874299535058723</v>
      </c>
      <c r="F84" s="165">
        <f>'16-17 NGET'!F84-'15-16 NGET'!F84</f>
        <v>8.7933031383547409</v>
      </c>
      <c r="G84" s="165">
        <f>'16-17 NGET'!G84-'15-16 NGET'!G84</f>
        <v>14.449105184117492</v>
      </c>
      <c r="H84" s="165">
        <f>'16-17 NGET'!H84-'15-16 NGET'!H84</f>
        <v>44.98161721307374</v>
      </c>
      <c r="I84" s="165">
        <f>'16-17 NGET'!I84-'15-16 NGET'!I84</f>
        <v>56.115444380322963</v>
      </c>
      <c r="J84" s="165">
        <f>'16-17 NGET'!J84-'15-16 NGET'!J84</f>
        <v>33.694808241742152</v>
      </c>
      <c r="K84" s="165">
        <f>'16-17 NGET'!K84-'15-16 NGET'!K84</f>
        <v>5.1565330854912359</v>
      </c>
      <c r="L84" s="165">
        <f>'16-17 NGET'!L84-'15-16 NGET'!L84</f>
        <v>167.46373793475024</v>
      </c>
      <c r="M84" s="53">
        <f>'16-17 NGET'!M84-'15-16 NGET'!M84</f>
        <v>0.16746373793475025</v>
      </c>
      <c r="N84" s="53">
        <f>'16-17 NGET'!N84-'15-16 NGET'!N84</f>
        <v>0</v>
      </c>
      <c r="P84" s="165"/>
    </row>
    <row r="85" spans="1:16">
      <c r="C85" s="18" t="str">
        <f>C7</f>
        <v xml:space="preserve">Controllable opex </v>
      </c>
      <c r="D85" s="158">
        <f>'16-17 NGET'!D85-'15-16 NGET'!D85</f>
        <v>0</v>
      </c>
      <c r="E85" s="158">
        <f>'16-17 NGET'!E85-'15-16 NGET'!E85</f>
        <v>0</v>
      </c>
      <c r="F85" s="158">
        <f>'16-17 NGET'!F85-'15-16 NGET'!F85</f>
        <v>0</v>
      </c>
      <c r="G85" s="158">
        <f>'16-17 NGET'!G85-'15-16 NGET'!G85</f>
        <v>0</v>
      </c>
      <c r="H85" s="158">
        <f>'16-17 NGET'!H85-'15-16 NGET'!H85</f>
        <v>0</v>
      </c>
      <c r="I85" s="158">
        <f>'16-17 NGET'!I85-'15-16 NGET'!I85</f>
        <v>0</v>
      </c>
      <c r="J85" s="158">
        <f>'16-17 NGET'!J85-'15-16 NGET'!J85</f>
        <v>0</v>
      </c>
      <c r="K85" s="158">
        <f>'16-17 NGET'!K85-'15-16 NGET'!K85</f>
        <v>0</v>
      </c>
      <c r="L85" s="158">
        <f>'16-17 NGET'!L85-'15-16 NGET'!L85</f>
        <v>0</v>
      </c>
      <c r="M85" s="53">
        <f>'16-17 NGET'!M85-'15-16 NGET'!M85</f>
        <v>0</v>
      </c>
      <c r="N85" s="53">
        <f>'16-17 NGET'!N85-'15-16 NGET'!N85</f>
        <v>0</v>
      </c>
      <c r="P85" s="168"/>
    </row>
    <row r="86" spans="1:16">
      <c r="C86" s="19" t="str">
        <f>C9</f>
        <v xml:space="preserve">TO Totex </v>
      </c>
      <c r="D86" s="167">
        <f>'16-17 NGET'!D87-'15-16 NGET'!D87</f>
        <v>55.332585921830969</v>
      </c>
      <c r="E86" s="167">
        <f>'16-17 NGET'!E87-'15-16 NGET'!E87</f>
        <v>-386.36935748754763</v>
      </c>
      <c r="F86" s="167">
        <f>'16-17 NGET'!F87-'15-16 NGET'!F87</f>
        <v>17.200371206787395</v>
      </c>
      <c r="G86" s="167">
        <f>'16-17 NGET'!G87-'15-16 NGET'!G87</f>
        <v>39.015344639687783</v>
      </c>
      <c r="H86" s="167">
        <f>'16-17 NGET'!H87-'15-16 NGET'!H87</f>
        <v>60.620524937325172</v>
      </c>
      <c r="I86" s="167">
        <f>'16-17 NGET'!I87-'15-16 NGET'!I87</f>
        <v>75.649152566512612</v>
      </c>
      <c r="J86" s="167">
        <f>'16-17 NGET'!J87-'15-16 NGET'!J87</f>
        <v>45.422237839929039</v>
      </c>
      <c r="K86" s="167">
        <f>'16-17 NGET'!K87-'15-16 NGET'!K87</f>
        <v>6.950693018831771</v>
      </c>
      <c r="L86" s="167">
        <f>'16-17 NGET'!L87-'15-16 NGET'!L87</f>
        <v>-86.178447356644028</v>
      </c>
      <c r="M86" s="53">
        <f>'16-17 NGET'!M87-'15-16 NGET'!M87</f>
        <v>-8.6178447356642707E-2</v>
      </c>
      <c r="N86" s="53">
        <f>'16-17 NGET'!N87-'15-16 NGET'!N87</f>
        <v>0</v>
      </c>
      <c r="P86" s="167"/>
    </row>
    <row r="87" spans="1:16">
      <c r="C87" s="18" t="str">
        <f>C10</f>
        <v xml:space="preserve">Non controllable opex </v>
      </c>
      <c r="D87" s="166">
        <f>'16-17 NGET'!D88-'15-16 NGET'!D88</f>
        <v>0</v>
      </c>
      <c r="E87" s="166">
        <f>'16-17 NGET'!E88-'15-16 NGET'!E88</f>
        <v>0</v>
      </c>
      <c r="F87" s="166">
        <f>'16-17 NGET'!F88-'15-16 NGET'!F88</f>
        <v>0</v>
      </c>
      <c r="G87" s="166">
        <f>'16-17 NGET'!G88-'15-16 NGET'!G88</f>
        <v>0</v>
      </c>
      <c r="H87" s="166">
        <f>'16-17 NGET'!H88-'15-16 NGET'!H88</f>
        <v>0</v>
      </c>
      <c r="I87" s="166">
        <f>'16-17 NGET'!I88-'15-16 NGET'!I88</f>
        <v>0</v>
      </c>
      <c r="J87" s="166">
        <f>'16-17 NGET'!J88-'15-16 NGET'!J88</f>
        <v>0</v>
      </c>
      <c r="K87" s="166">
        <f>'16-17 NGET'!K88-'15-16 NGET'!K88</f>
        <v>0</v>
      </c>
      <c r="L87" s="166">
        <f>'16-17 NGET'!L88-'15-16 NGET'!L88</f>
        <v>0</v>
      </c>
      <c r="M87" s="53">
        <f>'16-17 NGET'!M88-'15-16 NGET'!M88</f>
        <v>0</v>
      </c>
      <c r="N87" s="53">
        <f>'16-17 NGET'!N88-'15-16 NGET'!N88</f>
        <v>0</v>
      </c>
      <c r="P87" s="165"/>
    </row>
    <row r="88" spans="1:16">
      <c r="C88" s="17"/>
      <c r="D88" s="168"/>
      <c r="E88" s="168"/>
      <c r="F88" s="168"/>
      <c r="G88" s="168"/>
      <c r="H88" s="168"/>
      <c r="I88" s="168"/>
      <c r="J88" s="168"/>
      <c r="K88" s="168"/>
      <c r="L88" s="165"/>
      <c r="M88" s="53"/>
      <c r="N88" s="53"/>
      <c r="P88" s="168"/>
    </row>
    <row r="89" spans="1:16">
      <c r="C89" s="18" t="str">
        <f>C12</f>
        <v xml:space="preserve">SO capex </v>
      </c>
      <c r="D89" s="158">
        <f>'16-17 NGET'!D90-'15-16 NGET'!D90</f>
        <v>0</v>
      </c>
      <c r="E89" s="158">
        <f>'16-17 NGET'!E90-'15-16 NGET'!E90</f>
        <v>0</v>
      </c>
      <c r="F89" s="158">
        <f>'16-17 NGET'!F90-'15-16 NGET'!F90</f>
        <v>0</v>
      </c>
      <c r="G89" s="158">
        <f>'16-17 NGET'!G90-'15-16 NGET'!G90</f>
        <v>0</v>
      </c>
      <c r="H89" s="158">
        <f>'16-17 NGET'!H90-'15-16 NGET'!H90</f>
        <v>0</v>
      </c>
      <c r="I89" s="158">
        <f>'16-17 NGET'!I90-'15-16 NGET'!I90</f>
        <v>0</v>
      </c>
      <c r="J89" s="158">
        <f>'16-17 NGET'!J90-'15-16 NGET'!J90</f>
        <v>0</v>
      </c>
      <c r="K89" s="158">
        <f>'16-17 NGET'!K90-'15-16 NGET'!K90</f>
        <v>0</v>
      </c>
      <c r="L89" s="158">
        <f>'16-17 NGET'!L90-'15-16 NGET'!L90</f>
        <v>0</v>
      </c>
      <c r="M89" s="53">
        <f>'16-17 NGET'!M90-'15-16 NGET'!M90</f>
        <v>0</v>
      </c>
      <c r="N89" s="53">
        <f>'16-17 NGET'!N90-'15-16 NGET'!N90</f>
        <v>0</v>
      </c>
      <c r="P89" s="168"/>
    </row>
    <row r="90" spans="1:16">
      <c r="C90" s="17" t="str">
        <f>C13</f>
        <v xml:space="preserve">Controllable opex </v>
      </c>
      <c r="D90" s="165">
        <f>'16-17 NGET'!D91-'15-16 NGET'!D91</f>
        <v>0</v>
      </c>
      <c r="E90" s="165">
        <f>'16-17 NGET'!E91-'15-16 NGET'!E91</f>
        <v>0</v>
      </c>
      <c r="F90" s="165">
        <f>'16-17 NGET'!F91-'15-16 NGET'!F91</f>
        <v>0</v>
      </c>
      <c r="G90" s="165">
        <f>'16-17 NGET'!G91-'15-16 NGET'!G91</f>
        <v>0</v>
      </c>
      <c r="H90" s="165">
        <f>'16-17 NGET'!H91-'15-16 NGET'!H91</f>
        <v>0</v>
      </c>
      <c r="I90" s="165">
        <f>'16-17 NGET'!I91-'15-16 NGET'!I91</f>
        <v>0</v>
      </c>
      <c r="J90" s="165">
        <f>'16-17 NGET'!J91-'15-16 NGET'!J91</f>
        <v>0</v>
      </c>
      <c r="K90" s="165">
        <f>'16-17 NGET'!K91-'15-16 NGET'!K91</f>
        <v>0</v>
      </c>
      <c r="L90" s="165">
        <f>'16-17 NGET'!L91-'15-16 NGET'!L91</f>
        <v>0</v>
      </c>
      <c r="M90" s="53">
        <f>'16-17 NGET'!M91-'15-16 NGET'!M91</f>
        <v>0</v>
      </c>
      <c r="N90" s="53">
        <f>'16-17 NGET'!N91-'15-16 NGET'!N91</f>
        <v>0</v>
      </c>
      <c r="P90" s="165"/>
    </row>
    <row r="91" spans="1:16" ht="13.8" thickBot="1">
      <c r="C91" s="23" t="str">
        <f>C15</f>
        <v xml:space="preserve">SO Totex </v>
      </c>
      <c r="D91" s="44">
        <f>'16-17 NGET'!D93-'15-16 NGET'!D93</f>
        <v>-6.6918599999999913</v>
      </c>
      <c r="E91" s="44">
        <f>'16-17 NGET'!E93-'15-16 NGET'!E93</f>
        <v>-0.19649284933564104</v>
      </c>
      <c r="F91" s="44">
        <f>'16-17 NGET'!F93-'15-16 NGET'!F93</f>
        <v>0</v>
      </c>
      <c r="G91" s="44">
        <f>'16-17 NGET'!G93-'15-16 NGET'!G93</f>
        <v>0</v>
      </c>
      <c r="H91" s="44">
        <f>'16-17 NGET'!H93-'15-16 NGET'!H93</f>
        <v>0</v>
      </c>
      <c r="I91" s="44">
        <f>'16-17 NGET'!I93-'15-16 NGET'!I93</f>
        <v>0</v>
      </c>
      <c r="J91" s="44">
        <f>'16-17 NGET'!J93-'15-16 NGET'!J93</f>
        <v>0</v>
      </c>
      <c r="K91" s="44">
        <f>'16-17 NGET'!K93-'15-16 NGET'!K93</f>
        <v>0</v>
      </c>
      <c r="L91" s="44">
        <f>'16-17 NGET'!L93-'15-16 NGET'!L93</f>
        <v>-6.8883528493356607</v>
      </c>
      <c r="M91" s="53">
        <f>'16-17 NGET'!M93-'15-16 NGET'!M93</f>
        <v>-6.8883528493356438E-3</v>
      </c>
      <c r="N91" s="53">
        <f>'16-17 NGET'!N93-'15-16 NGET'!N93</f>
        <v>0</v>
      </c>
      <c r="P91" s="50"/>
    </row>
    <row r="92" spans="1:16">
      <c r="A92" s="38" t="s">
        <v>378</v>
      </c>
    </row>
    <row r="93" spans="1:16" ht="13.8" thickBot="1">
      <c r="C93" s="38" t="s">
        <v>140</v>
      </c>
    </row>
    <row r="94" spans="1:16" ht="13.8" thickBot="1">
      <c r="C94" s="7" t="s">
        <v>58</v>
      </c>
      <c r="D94" s="8" t="s">
        <v>59</v>
      </c>
      <c r="E94" s="8" t="s">
        <v>60</v>
      </c>
      <c r="F94" s="8" t="s">
        <v>61</v>
      </c>
      <c r="G94" s="8" t="s">
        <v>62</v>
      </c>
      <c r="H94" s="8" t="s">
        <v>63</v>
      </c>
      <c r="I94" s="8" t="s">
        <v>64</v>
      </c>
      <c r="J94" s="8" t="s">
        <v>65</v>
      </c>
      <c r="K94" s="8" t="s">
        <v>66</v>
      </c>
    </row>
    <row r="95" spans="1:16">
      <c r="C95" s="22" t="s">
        <v>91</v>
      </c>
      <c r="D95" s="41">
        <f>'16-17 NGET'!D97-'15-16 NGET'!D97</f>
        <v>0</v>
      </c>
      <c r="E95" s="41">
        <f>'16-17 NGET'!E97-'15-16 NGET'!E97</f>
        <v>34.089493482626494</v>
      </c>
      <c r="F95" s="41">
        <f>'16-17 NGET'!F97-'15-16 NGET'!F97</f>
        <v>-295.71178970575056</v>
      </c>
      <c r="G95" s="41">
        <f>'16-17 NGET'!G97-'15-16 NGET'!G97</f>
        <v>-268.77873567387178</v>
      </c>
      <c r="H95" s="41">
        <f>'16-17 NGET'!H97-'15-16 NGET'!H97</f>
        <v>-223.81047500122077</v>
      </c>
      <c r="I95" s="41">
        <f>'16-17 NGET'!I97-'15-16 NGET'!I97</f>
        <v>-161.81986893622343</v>
      </c>
      <c r="J95" s="41">
        <f>'16-17 NGET'!J97-'15-16 NGET'!J97</f>
        <v>-88.757298836910195</v>
      </c>
      <c r="K95" s="41">
        <f>'16-17 NGET'!K97-'15-16 NGET'!K97</f>
        <v>-43.275517187628793</v>
      </c>
    </row>
    <row r="96" spans="1:16">
      <c r="C96" s="10" t="s">
        <v>86</v>
      </c>
      <c r="D96" s="42">
        <f>'16-17 NGET'!D98-'15-16 NGET'!D98</f>
        <v>34.089493482625585</v>
      </c>
      <c r="E96" s="42">
        <f>'16-17 NGET'!E98-'15-16 NGET'!E98</f>
        <v>-328.16294226037121</v>
      </c>
      <c r="F96" s="42">
        <f>'16-17 NGET'!F98-'15-16 NGET'!F98</f>
        <v>16.096245994197261</v>
      </c>
      <c r="G96" s="42">
        <f>'16-17 NGET'!G98-'15-16 NGET'!G98</f>
        <v>34.840012713709029</v>
      </c>
      <c r="H96" s="42">
        <f>'16-17 NGET'!H98-'15-16 NGET'!H98</f>
        <v>53.122326537401023</v>
      </c>
      <c r="I96" s="42">
        <f>'16-17 NGET'!I98-'15-16 NGET'!I98</f>
        <v>65.868515075021833</v>
      </c>
      <c r="J96" s="42">
        <f>'16-17 NGET'!J98-'15-16 NGET'!J98</f>
        <v>40.170946732894663</v>
      </c>
      <c r="K96" s="42">
        <f>'16-17 NGET'!K98-'15-16 NGET'!K98</f>
        <v>7.4114983283196807</v>
      </c>
    </row>
    <row r="97" spans="1:11">
      <c r="C97" s="11" t="s">
        <v>87</v>
      </c>
      <c r="D97" s="43">
        <f>'16-17 NGET'!D99-'15-16 NGET'!D99</f>
        <v>0</v>
      </c>
      <c r="E97" s="43">
        <f>'16-17 NGET'!E99-'15-16 NGET'!E99</f>
        <v>-1.6383409280055048</v>
      </c>
      <c r="F97" s="43">
        <f>'16-17 NGET'!F99-'15-16 NGET'!F99</f>
        <v>10.836808037680271</v>
      </c>
      <c r="G97" s="43">
        <f>'16-17 NGET'!G99-'15-16 NGET'!G99</f>
        <v>10.128247958942325</v>
      </c>
      <c r="H97" s="43">
        <f>'16-17 NGET'!H99-'15-16 NGET'!H99</f>
        <v>8.8682795276006345</v>
      </c>
      <c r="I97" s="43">
        <f>'16-17 NGET'!I99-'15-16 NGET'!I99</f>
        <v>7.1940550242876498</v>
      </c>
      <c r="J97" s="43">
        <f>'16-17 NGET'!J99-'15-16 NGET'!J99</f>
        <v>5.310834916385943</v>
      </c>
      <c r="K97" s="43">
        <f>'16-17 NGET'!K99-'15-16 NGET'!K99</f>
        <v>4.1656820584837533</v>
      </c>
    </row>
    <row r="98" spans="1:11" ht="13.8" thickBot="1">
      <c r="C98" s="13" t="s">
        <v>94</v>
      </c>
      <c r="D98" s="52">
        <f>'16-17 NGET'!D100-'15-16 NGET'!D100</f>
        <v>34.089493482626494</v>
      </c>
      <c r="E98" s="52">
        <f>'16-17 NGET'!E100-'15-16 NGET'!E100</f>
        <v>-295.71178970575056</v>
      </c>
      <c r="F98" s="52">
        <f>'16-17 NGET'!F100-'15-16 NGET'!F100</f>
        <v>-268.77873567387178</v>
      </c>
      <c r="G98" s="52">
        <f>'16-17 NGET'!G100-'15-16 NGET'!G100</f>
        <v>-223.81047500122258</v>
      </c>
      <c r="H98" s="52">
        <f>'16-17 NGET'!H100-'15-16 NGET'!H100</f>
        <v>-161.81986893621979</v>
      </c>
      <c r="I98" s="52">
        <f>'16-17 NGET'!I100-'15-16 NGET'!I100</f>
        <v>-88.757298836910195</v>
      </c>
      <c r="J98" s="52">
        <f>'16-17 NGET'!J100-'15-16 NGET'!J100</f>
        <v>-43.275517187630612</v>
      </c>
      <c r="K98" s="52">
        <f>'16-17 NGET'!K100-'15-16 NGET'!K100</f>
        <v>-31.698336800824109</v>
      </c>
    </row>
    <row r="100" spans="1:11" ht="13.8" thickBot="1"/>
    <row r="101" spans="1:11" ht="13.8" thickBot="1">
      <c r="C101" s="7" t="s">
        <v>58</v>
      </c>
      <c r="D101" s="8" t="s">
        <v>59</v>
      </c>
      <c r="E101" s="8" t="s">
        <v>60</v>
      </c>
      <c r="F101" s="8" t="s">
        <v>61</v>
      </c>
      <c r="G101" s="8" t="s">
        <v>62</v>
      </c>
      <c r="H101" s="8" t="s">
        <v>63</v>
      </c>
      <c r="I101" s="8" t="s">
        <v>64</v>
      </c>
      <c r="J101" s="8" t="s">
        <v>65</v>
      </c>
      <c r="K101" s="8" t="s">
        <v>66</v>
      </c>
    </row>
    <row r="102" spans="1:11">
      <c r="C102" s="10" t="s">
        <v>370</v>
      </c>
      <c r="D102" s="169">
        <f>'16-17 NGET'!D104-'15-16 NGET'!D104</f>
        <v>0</v>
      </c>
      <c r="E102" s="169">
        <f>'16-17 NGET'!E104-'15-16 NGET'!E104</f>
        <v>0</v>
      </c>
      <c r="F102" s="169">
        <f>'16-17 NGET'!F104-'15-16 NGET'!F104</f>
        <v>0</v>
      </c>
      <c r="G102" s="169">
        <f>'16-17 NGET'!G104-'15-16 NGET'!G104</f>
        <v>0</v>
      </c>
      <c r="H102" s="169">
        <f>'16-17 NGET'!H104-'15-16 NGET'!H104</f>
        <v>0</v>
      </c>
      <c r="I102" s="169">
        <f>'16-17 NGET'!I104-'15-16 NGET'!I104</f>
        <v>0</v>
      </c>
      <c r="J102" s="169">
        <f>'16-17 NGET'!J104-'15-16 NGET'!J104</f>
        <v>0</v>
      </c>
      <c r="K102" s="169">
        <f>'16-17 NGET'!K104-'15-16 NGET'!K104</f>
        <v>0</v>
      </c>
    </row>
    <row r="103" spans="1:11">
      <c r="C103" s="170" t="s">
        <v>371</v>
      </c>
      <c r="D103" s="171">
        <f>'16-17 NGET'!D105-'15-16 NGET'!D105</f>
        <v>0</v>
      </c>
      <c r="E103" s="171">
        <f>'16-17 NGET'!E105-'15-16 NGET'!E105</f>
        <v>0</v>
      </c>
      <c r="F103" s="171">
        <f>'16-17 NGET'!F105-'15-16 NGET'!F105</f>
        <v>0</v>
      </c>
      <c r="G103" s="171">
        <f>'16-17 NGET'!G105-'15-16 NGET'!G105</f>
        <v>0</v>
      </c>
      <c r="H103" s="171">
        <f>'16-17 NGET'!H105-'15-16 NGET'!H105</f>
        <v>0</v>
      </c>
      <c r="I103" s="171">
        <f>'16-17 NGET'!I105-'15-16 NGET'!I105</f>
        <v>0</v>
      </c>
      <c r="J103" s="171">
        <f>'16-17 NGET'!J105-'15-16 NGET'!J105</f>
        <v>0</v>
      </c>
      <c r="K103" s="171">
        <f>'16-17 NGET'!K105-'15-16 NGET'!K105</f>
        <v>0</v>
      </c>
    </row>
    <row r="104" spans="1:11">
      <c r="C104" s="10"/>
      <c r="D104" s="169"/>
      <c r="E104" s="169"/>
      <c r="F104" s="169"/>
      <c r="G104" s="169"/>
      <c r="H104" s="169"/>
      <c r="I104" s="169"/>
      <c r="J104" s="169"/>
      <c r="K104" s="169"/>
    </row>
    <row r="105" spans="1:11">
      <c r="C105" s="11" t="s">
        <v>372</v>
      </c>
      <c r="D105" s="171">
        <f>'16-17 NGET'!D107-'15-16 NGET'!D107</f>
        <v>0</v>
      </c>
      <c r="E105" s="171">
        <f>'16-17 NGET'!E107-'15-16 NGET'!E107</f>
        <v>0</v>
      </c>
      <c r="F105" s="171">
        <f>'16-17 NGET'!F107-'15-16 NGET'!F107</f>
        <v>0</v>
      </c>
      <c r="G105" s="171">
        <f>'16-17 NGET'!G107-'15-16 NGET'!G107</f>
        <v>0</v>
      </c>
      <c r="H105" s="171">
        <f>'16-17 NGET'!H107-'15-16 NGET'!H107</f>
        <v>0</v>
      </c>
      <c r="I105" s="171">
        <f>'16-17 NGET'!I107-'15-16 NGET'!I107</f>
        <v>0</v>
      </c>
      <c r="J105" s="171">
        <f>'16-17 NGET'!J107-'15-16 NGET'!J107</f>
        <v>0</v>
      </c>
      <c r="K105" s="171">
        <f>'16-17 NGET'!K107-'15-16 NGET'!K107</f>
        <v>0</v>
      </c>
    </row>
    <row r="106" spans="1:11">
      <c r="C106" s="10" t="s">
        <v>373</v>
      </c>
      <c r="D106" s="169">
        <f>'16-17 NGET'!D108-'15-16 NGET'!D108</f>
        <v>0</v>
      </c>
      <c r="E106" s="169">
        <f>'16-17 NGET'!E108-'15-16 NGET'!E108</f>
        <v>0</v>
      </c>
      <c r="F106" s="169">
        <f>'16-17 NGET'!F108-'15-16 NGET'!F108</f>
        <v>0</v>
      </c>
      <c r="G106" s="169">
        <f>'16-17 NGET'!G108-'15-16 NGET'!G108</f>
        <v>0</v>
      </c>
      <c r="H106" s="169">
        <f>'16-17 NGET'!H108-'15-16 NGET'!H108</f>
        <v>0</v>
      </c>
      <c r="I106" s="169">
        <f>'16-17 NGET'!I108-'15-16 NGET'!I108</f>
        <v>0</v>
      </c>
      <c r="J106" s="169">
        <f>'16-17 NGET'!J108-'15-16 NGET'!J108</f>
        <v>0</v>
      </c>
      <c r="K106" s="169">
        <f>'16-17 NGET'!K108-'15-16 NGET'!K108</f>
        <v>0</v>
      </c>
    </row>
    <row r="107" spans="1:11">
      <c r="C107" s="11"/>
      <c r="D107" s="171"/>
      <c r="E107" s="171"/>
      <c r="F107" s="171"/>
      <c r="G107" s="171"/>
      <c r="H107" s="171"/>
      <c r="I107" s="171"/>
      <c r="J107" s="171"/>
      <c r="K107" s="171"/>
    </row>
    <row r="108" spans="1:11" ht="13.8" thickBot="1">
      <c r="C108" s="40" t="s">
        <v>374</v>
      </c>
      <c r="D108" s="46">
        <f>'16-17 NGET'!D110-'15-16 NGET'!D110</f>
        <v>0</v>
      </c>
      <c r="E108" s="46">
        <f>'16-17 NGET'!E110-'15-16 NGET'!E110</f>
        <v>0</v>
      </c>
      <c r="F108" s="46">
        <f>'16-17 NGET'!F110-'15-16 NGET'!F110</f>
        <v>0</v>
      </c>
      <c r="G108" s="46">
        <f>'16-17 NGET'!G110-'15-16 NGET'!G110</f>
        <v>0</v>
      </c>
      <c r="H108" s="46">
        <f>'16-17 NGET'!H110-'15-16 NGET'!H110</f>
        <v>0</v>
      </c>
      <c r="I108" s="46">
        <f>'16-17 NGET'!I110-'15-16 NGET'!I110</f>
        <v>0</v>
      </c>
      <c r="J108" s="46">
        <f>'16-17 NGET'!J110-'15-16 NGET'!J110</f>
        <v>0</v>
      </c>
      <c r="K108" s="46">
        <f>'16-17 NGET'!K110-'15-16 NGET'!K110</f>
        <v>0</v>
      </c>
    </row>
    <row r="109" spans="1:11">
      <c r="A109" s="38" t="s">
        <v>364</v>
      </c>
    </row>
    <row r="110" spans="1:11" ht="13.8" thickBot="1">
      <c r="C110" s="38" t="s">
        <v>122</v>
      </c>
    </row>
    <row r="111" spans="1:11" ht="13.8" thickBot="1">
      <c r="C111" s="7" t="s">
        <v>58</v>
      </c>
      <c r="D111" s="8" t="s">
        <v>59</v>
      </c>
      <c r="E111" s="8" t="s">
        <v>60</v>
      </c>
      <c r="F111" s="8" t="s">
        <v>61</v>
      </c>
      <c r="G111" s="8" t="s">
        <v>62</v>
      </c>
      <c r="H111" s="8" t="s">
        <v>63</v>
      </c>
      <c r="I111" s="8" t="s">
        <v>64</v>
      </c>
      <c r="J111" s="8" t="s">
        <v>65</v>
      </c>
      <c r="K111" s="8" t="s">
        <v>66</v>
      </c>
    </row>
    <row r="112" spans="1:11">
      <c r="C112" s="22" t="s">
        <v>91</v>
      </c>
      <c r="D112" s="41">
        <f>'16-17 NGET'!D114-'15-16 NGET'!D114</f>
        <v>0</v>
      </c>
      <c r="E112" s="41">
        <f>'16-17 NGET'!E114-'15-16 NGET'!E114</f>
        <v>1.6483710600000023</v>
      </c>
      <c r="F112" s="41">
        <f>'16-17 NGET'!F114-'15-16 NGET'!F114</f>
        <v>1.6639010840442836</v>
      </c>
      <c r="G112" s="41">
        <f>'16-17 NGET'!G114-'15-16 NGET'!G114</f>
        <v>2.8684911718945045</v>
      </c>
      <c r="H112" s="41">
        <f>'16-17 NGET'!H114-'15-16 NGET'!H114</f>
        <v>4.0632733515156616</v>
      </c>
      <c r="I112" s="41">
        <f>'16-17 NGET'!I114-'15-16 NGET'!I114</f>
        <v>4.9363989918410454</v>
      </c>
      <c r="J112" s="41">
        <f>'16-17 NGET'!J114-'15-16 NGET'!J114</f>
        <v>5.553539636310191</v>
      </c>
      <c r="K112" s="41">
        <f>'16-17 NGET'!K114-'15-16 NGET'!K114</f>
        <v>5.9421701143212999</v>
      </c>
    </row>
    <row r="113" spans="1:14">
      <c r="C113" s="10" t="s">
        <v>86</v>
      </c>
      <c r="D113" s="42">
        <f>'16-17 NGET'!D115-'15-16 NGET'!D115</f>
        <v>1.6483710599999952</v>
      </c>
      <c r="E113" s="42">
        <f>'16-17 NGET'!E115-'15-16 NGET'!E115</f>
        <v>0.25101160404430445</v>
      </c>
      <c r="F113" s="42">
        <f>'16-17 NGET'!F115-'15-16 NGET'!F115</f>
        <v>1.4759304684279684</v>
      </c>
      <c r="G113" s="42">
        <f>'16-17 NGET'!G115-'15-16 NGET'!G115</f>
        <v>1.676969769974324</v>
      </c>
      <c r="H113" s="42">
        <f>'16-17 NGET'!H115-'15-16 NGET'!H115</f>
        <v>1.5948803406748873</v>
      </c>
      <c r="I113" s="42">
        <f>'16-17 NGET'!I115-'15-16 NGET'!I115</f>
        <v>1.5667353934865034</v>
      </c>
      <c r="J113" s="42">
        <f>'16-17 NGET'!J115-'15-16 NGET'!J115</f>
        <v>1.5620445689551055</v>
      </c>
      <c r="K113" s="42">
        <f>'16-17 NGET'!K115-'15-16 NGET'!K115</f>
        <v>1.5034092623126476</v>
      </c>
    </row>
    <row r="114" spans="1:14">
      <c r="C114" s="11" t="s">
        <v>87</v>
      </c>
      <c r="D114" s="43">
        <f>'16-17 NGET'!D116-'15-16 NGET'!D116</f>
        <v>0</v>
      </c>
      <c r="E114" s="43">
        <f>'16-17 NGET'!E116-'15-16 NGET'!E116</f>
        <v>-0.2354815799999983</v>
      </c>
      <c r="F114" s="43">
        <f>'16-17 NGET'!F116-'15-16 NGET'!F116</f>
        <v>-0.27134038057775811</v>
      </c>
      <c r="G114" s="43">
        <f>'16-17 NGET'!G116-'15-16 NGET'!G116</f>
        <v>-0.4821875903531847</v>
      </c>
      <c r="H114" s="43">
        <f>'16-17 NGET'!H116-'15-16 NGET'!H116</f>
        <v>-0.72175470034951061</v>
      </c>
      <c r="I114" s="43">
        <f>'16-17 NGET'!I116-'15-16 NGET'!I116</f>
        <v>-0.94959474901735774</v>
      </c>
      <c r="J114" s="43">
        <f>'16-17 NGET'!J116-'15-16 NGET'!J116</f>
        <v>-1.173414090943993</v>
      </c>
      <c r="K114" s="43">
        <f>'16-17 NGET'!K116-'15-16 NGET'!K116</f>
        <v>-1.3965633150804422</v>
      </c>
    </row>
    <row r="115" spans="1:14" ht="13.8" thickBot="1">
      <c r="C115" s="13" t="s">
        <v>94</v>
      </c>
      <c r="D115" s="52">
        <f>'16-17 NGET'!D117-'15-16 NGET'!D117</f>
        <v>1.6483710600000023</v>
      </c>
      <c r="E115" s="52">
        <f>'16-17 NGET'!E117-'15-16 NGET'!E117</f>
        <v>1.6639010840442836</v>
      </c>
      <c r="F115" s="52">
        <f>'16-17 NGET'!F117-'15-16 NGET'!F117</f>
        <v>2.8684911718945045</v>
      </c>
      <c r="G115" s="52">
        <f>'16-17 NGET'!G117-'15-16 NGET'!G117</f>
        <v>4.0632733515156616</v>
      </c>
      <c r="H115" s="52">
        <f>'16-17 NGET'!H117-'15-16 NGET'!H117</f>
        <v>4.9363989918410454</v>
      </c>
      <c r="I115" s="52">
        <f>'16-17 NGET'!I117-'15-16 NGET'!I117</f>
        <v>5.553539636310191</v>
      </c>
      <c r="J115" s="52">
        <f>'16-17 NGET'!J117-'15-16 NGET'!J117</f>
        <v>5.9421701143212999</v>
      </c>
      <c r="K115" s="52">
        <f>'16-17 NGET'!K117-'15-16 NGET'!K117</f>
        <v>6.0490160615534876</v>
      </c>
    </row>
    <row r="117" spans="1:14" ht="13.8" thickBot="1">
      <c r="C117" s="38" t="s">
        <v>395</v>
      </c>
    </row>
    <row r="118" spans="1:14" ht="13.8" thickBot="1">
      <c r="C118" s="14" t="s">
        <v>58</v>
      </c>
      <c r="D118" s="15" t="s">
        <v>59</v>
      </c>
      <c r="E118" s="15" t="s">
        <v>60</v>
      </c>
      <c r="F118" s="15" t="s">
        <v>61</v>
      </c>
      <c r="G118" s="15" t="s">
        <v>62</v>
      </c>
      <c r="H118" s="15" t="s">
        <v>63</v>
      </c>
      <c r="I118" s="15" t="s">
        <v>64</v>
      </c>
      <c r="J118" s="15" t="s">
        <v>65</v>
      </c>
      <c r="K118" s="15" t="s">
        <v>66</v>
      </c>
      <c r="L118" s="15" t="s">
        <v>118</v>
      </c>
    </row>
    <row r="119" spans="1:14">
      <c r="C119" s="16"/>
      <c r="D119" s="26"/>
      <c r="E119" s="26"/>
      <c r="F119" s="26"/>
      <c r="G119" s="26"/>
      <c r="H119" s="26"/>
      <c r="I119" s="26"/>
      <c r="J119" s="26"/>
      <c r="K119" s="26"/>
      <c r="L119" s="26"/>
    </row>
    <row r="120" spans="1:14">
      <c r="A120" t="s">
        <v>338</v>
      </c>
      <c r="C120" s="17" t="s">
        <v>119</v>
      </c>
      <c r="D120" s="27">
        <f>'16-17 NGET'!D122-'15-16 NGET'!D122</f>
        <v>12.600000000000001</v>
      </c>
      <c r="E120" s="27">
        <f>'16-17 NGET'!E122-'15-16 NGET'!E122</f>
        <v>0.53225726739315604</v>
      </c>
      <c r="F120" s="27">
        <f>'16-17 NGET'!F122-'15-16 NGET'!F122</f>
        <v>1.4855538657092637</v>
      </c>
      <c r="G120" s="27">
        <f>'16-17 NGET'!G122-'15-16 NGET'!G122</f>
        <v>1.1360117796600271</v>
      </c>
      <c r="H120" s="27">
        <f>'16-17 NGET'!H122-'15-16 NGET'!H122</f>
        <v>1.0804028114249213</v>
      </c>
      <c r="I120" s="27">
        <f>'16-17 NGET'!I122-'15-16 NGET'!I122</f>
        <v>1.0613368794585973</v>
      </c>
      <c r="J120" s="27">
        <f>'16-17 NGET'!J122-'15-16 NGET'!J122</f>
        <v>1.058159224130879</v>
      </c>
      <c r="K120" s="27">
        <f>'16-17 NGET'!K122-'15-16 NGET'!K122</f>
        <v>1.0184385325343719</v>
      </c>
      <c r="L120" s="28">
        <f>'16-17 NGET'!L122-'15-16 NGET'!L122</f>
        <v>19.97216036031125</v>
      </c>
      <c r="N120" s="53"/>
    </row>
    <row r="121" spans="1:14">
      <c r="C121" s="18" t="s">
        <v>386</v>
      </c>
      <c r="D121" s="29">
        <f>'16-17 NGET'!D123-'15-16 NGET'!D123</f>
        <v>0</v>
      </c>
      <c r="E121" s="29">
        <f>'16-17 NGET'!E123-'15-16 NGET'!E123</f>
        <v>0.56391875056006313</v>
      </c>
      <c r="F121" s="29">
        <f>'16-17 NGET'!F123-'15-16 NGET'!F123</f>
        <v>3.8045194978318335</v>
      </c>
      <c r="G121" s="29">
        <f>'16-17 NGET'!G123-'15-16 NGET'!G123</f>
        <v>4.874632557165512</v>
      </c>
      <c r="H121" s="29">
        <f>'16-17 NGET'!H123-'15-16 NGET'!H123</f>
        <v>4.6360141802413324</v>
      </c>
      <c r="I121" s="29">
        <f>'16-17 NGET'!I123-'15-16 NGET'!I123</f>
        <v>4.5542021652958908</v>
      </c>
      <c r="J121" s="29">
        <f>'16-17 NGET'!J123-'15-16 NGET'!J123</f>
        <v>4.5405668294716577</v>
      </c>
      <c r="K121" s="29">
        <f>'16-17 NGET'!K123-'15-16 NGET'!K123</f>
        <v>4.370125131668658</v>
      </c>
      <c r="L121" s="30">
        <f>'16-17 NGET'!L123-'15-16 NGET'!L123</f>
        <v>27.34397911223482</v>
      </c>
      <c r="N121" s="53"/>
    </row>
    <row r="122" spans="1:14">
      <c r="C122" s="19" t="s">
        <v>71</v>
      </c>
      <c r="D122" s="31">
        <f>'16-17 NGET'!D124-'15-16 NGET'!D124</f>
        <v>12.599999999999994</v>
      </c>
      <c r="E122" s="31">
        <f>'16-17 NGET'!E124-'15-16 NGET'!E124</f>
        <v>1.0961760179532121</v>
      </c>
      <c r="F122" s="31">
        <f>'16-17 NGET'!F124-'15-16 NGET'!F124</f>
        <v>5.2900733635410973</v>
      </c>
      <c r="G122" s="31">
        <f>'16-17 NGET'!G124-'15-16 NGET'!G124</f>
        <v>6.0106443368255356</v>
      </c>
      <c r="H122" s="31">
        <f>'16-17 NGET'!H124-'15-16 NGET'!H124</f>
        <v>5.7164169916662502</v>
      </c>
      <c r="I122" s="31">
        <f>'16-17 NGET'!I124-'15-16 NGET'!I124</f>
        <v>5.6155390447544988</v>
      </c>
      <c r="J122" s="31">
        <f>'16-17 NGET'!J124-'15-16 NGET'!J124</f>
        <v>5.5987260536025474</v>
      </c>
      <c r="K122" s="31">
        <f>'16-17 NGET'!K124-'15-16 NGET'!K124</f>
        <v>5.3885636642030335</v>
      </c>
      <c r="L122" s="28">
        <f>'16-17 NGET'!L124-'15-16 NGET'!L124</f>
        <v>47.316139472546297</v>
      </c>
    </row>
    <row r="123" spans="1:14">
      <c r="A123" t="s">
        <v>346</v>
      </c>
      <c r="C123" s="17" t="s">
        <v>121</v>
      </c>
      <c r="D123" s="27">
        <f>'16-17 NGET'!D125-'15-16 NGET'!D125</f>
        <v>0</v>
      </c>
      <c r="E123" s="27">
        <f>'16-17 NGET'!E125-'15-16 NGET'!E125</f>
        <v>0.20345472764393691</v>
      </c>
      <c r="F123" s="27">
        <f>'16-17 NGET'!F125-'15-16 NGET'!F125</f>
        <v>1.4855538657092637</v>
      </c>
      <c r="G123" s="27">
        <f>'16-17 NGET'!G125-'15-16 NGET'!G125</f>
        <v>1.1360117796600271</v>
      </c>
      <c r="H123" s="27">
        <f>'16-17 NGET'!H125-'15-16 NGET'!H125</f>
        <v>1.0804028114249213</v>
      </c>
      <c r="I123" s="27">
        <f>'16-17 NGET'!I125-'15-16 NGET'!I125</f>
        <v>1.0613368794585973</v>
      </c>
      <c r="J123" s="27">
        <f>'16-17 NGET'!J125-'15-16 NGET'!J125</f>
        <v>1.058159224130879</v>
      </c>
      <c r="K123" s="27">
        <f>'16-17 NGET'!K125-'15-16 NGET'!K125</f>
        <v>1.0184385325343719</v>
      </c>
      <c r="L123" s="27">
        <f>'16-17 NGET'!L125-'15-16 NGET'!L125</f>
        <v>7.0433578205619938</v>
      </c>
    </row>
    <row r="124" spans="1:14">
      <c r="C124" s="18" t="s">
        <v>387</v>
      </c>
      <c r="D124" s="29">
        <f>'16-17 NGET'!D126-'15-16 NGET'!D126</f>
        <v>0</v>
      </c>
      <c r="E124" s="29">
        <f>'16-17 NGET'!E126-'15-16 NGET'!E126</f>
        <v>0.52274793437696587</v>
      </c>
      <c r="F124" s="29">
        <f>'16-17 NGET'!F126-'15-16 NGET'!F126</f>
        <v>3.8045194978318335</v>
      </c>
      <c r="G124" s="29">
        <f>'16-17 NGET'!G126-'15-16 NGET'!G126</f>
        <v>4.874632557165512</v>
      </c>
      <c r="H124" s="29">
        <f>'16-17 NGET'!H126-'15-16 NGET'!H126</f>
        <v>4.6360141802413324</v>
      </c>
      <c r="I124" s="29">
        <f>'16-17 NGET'!I126-'15-16 NGET'!I126</f>
        <v>4.5542021652958908</v>
      </c>
      <c r="J124" s="29">
        <f>'16-17 NGET'!J126-'15-16 NGET'!J126</f>
        <v>4.5405668294716577</v>
      </c>
      <c r="K124" s="29">
        <f>'16-17 NGET'!K126-'15-16 NGET'!K126</f>
        <v>4.370125131668658</v>
      </c>
      <c r="L124" s="29">
        <f>'16-17 NGET'!L126-'15-16 NGET'!L126</f>
        <v>27.302808296051694</v>
      </c>
    </row>
    <row r="125" spans="1:14">
      <c r="C125" s="19" t="s">
        <v>77</v>
      </c>
      <c r="D125" s="31">
        <f>'16-17 NGET'!D127-'15-16 NGET'!D127</f>
        <v>0</v>
      </c>
      <c r="E125" s="31">
        <f>'16-17 NGET'!E127-'15-16 NGET'!E127</f>
        <v>0.72620266202090988</v>
      </c>
      <c r="F125" s="31">
        <f>'16-17 NGET'!F127-'15-16 NGET'!F127</f>
        <v>5.2900733635410973</v>
      </c>
      <c r="G125" s="31">
        <f>'16-17 NGET'!G127-'15-16 NGET'!G127</f>
        <v>6.0106443368255356</v>
      </c>
      <c r="H125" s="31">
        <f>'16-17 NGET'!H127-'15-16 NGET'!H127</f>
        <v>5.7164169916662502</v>
      </c>
      <c r="I125" s="31">
        <f>'16-17 NGET'!I127-'15-16 NGET'!I127</f>
        <v>5.6155390447544988</v>
      </c>
      <c r="J125" s="31">
        <f>'16-17 NGET'!J127-'15-16 NGET'!J127</f>
        <v>5.5987260536025474</v>
      </c>
      <c r="K125" s="31">
        <f>'16-17 NGET'!K127-'15-16 NGET'!K127</f>
        <v>5.3885636642030335</v>
      </c>
      <c r="L125" s="31">
        <f>'16-17 NGET'!L127-'15-16 NGET'!L127</f>
        <v>34.346166116613972</v>
      </c>
    </row>
    <row r="126" spans="1:14">
      <c r="A126" t="s">
        <v>233</v>
      </c>
      <c r="C126" s="17" t="s">
        <v>388</v>
      </c>
      <c r="D126" s="27">
        <f>'16-17 NGET'!D128-'15-16 NGET'!D128</f>
        <v>5.9081400000000031</v>
      </c>
      <c r="E126" s="27">
        <f>'16-17 NGET'!E128-'15-16 NGET'!E128</f>
        <v>0.35763023853234444</v>
      </c>
      <c r="F126" s="27">
        <f>'16-17 NGET'!F128-'15-16 NGET'!F128</f>
        <v>1.4855538657092637</v>
      </c>
      <c r="G126" s="27">
        <f>'16-17 NGET'!G128-'15-16 NGET'!G128</f>
        <v>1.1360117796600271</v>
      </c>
      <c r="H126" s="27">
        <f>'16-17 NGET'!H128-'15-16 NGET'!H128</f>
        <v>1.0804028114249213</v>
      </c>
      <c r="I126" s="27">
        <f>'16-17 NGET'!I128-'15-16 NGET'!I128</f>
        <v>1.0613368794585973</v>
      </c>
      <c r="J126" s="27">
        <f>'16-17 NGET'!J128-'15-16 NGET'!J128</f>
        <v>1.058159224130879</v>
      </c>
      <c r="K126" s="27">
        <f>'16-17 NGET'!K128-'15-16 NGET'!K128</f>
        <v>1.0184385325343719</v>
      </c>
      <c r="L126" s="27">
        <f>'16-17 NGET'!L128-'15-16 NGET'!L128</f>
        <v>13.105673331450419</v>
      </c>
    </row>
    <row r="127" spans="1:14">
      <c r="C127" s="18" t="s">
        <v>389</v>
      </c>
      <c r="D127" s="29">
        <f>'16-17 NGET'!D129-'15-16 NGET'!D129</f>
        <v>0</v>
      </c>
      <c r="E127" s="29">
        <f>'16-17 NGET'!E129-'15-16 NGET'!E129</f>
        <v>0.54205293008521949</v>
      </c>
      <c r="F127" s="29">
        <f>'16-17 NGET'!F129-'15-16 NGET'!F129</f>
        <v>3.8045194978318335</v>
      </c>
      <c r="G127" s="29">
        <f>'16-17 NGET'!G129-'15-16 NGET'!G129</f>
        <v>4.874632557165512</v>
      </c>
      <c r="H127" s="29">
        <f>'16-17 NGET'!H129-'15-16 NGET'!H129</f>
        <v>4.6360141802413324</v>
      </c>
      <c r="I127" s="29">
        <f>'16-17 NGET'!I129-'15-16 NGET'!I129</f>
        <v>4.5542021652958908</v>
      </c>
      <c r="J127" s="29">
        <f>'16-17 NGET'!J129-'15-16 NGET'!J129</f>
        <v>4.5405668294716577</v>
      </c>
      <c r="K127" s="29">
        <f>'16-17 NGET'!K129-'15-16 NGET'!K129</f>
        <v>4.370125131668658</v>
      </c>
      <c r="L127" s="29">
        <f>'16-17 NGET'!L129-'15-16 NGET'!L129</f>
        <v>27.322113291760047</v>
      </c>
    </row>
    <row r="128" spans="1:14">
      <c r="C128" s="19" t="s">
        <v>78</v>
      </c>
      <c r="D128" s="31">
        <f>'16-17 NGET'!D130-'15-16 NGET'!D130</f>
        <v>5.9081400000000031</v>
      </c>
      <c r="E128" s="31">
        <f>'16-17 NGET'!E130-'15-16 NGET'!E130</f>
        <v>0.89968316861757103</v>
      </c>
      <c r="F128" s="31">
        <f>'16-17 NGET'!F130-'15-16 NGET'!F130</f>
        <v>5.2900733635410973</v>
      </c>
      <c r="G128" s="31">
        <f>'16-17 NGET'!G130-'15-16 NGET'!G130</f>
        <v>6.0106443368255356</v>
      </c>
      <c r="H128" s="31">
        <f>'16-17 NGET'!H130-'15-16 NGET'!H130</f>
        <v>5.7164169916662502</v>
      </c>
      <c r="I128" s="31">
        <f>'16-17 NGET'!I130-'15-16 NGET'!I130</f>
        <v>5.6155390447544988</v>
      </c>
      <c r="J128" s="31">
        <f>'16-17 NGET'!J130-'15-16 NGET'!J130</f>
        <v>5.5987260536025474</v>
      </c>
      <c r="K128" s="31">
        <f>'16-17 NGET'!K130-'15-16 NGET'!K130</f>
        <v>5.3885636642030335</v>
      </c>
      <c r="L128" s="31">
        <f>'16-17 NGET'!L130-'15-16 NGET'!L130</f>
        <v>40.427786623210636</v>
      </c>
    </row>
    <row r="129" spans="1:12">
      <c r="C129" s="20"/>
      <c r="D129" s="32"/>
      <c r="E129" s="32"/>
      <c r="F129" s="32"/>
      <c r="G129" s="32"/>
      <c r="H129" s="32"/>
      <c r="I129" s="32"/>
      <c r="J129" s="32"/>
      <c r="K129" s="32"/>
      <c r="L129" s="33"/>
    </row>
    <row r="130" spans="1:12">
      <c r="C130" s="17" t="s">
        <v>79</v>
      </c>
      <c r="D130" s="27">
        <f>'16-17 NGET'!D132-'15-16 NGET'!D132</f>
        <v>4.2597689399999865</v>
      </c>
      <c r="E130" s="27">
        <f>'16-17 NGET'!E132-'15-16 NGET'!E132</f>
        <v>0.64867156457327724</v>
      </c>
      <c r="F130" s="27">
        <f>'16-17 NGET'!F132-'15-16 NGET'!F132</f>
        <v>3.8141428951131218</v>
      </c>
      <c r="G130" s="27">
        <f>'16-17 NGET'!G132-'15-16 NGET'!G132</f>
        <v>4.3336745668512009</v>
      </c>
      <c r="H130" s="27">
        <f>'16-17 NGET'!H132-'15-16 NGET'!H132</f>
        <v>4.1215366509913736</v>
      </c>
      <c r="I130" s="27">
        <f>'16-17 NGET'!I132-'15-16 NGET'!I132</f>
        <v>4.0488036512679884</v>
      </c>
      <c r="J130" s="27">
        <f>'16-17 NGET'!J132-'15-16 NGET'!J132</f>
        <v>4.0366814846474171</v>
      </c>
      <c r="K130" s="27">
        <f>'16-17 NGET'!K132-'15-16 NGET'!K132</f>
        <v>3.8851544018903894</v>
      </c>
      <c r="L130" s="28">
        <f>'16-17 NGET'!L132-'15-16 NGET'!L132</f>
        <v>29.148434155334826</v>
      </c>
    </row>
    <row r="131" spans="1:12">
      <c r="C131" s="18" t="s">
        <v>80</v>
      </c>
      <c r="D131" s="29">
        <f>'16-17 NGET'!D133-'15-16 NGET'!D133</f>
        <v>1.6483710599999988</v>
      </c>
      <c r="E131" s="29">
        <f>'16-17 NGET'!E133-'15-16 NGET'!E133</f>
        <v>0.25101160404430445</v>
      </c>
      <c r="F131" s="29">
        <f>'16-17 NGET'!F133-'15-16 NGET'!F133</f>
        <v>1.4759304684279684</v>
      </c>
      <c r="G131" s="29">
        <f>'16-17 NGET'!G133-'15-16 NGET'!G133</f>
        <v>1.676969769974324</v>
      </c>
      <c r="H131" s="29">
        <f>'16-17 NGET'!H133-'15-16 NGET'!H133</f>
        <v>1.5948803406748873</v>
      </c>
      <c r="I131" s="29">
        <f>'16-17 NGET'!I133-'15-16 NGET'!I133</f>
        <v>1.5667353934865034</v>
      </c>
      <c r="J131" s="29">
        <f>'16-17 NGET'!J133-'15-16 NGET'!J133</f>
        <v>1.5620445689551055</v>
      </c>
      <c r="K131" s="29">
        <f>'16-17 NGET'!K133-'15-16 NGET'!K133</f>
        <v>1.5034092623126476</v>
      </c>
      <c r="L131" s="30">
        <f>'16-17 NGET'!L133-'15-16 NGET'!L133</f>
        <v>11.279352467875782</v>
      </c>
    </row>
    <row r="132" spans="1:12" ht="13.8" thickBot="1">
      <c r="C132" s="21" t="s">
        <v>390</v>
      </c>
      <c r="D132" s="34">
        <f>'16-17 NGET'!D134-'15-16 NGET'!D134</f>
        <v>5.9081399999999888</v>
      </c>
      <c r="E132" s="34">
        <f>'16-17 NGET'!E134-'15-16 NGET'!E134</f>
        <v>0.89968316861757103</v>
      </c>
      <c r="F132" s="34">
        <f>'16-17 NGET'!F134-'15-16 NGET'!F134</f>
        <v>5.2900733635410973</v>
      </c>
      <c r="G132" s="34">
        <f>'16-17 NGET'!G134-'15-16 NGET'!G134</f>
        <v>6.0106443368255356</v>
      </c>
      <c r="H132" s="34">
        <f>'16-17 NGET'!H134-'15-16 NGET'!H134</f>
        <v>5.7164169916662502</v>
      </c>
      <c r="I132" s="34">
        <f>'16-17 NGET'!I134-'15-16 NGET'!I134</f>
        <v>5.6155390447544846</v>
      </c>
      <c r="J132" s="34">
        <f>'16-17 NGET'!J134-'15-16 NGET'!J134</f>
        <v>5.5987260536025332</v>
      </c>
      <c r="K132" s="34">
        <f>'16-17 NGET'!K134-'15-16 NGET'!K134</f>
        <v>5.3885636642030477</v>
      </c>
      <c r="L132" s="35">
        <f>'16-17 NGET'!L134-'15-16 NGET'!L134</f>
        <v>40.427786623210636</v>
      </c>
    </row>
    <row r="134" spans="1:12" ht="13.8" thickBot="1">
      <c r="A134" s="38" t="s">
        <v>375</v>
      </c>
    </row>
    <row r="135" spans="1:12" ht="13.8" thickBot="1">
      <c r="C135" s="7" t="s">
        <v>58</v>
      </c>
      <c r="D135" s="8" t="s">
        <v>59</v>
      </c>
      <c r="E135" s="8" t="s">
        <v>60</v>
      </c>
      <c r="F135" s="8" t="s">
        <v>61</v>
      </c>
      <c r="G135" s="8" t="s">
        <v>62</v>
      </c>
      <c r="H135" s="8" t="s">
        <v>63</v>
      </c>
      <c r="I135" s="8" t="s">
        <v>64</v>
      </c>
      <c r="J135" s="8" t="s">
        <v>65</v>
      </c>
      <c r="K135" s="8" t="s">
        <v>66</v>
      </c>
    </row>
    <row r="136" spans="1:12">
      <c r="C136" s="22" t="s">
        <v>79</v>
      </c>
      <c r="D136" s="41">
        <f>'16-17 NGET'!D138-'15-16 NGET'!D138</f>
        <v>4.2597689399999865</v>
      </c>
      <c r="E136" s="41">
        <f>'16-17 NGET'!E138-'15-16 NGET'!E138</f>
        <v>0.64867156457327724</v>
      </c>
      <c r="F136" s="41">
        <f>'16-17 NGET'!F138-'15-16 NGET'!F138</f>
        <v>3.8141428951131218</v>
      </c>
      <c r="G136" s="41">
        <f>'16-17 NGET'!G138-'15-16 NGET'!G138</f>
        <v>4.3336745668512009</v>
      </c>
      <c r="H136" s="41">
        <f>'16-17 NGET'!H138-'15-16 NGET'!H138</f>
        <v>4.1215366509913736</v>
      </c>
      <c r="I136" s="41">
        <f>'16-17 NGET'!I138-'15-16 NGET'!I138</f>
        <v>4.0488036512679884</v>
      </c>
      <c r="J136" s="41">
        <f>'16-17 NGET'!J138-'15-16 NGET'!J138</f>
        <v>4.0366814846474171</v>
      </c>
      <c r="K136" s="41">
        <f>'16-17 NGET'!K138-'15-16 NGET'!K138</f>
        <v>3.8851544018903894</v>
      </c>
      <c r="L136" s="28"/>
    </row>
    <row r="137" spans="1:12">
      <c r="C137" s="10" t="s">
        <v>98</v>
      </c>
      <c r="D137" s="42">
        <f>'16-17 NGET'!D139-'15-16 NGET'!D139</f>
        <v>0</v>
      </c>
      <c r="E137" s="42">
        <f>'16-17 NGET'!E139-'15-16 NGET'!E139</f>
        <v>0</v>
      </c>
      <c r="F137" s="42">
        <f>'16-17 NGET'!F139-'15-16 NGET'!F139</f>
        <v>0</v>
      </c>
      <c r="G137" s="42">
        <f>'16-17 NGET'!G139-'15-16 NGET'!G139</f>
        <v>0</v>
      </c>
      <c r="H137" s="42">
        <f>'16-17 NGET'!H139-'15-16 NGET'!H139</f>
        <v>0</v>
      </c>
      <c r="I137" s="42">
        <f>'16-17 NGET'!I139-'15-16 NGET'!I139</f>
        <v>0</v>
      </c>
      <c r="J137" s="42">
        <f>'16-17 NGET'!J139-'15-16 NGET'!J139</f>
        <v>0</v>
      </c>
      <c r="K137" s="42">
        <f>'16-17 NGET'!K139-'15-16 NGET'!K139</f>
        <v>0</v>
      </c>
      <c r="L137" s="28"/>
    </row>
    <row r="138" spans="1:12">
      <c r="C138" s="11" t="s">
        <v>99</v>
      </c>
      <c r="D138" s="43">
        <f>'16-17 NGET'!D140-'15-16 NGET'!D140</f>
        <v>0</v>
      </c>
      <c r="E138" s="43">
        <f>'16-17 NGET'!E140-'15-16 NGET'!E140</f>
        <v>0</v>
      </c>
      <c r="F138" s="43">
        <f>'16-17 NGET'!F140-'15-16 NGET'!F140</f>
        <v>0</v>
      </c>
      <c r="G138" s="43">
        <f>'16-17 NGET'!G140-'15-16 NGET'!G140</f>
        <v>-1.0839229241401682E-3</v>
      </c>
      <c r="H138" s="43">
        <f>'16-17 NGET'!H140-'15-16 NGET'!H140</f>
        <v>-2.2606079721310124E-3</v>
      </c>
      <c r="I138" s="43">
        <f>'16-17 NGET'!I140-'15-16 NGET'!I140</f>
        <v>-3.5360093628149514E-3</v>
      </c>
      <c r="J138" s="43">
        <f>'16-17 NGET'!J140-'15-16 NGET'!J140</f>
        <v>-4.9164210552437027E-3</v>
      </c>
      <c r="K138" s="43">
        <f>'16-17 NGET'!K140-'15-16 NGET'!K140</f>
        <v>-6.4084949231091315E-3</v>
      </c>
      <c r="L138" s="28"/>
    </row>
    <row r="139" spans="1:12">
      <c r="C139" s="10" t="s">
        <v>100</v>
      </c>
      <c r="D139" s="42">
        <f>'16-17 NGET'!D141-'15-16 NGET'!D141</f>
        <v>0</v>
      </c>
      <c r="E139" s="42">
        <f>'16-17 NGET'!E141-'15-16 NGET'!E141</f>
        <v>0</v>
      </c>
      <c r="F139" s="42">
        <f>'16-17 NGET'!F141-'15-16 NGET'!F141</f>
        <v>0</v>
      </c>
      <c r="G139" s="42">
        <f>'16-17 NGET'!G141-'15-16 NGET'!G141</f>
        <v>0</v>
      </c>
      <c r="H139" s="42">
        <f>'16-17 NGET'!H141-'15-16 NGET'!H141</f>
        <v>0</v>
      </c>
      <c r="I139" s="42">
        <f>'16-17 NGET'!I141-'15-16 NGET'!I141</f>
        <v>0</v>
      </c>
      <c r="J139" s="42">
        <f>'16-17 NGET'!J141-'15-16 NGET'!J141</f>
        <v>0</v>
      </c>
      <c r="K139" s="42">
        <f>'16-17 NGET'!K141-'15-16 NGET'!K141</f>
        <v>0</v>
      </c>
      <c r="L139" s="28"/>
    </row>
    <row r="140" spans="1:12">
      <c r="C140" s="11" t="s">
        <v>101</v>
      </c>
      <c r="D140" s="43">
        <f>'16-17 NGET'!D142-'15-16 NGET'!D142</f>
        <v>0</v>
      </c>
      <c r="E140" s="43">
        <f>'16-17 NGET'!E142-'15-16 NGET'!E142</f>
        <v>0</v>
      </c>
      <c r="F140" s="43">
        <f>'16-17 NGET'!F142-'15-16 NGET'!F142</f>
        <v>0</v>
      </c>
      <c r="G140" s="43">
        <f>'16-17 NGET'!G142-'15-16 NGET'!G142</f>
        <v>0</v>
      </c>
      <c r="H140" s="43">
        <f>'16-17 NGET'!H142-'15-16 NGET'!H142</f>
        <v>0</v>
      </c>
      <c r="I140" s="43">
        <f>'16-17 NGET'!I142-'15-16 NGET'!I142</f>
        <v>0</v>
      </c>
      <c r="J140" s="43">
        <f>'16-17 NGET'!J142-'15-16 NGET'!J142</f>
        <v>0</v>
      </c>
      <c r="K140" s="43">
        <f>'16-17 NGET'!K142-'15-16 NGET'!K142</f>
        <v>0</v>
      </c>
      <c r="L140" s="28"/>
    </row>
    <row r="141" spans="1:12">
      <c r="C141" s="10" t="s">
        <v>102</v>
      </c>
      <c r="D141" s="42">
        <f>'16-17 NGET'!D143-'15-16 NGET'!D143</f>
        <v>1.2821520008447687</v>
      </c>
      <c r="E141" s="42">
        <f>'16-17 NGET'!E143-'15-16 NGET'!E143</f>
        <v>0.14468780418879024</v>
      </c>
      <c r="F141" s="42">
        <f>'16-17 NGET'!F143-'15-16 NGET'!F143</f>
        <v>8.1675305378058116E-2</v>
      </c>
      <c r="G141" s="42">
        <f>'16-17 NGET'!G143-'15-16 NGET'!G143</f>
        <v>-0.10284408025740654</v>
      </c>
      <c r="H141" s="42">
        <f>'16-17 NGET'!H143-'15-16 NGET'!H143</f>
        <v>-6.2098331079625924E-2</v>
      </c>
      <c r="I141" s="42">
        <f>'16-17 NGET'!I143-'15-16 NGET'!I143</f>
        <v>-2.343461785054371E-2</v>
      </c>
      <c r="J141" s="42">
        <f>'16-17 NGET'!J143-'15-16 NGET'!J143</f>
        <v>1.7722859269784674E-2</v>
      </c>
      <c r="K141" s="42">
        <f>'16-17 NGET'!K143-'15-16 NGET'!K143</f>
        <v>7.0085004260008743E-2</v>
      </c>
      <c r="L141" s="28"/>
    </row>
    <row r="142" spans="1:12">
      <c r="C142" s="11" t="s">
        <v>103</v>
      </c>
      <c r="D142" s="43">
        <f>'16-17 NGET'!D144-'15-16 NGET'!D144</f>
        <v>3.5883508039638912E-2</v>
      </c>
      <c r="E142" s="43">
        <f>'16-17 NGET'!E144-'15-16 NGET'!E144</f>
        <v>0.30731671421099094</v>
      </c>
      <c r="F142" s="43">
        <f>'16-17 NGET'!F144-'15-16 NGET'!F144</f>
        <v>0.36688922376074373</v>
      </c>
      <c r="G142" s="43">
        <f>'16-17 NGET'!G144-'15-16 NGET'!G144</f>
        <v>0.51237141447760592</v>
      </c>
      <c r="H142" s="43">
        <f>'16-17 NGET'!H144-'15-16 NGET'!H144</f>
        <v>0.79098576957839839</v>
      </c>
      <c r="I142" s="43">
        <f>'16-17 NGET'!I144-'15-16 NGET'!I144</f>
        <v>1.0488098179027929</v>
      </c>
      <c r="J142" s="43">
        <f>'16-17 NGET'!J144-'15-16 NGET'!J144</f>
        <v>1.2943725510857433</v>
      </c>
      <c r="K142" s="43">
        <f>'16-17 NGET'!K144-'15-16 NGET'!K144</f>
        <v>1.5281565038139888</v>
      </c>
      <c r="L142" s="28"/>
    </row>
    <row r="143" spans="1:12">
      <c r="C143" s="11" t="s">
        <v>169</v>
      </c>
      <c r="D143" s="43">
        <f>'16-17 NGET'!D145-'15-16 NGET'!D145</f>
        <v>0</v>
      </c>
      <c r="E143" s="43">
        <f>'16-17 NGET'!E145-'15-16 NGET'!E145</f>
        <v>0</v>
      </c>
      <c r="F143" s="43">
        <f>'16-17 NGET'!F145-'15-16 NGET'!F145</f>
        <v>0</v>
      </c>
      <c r="G143" s="43">
        <f>'16-17 NGET'!G145-'15-16 NGET'!G145</f>
        <v>-2.1864046276571791E-3</v>
      </c>
      <c r="H143" s="43">
        <f>'16-17 NGET'!H145-'15-16 NGET'!H145</f>
        <v>-4.559921763349184E-3</v>
      </c>
      <c r="I143" s="43">
        <f>'16-17 NGET'!I145-'15-16 NGET'!I145</f>
        <v>-7.1325617920883211E-3</v>
      </c>
      <c r="J143" s="43">
        <f>'16-17 NGET'!J145-'15-16 NGET'!J145</f>
        <v>-9.9170203962763992E-3</v>
      </c>
      <c r="K143" s="43">
        <f>'16-17 NGET'!K145-'15-16 NGET'!K145</f>
        <v>-1.2926715215756612E-2</v>
      </c>
      <c r="L143" s="28"/>
    </row>
    <row r="144" spans="1:12" ht="13.8" thickBot="1">
      <c r="C144" s="13" t="s">
        <v>107</v>
      </c>
      <c r="D144" s="52">
        <f>'16-17 NGET'!D146-'15-16 NGET'!D146</f>
        <v>5.5778044488843932</v>
      </c>
      <c r="E144" s="52">
        <f>'16-17 NGET'!E146-'15-16 NGET'!E146</f>
        <v>1.1006760829730666</v>
      </c>
      <c r="F144" s="52">
        <f>'16-17 NGET'!F146-'15-16 NGET'!F146</f>
        <v>4.2627074242519285</v>
      </c>
      <c r="G144" s="52">
        <f>'16-17 NGET'!G146-'15-16 NGET'!G146</f>
        <v>4.7399315735195842</v>
      </c>
      <c r="H144" s="52">
        <f>'16-17 NGET'!H146-'15-16 NGET'!H146</f>
        <v>4.843603559754655</v>
      </c>
      <c r="I144" s="52">
        <f>'16-17 NGET'!I146-'15-16 NGET'!I146</f>
        <v>5.0635102801653176</v>
      </c>
      <c r="J144" s="52">
        <f>'16-17 NGET'!J146-'15-16 NGET'!J146</f>
        <v>5.3339434535514272</v>
      </c>
      <c r="K144" s="52">
        <f>'16-17 NGET'!K146-'15-16 NGET'!K146</f>
        <v>5.4640606998254952</v>
      </c>
      <c r="L144" s="28"/>
    </row>
    <row r="145" spans="4:12">
      <c r="D145" s="53"/>
      <c r="E145" s="53"/>
      <c r="F145" s="53"/>
      <c r="G145" s="53"/>
      <c r="H145" s="53"/>
      <c r="I145" s="53"/>
      <c r="J145" s="53"/>
      <c r="K145" s="53"/>
      <c r="L145" s="53"/>
    </row>
    <row r="146" spans="4:12">
      <c r="E146" t="s">
        <v>397</v>
      </c>
      <c r="F146" s="53"/>
      <c r="G146" s="53">
        <f>D144*1.04552*1.04432*1.0433+E144*1.04432*1.0433+F144*1.0433+G144</f>
        <v>16.740315376769299</v>
      </c>
    </row>
    <row r="147" spans="4:12">
      <c r="E147" t="s">
        <v>201</v>
      </c>
      <c r="F147" s="53"/>
      <c r="G147" s="53">
        <f>G146-'ET workings 16-17'!G235+'NGET differences 15-16'!G144+'NGET differences 14-15'!G144</f>
        <v>2.4868995751603507E-14</v>
      </c>
    </row>
  </sheetData>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M147"/>
  <sheetViews>
    <sheetView topLeftCell="A13" workbookViewId="0">
      <selection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381</v>
      </c>
      <c r="C2" s="1" t="s">
        <v>384</v>
      </c>
      <c r="D2" s="2" t="s">
        <v>40</v>
      </c>
      <c r="E2" s="47" t="s">
        <v>41</v>
      </c>
      <c r="G2" s="112" t="s">
        <v>362</v>
      </c>
      <c r="H2" s="113" t="str">
        <f>RPI!$B$1</f>
        <v>Updated Oct 2019</v>
      </c>
      <c r="S2" s="1" t="s">
        <v>384</v>
      </c>
      <c r="T2" s="2" t="s">
        <v>40</v>
      </c>
      <c r="U2" s="47" t="s">
        <v>41</v>
      </c>
    </row>
    <row r="3" spans="1:24" ht="15.6" thickBot="1">
      <c r="C3" s="4" t="s">
        <v>42</v>
      </c>
      <c r="D3" s="64">
        <f>'17-18 NGET'!D3-'16-17 NGET'!D3</f>
        <v>0</v>
      </c>
      <c r="E3" s="232">
        <f>'17-18 NGET'!E3-'16-17 NGET'!E3</f>
        <v>0</v>
      </c>
      <c r="S3" s="142" t="s">
        <v>385</v>
      </c>
      <c r="T3" s="148">
        <v>11.7</v>
      </c>
      <c r="U3" s="149">
        <v>9</v>
      </c>
      <c r="W3" s="53">
        <f>D3-T3</f>
        <v>-11.7</v>
      </c>
      <c r="X3" s="53">
        <f t="shared" ref="X3:X20" si="0">E3-U3</f>
        <v>-9</v>
      </c>
    </row>
    <row r="4" spans="1:24" ht="15.6" thickBot="1">
      <c r="C4" s="3" t="s">
        <v>43</v>
      </c>
      <c r="D4" s="62">
        <f>'17-18 NGET'!D4-'16-17 NGET'!D4</f>
        <v>0</v>
      </c>
      <c r="E4" s="63">
        <f>'17-18 NGET'!E4-'16-17 NGET'!E4</f>
        <v>0</v>
      </c>
      <c r="S4" s="142"/>
      <c r="T4" s="148"/>
      <c r="U4" s="149"/>
      <c r="W4" s="53"/>
      <c r="X4" s="53"/>
    </row>
    <row r="5" spans="1:24" ht="15.6" thickBot="1">
      <c r="C5" s="4" t="s">
        <v>44</v>
      </c>
      <c r="D5" s="64">
        <f>'17-18 NGET'!D5-'16-17 NGET'!D5</f>
        <v>-0.37834012681585172</v>
      </c>
      <c r="E5" s="232">
        <f>'17-18 NGET'!E5-'16-17 NGET'!E5</f>
        <v>-0.3201859147784698</v>
      </c>
      <c r="S5" s="143" t="s">
        <v>44</v>
      </c>
      <c r="T5" s="150">
        <v>3.3</v>
      </c>
      <c r="U5" s="149">
        <v>2.6</v>
      </c>
      <c r="W5" s="53">
        <f t="shared" ref="W5:W20" si="1">D5-T5</f>
        <v>-3.6783401268158515</v>
      </c>
      <c r="X5" s="53">
        <f t="shared" si="0"/>
        <v>-2.9201859147784699</v>
      </c>
    </row>
    <row r="6" spans="1:24" ht="15.6" thickBot="1">
      <c r="C6" s="3" t="s">
        <v>45</v>
      </c>
      <c r="D6" s="62">
        <f>'17-18 NGET'!D6-'16-17 NGET'!D6</f>
        <v>0</v>
      </c>
      <c r="E6" s="63">
        <f>'17-18 NGET'!E6-'16-17 NGET'!E6</f>
        <v>0</v>
      </c>
      <c r="S6" s="142" t="s">
        <v>45</v>
      </c>
      <c r="T6" s="148">
        <v>0.1</v>
      </c>
      <c r="U6" s="149">
        <v>0.1</v>
      </c>
      <c r="W6" s="53">
        <f t="shared" si="1"/>
        <v>-0.1</v>
      </c>
      <c r="X6" s="53">
        <f t="shared" si="0"/>
        <v>-0.1</v>
      </c>
    </row>
    <row r="7" spans="1:24" ht="15.6" thickBot="1">
      <c r="C7" s="4" t="s">
        <v>46</v>
      </c>
      <c r="D7" s="64">
        <f>'17-18 NGET'!D7-'16-17 NGET'!D7</f>
        <v>0</v>
      </c>
      <c r="E7" s="232">
        <f>'17-18 NGET'!E7-'16-17 NGET'!E7</f>
        <v>0</v>
      </c>
      <c r="S7" s="143" t="s">
        <v>46</v>
      </c>
      <c r="T7" s="150">
        <v>1.9</v>
      </c>
      <c r="U7" s="149">
        <v>1.4</v>
      </c>
      <c r="W7" s="53">
        <f t="shared" si="1"/>
        <v>-1.9</v>
      </c>
      <c r="X7" s="53">
        <f t="shared" si="0"/>
        <v>-1.4</v>
      </c>
    </row>
    <row r="8" spans="1:24" ht="15.6" thickBot="1">
      <c r="C8" s="3" t="s">
        <v>47</v>
      </c>
      <c r="D8" s="62">
        <f>'17-18 NGET'!D8-'16-17 NGET'!D8</f>
        <v>-0.18842052613764182</v>
      </c>
      <c r="E8" s="63">
        <f>'17-18 NGET'!E8-'16-17 NGET'!E8</f>
        <v>-0.15410608302366235</v>
      </c>
      <c r="S8" s="143"/>
      <c r="T8" s="150"/>
      <c r="U8" s="149"/>
      <c r="W8" s="53"/>
      <c r="X8" s="53"/>
    </row>
    <row r="9" spans="1:24" ht="16.2" thickBot="1">
      <c r="C9" s="5" t="s">
        <v>48</v>
      </c>
      <c r="D9" s="67">
        <f>'17-18 NGET'!D9-'16-17 NGET'!D9</f>
        <v>-0.56676065295349254</v>
      </c>
      <c r="E9" s="233">
        <f>'17-18 NGET'!E9-'16-17 NGET'!E9</f>
        <v>-0.47429199780213338</v>
      </c>
      <c r="S9" s="144" t="s">
        <v>48</v>
      </c>
      <c r="T9" s="151">
        <v>17</v>
      </c>
      <c r="U9" s="152">
        <v>13.1</v>
      </c>
      <c r="W9" s="53">
        <f t="shared" si="1"/>
        <v>-17.566760652953491</v>
      </c>
      <c r="X9" s="53">
        <f t="shared" si="0"/>
        <v>-13.574291997802133</v>
      </c>
    </row>
    <row r="10" spans="1:24" ht="15.6" thickBot="1">
      <c r="C10" s="3" t="s">
        <v>52</v>
      </c>
      <c r="D10" s="62">
        <f>'17-18 NGET'!D10-'16-17 NGET'!D10</f>
        <v>0</v>
      </c>
      <c r="E10" s="63">
        <f>'17-18 NGET'!E10-'16-17 NGET'!E10</f>
        <v>0</v>
      </c>
      <c r="S10" s="143" t="s">
        <v>52</v>
      </c>
      <c r="T10" s="150">
        <v>1</v>
      </c>
      <c r="U10" s="149">
        <v>0.9</v>
      </c>
      <c r="W10" s="53">
        <f t="shared" si="1"/>
        <v>-1</v>
      </c>
      <c r="X10" s="53">
        <f t="shared" si="0"/>
        <v>-0.9</v>
      </c>
    </row>
    <row r="11" spans="1:24" ht="15.6" thickBot="1">
      <c r="C11" s="4"/>
      <c r="D11" s="64"/>
      <c r="E11" s="232"/>
      <c r="S11" s="145"/>
      <c r="T11" s="153"/>
      <c r="U11" s="154"/>
      <c r="W11" s="53">
        <f t="shared" si="1"/>
        <v>0</v>
      </c>
      <c r="X11" s="53">
        <f t="shared" si="0"/>
        <v>0</v>
      </c>
    </row>
    <row r="12" spans="1:24" ht="15.6" thickBot="1">
      <c r="C12" s="3" t="s">
        <v>49</v>
      </c>
      <c r="D12" s="62">
        <f>'17-18 NGET'!D12-'16-17 NGET'!D12</f>
        <v>0</v>
      </c>
      <c r="E12" s="63">
        <f>'17-18 NGET'!E12-'16-17 NGET'!E12</f>
        <v>0</v>
      </c>
      <c r="S12" s="143" t="s">
        <v>138</v>
      </c>
      <c r="T12" s="150">
        <v>0.3</v>
      </c>
      <c r="U12" s="149">
        <v>0.2</v>
      </c>
      <c r="W12" s="53">
        <f t="shared" si="1"/>
        <v>-0.3</v>
      </c>
      <c r="X12" s="53">
        <f t="shared" si="0"/>
        <v>-0.2</v>
      </c>
    </row>
    <row r="13" spans="1:24" ht="15.6" thickBot="1">
      <c r="C13" s="4" t="s">
        <v>46</v>
      </c>
      <c r="D13" s="64">
        <f>'17-18 NGET'!D13-'16-17 NGET'!D13</f>
        <v>0</v>
      </c>
      <c r="E13" s="232">
        <f>'17-18 NGET'!E13-'16-17 NGET'!E13</f>
        <v>0</v>
      </c>
      <c r="S13" s="142" t="s">
        <v>46</v>
      </c>
      <c r="T13" s="148">
        <v>0.7</v>
      </c>
      <c r="U13" s="149">
        <v>0.6</v>
      </c>
      <c r="W13" s="53">
        <f t="shared" si="1"/>
        <v>-0.7</v>
      </c>
      <c r="X13" s="53">
        <f t="shared" si="0"/>
        <v>-0.6</v>
      </c>
    </row>
    <row r="14" spans="1:24" ht="15.6" thickBot="1">
      <c r="C14" s="3" t="s">
        <v>47</v>
      </c>
      <c r="D14" s="62">
        <f>'17-18 NGET'!D14-'16-17 NGET'!D14</f>
        <v>-4.6548752251381748E-4</v>
      </c>
      <c r="E14" s="63">
        <f>'17-18 NGET'!E14-'16-17 NGET'!E14</f>
        <v>-3.8750846040328229E-4</v>
      </c>
      <c r="S14" s="142"/>
      <c r="T14" s="148"/>
      <c r="U14" s="149"/>
      <c r="W14" s="53"/>
      <c r="X14" s="53"/>
    </row>
    <row r="15" spans="1:24" ht="16.2" thickBot="1">
      <c r="C15" s="5" t="s">
        <v>50</v>
      </c>
      <c r="D15" s="67">
        <f>'17-18 NGET'!D15-'16-17 NGET'!D15</f>
        <v>-4.6548752251385217E-4</v>
      </c>
      <c r="E15" s="233">
        <f>'17-18 NGET'!E15-'16-17 NGET'!E15</f>
        <v>-3.8750846040336295E-4</v>
      </c>
      <c r="S15" s="146" t="s">
        <v>50</v>
      </c>
      <c r="T15" s="155">
        <v>1</v>
      </c>
      <c r="U15" s="152">
        <v>0.8</v>
      </c>
      <c r="W15" s="53">
        <f t="shared" si="1"/>
        <v>-1.0004654875225139</v>
      </c>
      <c r="X15" s="53">
        <f t="shared" si="0"/>
        <v>-0.80038750846040341</v>
      </c>
    </row>
    <row r="16" spans="1:24" ht="15.6" thickBot="1">
      <c r="C16" s="3"/>
      <c r="D16" s="62"/>
      <c r="E16" s="63"/>
      <c r="S16" s="147"/>
      <c r="T16" s="153"/>
      <c r="U16" s="154"/>
      <c r="W16" s="53">
        <f t="shared" si="1"/>
        <v>0</v>
      </c>
      <c r="X16" s="53">
        <f t="shared" si="0"/>
        <v>0</v>
      </c>
    </row>
    <row r="17" spans="1:24" ht="16.2" thickBot="1">
      <c r="C17" s="5" t="s">
        <v>153</v>
      </c>
      <c r="D17" s="67">
        <f>'17-18 NGET'!D17-'16-17 NGET'!D17</f>
        <v>-0.56722614047600572</v>
      </c>
      <c r="E17" s="233">
        <f>'17-18 NGET'!E17-'16-17 NGET'!E17</f>
        <v>-0.47467950626253774</v>
      </c>
      <c r="S17" s="146" t="s">
        <v>153</v>
      </c>
      <c r="T17" s="155">
        <v>18</v>
      </c>
      <c r="U17" s="152">
        <v>13.9</v>
      </c>
      <c r="W17" s="53">
        <f t="shared" si="1"/>
        <v>-18.567226140476006</v>
      </c>
      <c r="X17" s="53">
        <f t="shared" si="0"/>
        <v>-14.374679506262538</v>
      </c>
    </row>
    <row r="18" spans="1:24" ht="15.6" thickBot="1">
      <c r="C18" s="3"/>
      <c r="D18" s="62"/>
      <c r="E18" s="63"/>
      <c r="S18" s="147"/>
      <c r="T18" s="153"/>
      <c r="U18" s="154"/>
      <c r="W18" s="53">
        <f t="shared" si="1"/>
        <v>0</v>
      </c>
      <c r="X18" s="53">
        <f t="shared" si="0"/>
        <v>0</v>
      </c>
    </row>
    <row r="19" spans="1:24" ht="16.2" thickBot="1">
      <c r="C19" s="5" t="s">
        <v>53</v>
      </c>
      <c r="D19" s="67">
        <f>'17-18 NGET'!D19-'16-17 NGET'!D19</f>
        <v>0</v>
      </c>
      <c r="E19" s="233">
        <f>'17-18 NGET'!E19-'16-17 NGET'!E19</f>
        <v>0</v>
      </c>
      <c r="S19" s="146" t="s">
        <v>53</v>
      </c>
      <c r="T19" s="155">
        <v>10.3</v>
      </c>
      <c r="U19" s="152">
        <v>8.9</v>
      </c>
      <c r="W19" s="53">
        <f t="shared" si="1"/>
        <v>-10.3</v>
      </c>
      <c r="X19" s="53">
        <f t="shared" si="0"/>
        <v>-8.9</v>
      </c>
    </row>
    <row r="20" spans="1:24" ht="16.2" thickBot="1">
      <c r="C20" s="6" t="s">
        <v>54</v>
      </c>
      <c r="D20" s="65">
        <f>'17-18 NGET'!D20-'16-17 NGET'!D20</f>
        <v>-0.45496582159634968</v>
      </c>
      <c r="E20" s="66">
        <f>'17-18 NGET'!E20-'16-17 NGET'!E20</f>
        <v>-0.3245172190846457</v>
      </c>
      <c r="S20" s="144" t="s">
        <v>54</v>
      </c>
      <c r="T20" s="151">
        <v>21.4</v>
      </c>
      <c r="U20" s="156">
        <v>14.4</v>
      </c>
      <c r="W20" s="53">
        <f t="shared" si="1"/>
        <v>-21.854965821596348</v>
      </c>
      <c r="X20" s="53">
        <f t="shared" si="0"/>
        <v>-14.724517219084646</v>
      </c>
    </row>
    <row r="23" spans="1:24" ht="13.8" thickBot="1">
      <c r="A23" s="38" t="s">
        <v>360</v>
      </c>
    </row>
    <row r="24" spans="1:24" ht="13.8" thickBot="1">
      <c r="C24" s="14" t="s">
        <v>58</v>
      </c>
      <c r="D24" s="15" t="s">
        <v>59</v>
      </c>
      <c r="E24" s="15" t="s">
        <v>60</v>
      </c>
      <c r="F24" s="15" t="s">
        <v>61</v>
      </c>
      <c r="G24" s="15" t="s">
        <v>62</v>
      </c>
      <c r="H24" s="15" t="s">
        <v>63</v>
      </c>
      <c r="I24" s="15" t="s">
        <v>64</v>
      </c>
      <c r="J24" s="15" t="s">
        <v>65</v>
      </c>
      <c r="K24" s="15" t="s">
        <v>66</v>
      </c>
      <c r="L24" s="15" t="s">
        <v>118</v>
      </c>
    </row>
    <row r="25" spans="1:24">
      <c r="C25" s="16"/>
      <c r="D25" s="26"/>
      <c r="E25" s="26"/>
      <c r="F25" s="26"/>
      <c r="G25" s="26"/>
      <c r="H25" s="26"/>
      <c r="I25" s="26"/>
      <c r="J25" s="26"/>
      <c r="K25" s="26"/>
      <c r="L25" s="26"/>
    </row>
    <row r="26" spans="1:24">
      <c r="A26" t="s">
        <v>338</v>
      </c>
      <c r="C26" s="17" t="s">
        <v>119</v>
      </c>
      <c r="D26" s="27">
        <f>'17-18 NGET'!D26-'16-17 NGET'!D26</f>
        <v>-132.59427699890216</v>
      </c>
      <c r="E26" s="27">
        <f>'17-18 NGET'!E26-'16-17 NGET'!E26</f>
        <v>-113.03811649229033</v>
      </c>
      <c r="F26" s="27">
        <f>'17-18 NGET'!F26-'16-17 NGET'!F26</f>
        <v>-77.381938787277477</v>
      </c>
      <c r="G26" s="27">
        <f>'17-18 NGET'!G26-'16-17 NGET'!G26</f>
        <v>0</v>
      </c>
      <c r="H26" s="27">
        <f>'17-18 NGET'!H26-'16-17 NGET'!H26</f>
        <v>0</v>
      </c>
      <c r="I26" s="27">
        <f>'17-18 NGET'!I26-'16-17 NGET'!I26</f>
        <v>0</v>
      </c>
      <c r="J26" s="27">
        <f>'17-18 NGET'!J26-'16-17 NGET'!J26</f>
        <v>0</v>
      </c>
      <c r="K26" s="27">
        <f>'17-18 NGET'!K26-'16-17 NGET'!K26</f>
        <v>2.8284175000000005</v>
      </c>
      <c r="L26" s="28">
        <f>'17-18 NGET'!L26-'16-17 NGET'!L26</f>
        <v>-320.18591477846894</v>
      </c>
    </row>
    <row r="27" spans="1:24">
      <c r="C27" s="18" t="s">
        <v>386</v>
      </c>
      <c r="D27" s="29">
        <f>'17-18 NGET'!D27-'16-17 NGET'!D27</f>
        <v>0</v>
      </c>
      <c r="E27" s="29">
        <f>'17-18 NGET'!E27-'16-17 NGET'!E27</f>
        <v>0</v>
      </c>
      <c r="F27" s="29">
        <f>'17-18 NGET'!F27-'16-17 NGET'!F27</f>
        <v>0</v>
      </c>
      <c r="G27" s="29">
        <f>'17-18 NGET'!G27-'16-17 NGET'!G27</f>
        <v>0</v>
      </c>
      <c r="H27" s="29">
        <f>'17-18 NGET'!H27-'16-17 NGET'!H27</f>
        <v>0</v>
      </c>
      <c r="I27" s="29">
        <f>'17-18 NGET'!I27-'16-17 NGET'!I27</f>
        <v>0</v>
      </c>
      <c r="J27" s="29">
        <f>'17-18 NGET'!J27-'16-17 NGET'!J27</f>
        <v>0</v>
      </c>
      <c r="K27" s="29">
        <f>'17-18 NGET'!K27-'16-17 NGET'!K27</f>
        <v>0</v>
      </c>
      <c r="L27" s="30">
        <f>'17-18 NGET'!L27-'16-17 NGET'!L27</f>
        <v>0</v>
      </c>
    </row>
    <row r="28" spans="1:24">
      <c r="C28" s="19" t="s">
        <v>71</v>
      </c>
      <c r="D28" s="31">
        <f>'17-18 NGET'!D28-'16-17 NGET'!D28</f>
        <v>-132.59427699890193</v>
      </c>
      <c r="E28" s="31">
        <f>'17-18 NGET'!E28-'16-17 NGET'!E28</f>
        <v>-113.03811649229033</v>
      </c>
      <c r="F28" s="31">
        <f>'17-18 NGET'!F28-'16-17 NGET'!F28</f>
        <v>-77.38193878727725</v>
      </c>
      <c r="G28" s="31">
        <f>'17-18 NGET'!G28-'16-17 NGET'!G28</f>
        <v>0</v>
      </c>
      <c r="H28" s="31">
        <f>'17-18 NGET'!H28-'16-17 NGET'!H28</f>
        <v>0</v>
      </c>
      <c r="I28" s="31">
        <f>'17-18 NGET'!I28-'16-17 NGET'!I28</f>
        <v>0</v>
      </c>
      <c r="J28" s="31">
        <f>'17-18 NGET'!J28-'16-17 NGET'!J28</f>
        <v>0</v>
      </c>
      <c r="K28" s="31">
        <f>'17-18 NGET'!K28-'16-17 NGET'!K28</f>
        <v>2.8284175000000005</v>
      </c>
      <c r="L28" s="28">
        <f>'17-18 NGET'!L28-'16-17 NGET'!L28</f>
        <v>-320.18591477846894</v>
      </c>
    </row>
    <row r="29" spans="1:24">
      <c r="A29" t="s">
        <v>346</v>
      </c>
      <c r="C29" s="17" t="s">
        <v>121</v>
      </c>
      <c r="D29" s="27">
        <f>'17-18 NGET'!D29-'16-17 NGET'!D29</f>
        <v>-3.0217959711762887E-2</v>
      </c>
      <c r="E29" s="27">
        <f>'17-18 NGET'!E29-'16-17 NGET'!E29</f>
        <v>6.8556248372260598E-2</v>
      </c>
      <c r="F29" s="27">
        <f>'17-18 NGET'!F29-'16-17 NGET'!F29</f>
        <v>-624.74059903694933</v>
      </c>
      <c r="G29" s="27">
        <f>'17-18 NGET'!G29-'16-17 NGET'!G29</f>
        <v>0</v>
      </c>
      <c r="H29" s="27">
        <f>'17-18 NGET'!H29-'16-17 NGET'!H29</f>
        <v>0</v>
      </c>
      <c r="I29" s="27">
        <f>'17-18 NGET'!I29-'16-17 NGET'!I29</f>
        <v>0</v>
      </c>
      <c r="J29" s="27">
        <f>'17-18 NGET'!J29-'16-17 NGET'!J29</f>
        <v>0</v>
      </c>
      <c r="K29" s="27">
        <f>'17-18 NGET'!K29-'16-17 NGET'!K29</f>
        <v>2.8284175000000005</v>
      </c>
      <c r="L29" s="27">
        <f>'17-18 NGET'!L29-'16-17 NGET'!L29</f>
        <v>-621.87384324828872</v>
      </c>
    </row>
    <row r="30" spans="1:24">
      <c r="C30" s="18" t="s">
        <v>387</v>
      </c>
      <c r="D30" s="29">
        <f>'17-18 NGET'!D30-'16-17 NGET'!D30</f>
        <v>-2.1446641960665147E-4</v>
      </c>
      <c r="E30" s="29">
        <f>'17-18 NGET'!E30-'16-17 NGET'!E30</f>
        <v>-2.0139364920623848E-5</v>
      </c>
      <c r="F30" s="29">
        <f>'17-18 NGET'!F30-'16-17 NGET'!F30</f>
        <v>11.524195793241972</v>
      </c>
      <c r="G30" s="29">
        <f>'17-18 NGET'!G30-'16-17 NGET'!G30</f>
        <v>0</v>
      </c>
      <c r="H30" s="29">
        <f>'17-18 NGET'!H30-'16-17 NGET'!H30</f>
        <v>0</v>
      </c>
      <c r="I30" s="29">
        <f>'17-18 NGET'!I30-'16-17 NGET'!I30</f>
        <v>0</v>
      </c>
      <c r="J30" s="29">
        <f>'17-18 NGET'!J30-'16-17 NGET'!J30</f>
        <v>0</v>
      </c>
      <c r="K30" s="29">
        <f>'17-18 NGET'!K30-'16-17 NGET'!K30</f>
        <v>0</v>
      </c>
      <c r="L30" s="29">
        <f>'17-18 NGET'!L30-'16-17 NGET'!L30</f>
        <v>11.523961187457189</v>
      </c>
    </row>
    <row r="31" spans="1:24">
      <c r="C31" s="19" t="s">
        <v>77</v>
      </c>
      <c r="D31" s="31">
        <f>'17-18 NGET'!D31-'16-17 NGET'!D31</f>
        <v>-3.0432426131483226E-2</v>
      </c>
      <c r="E31" s="31">
        <f>'17-18 NGET'!E31-'16-17 NGET'!E31</f>
        <v>6.8536109007368395E-2</v>
      </c>
      <c r="F31" s="31">
        <f>'17-18 NGET'!F31-'16-17 NGET'!F31</f>
        <v>-613.21640324370719</v>
      </c>
      <c r="G31" s="31">
        <f>'17-18 NGET'!G31-'16-17 NGET'!G31</f>
        <v>0</v>
      </c>
      <c r="H31" s="31">
        <f>'17-18 NGET'!H31-'16-17 NGET'!H31</f>
        <v>0</v>
      </c>
      <c r="I31" s="31">
        <f>'17-18 NGET'!I31-'16-17 NGET'!I31</f>
        <v>0</v>
      </c>
      <c r="J31" s="31">
        <f>'17-18 NGET'!J31-'16-17 NGET'!J31</f>
        <v>0</v>
      </c>
      <c r="K31" s="31">
        <f>'17-18 NGET'!K31-'16-17 NGET'!K31</f>
        <v>2.8284175000000005</v>
      </c>
      <c r="L31" s="31">
        <f>'17-18 NGET'!L31-'16-17 NGET'!L31</f>
        <v>-610.34988206083108</v>
      </c>
    </row>
    <row r="32" spans="1:24">
      <c r="A32" t="s">
        <v>233</v>
      </c>
      <c r="C32" s="17" t="s">
        <v>388</v>
      </c>
      <c r="D32" s="27">
        <f>'17-18 NGET'!D32-'16-17 NGET'!D32</f>
        <v>-62.18950524318825</v>
      </c>
      <c r="E32" s="27">
        <f>'17-18 NGET'!E32-'16-17 NGET'!E32</f>
        <v>-52.967162599724361</v>
      </c>
      <c r="F32" s="27">
        <f>'17-18 NGET'!F32-'16-17 NGET'!F32</f>
        <v>-368.08412324587823</v>
      </c>
      <c r="G32" s="27">
        <f>'17-18 NGET'!G32-'16-17 NGET'!G32</f>
        <v>0</v>
      </c>
      <c r="H32" s="27">
        <f>'17-18 NGET'!H32-'16-17 NGET'!H32</f>
        <v>0</v>
      </c>
      <c r="I32" s="27">
        <f>'17-18 NGET'!I32-'16-17 NGET'!I32</f>
        <v>0</v>
      </c>
      <c r="J32" s="27">
        <f>'17-18 NGET'!J32-'16-17 NGET'!J32</f>
        <v>0</v>
      </c>
      <c r="K32" s="27">
        <f>'17-18 NGET'!K32-'16-17 NGET'!K32</f>
        <v>2.8284175000000005</v>
      </c>
      <c r="L32" s="27">
        <f>'17-18 NGET'!L32-'16-17 NGET'!L32</f>
        <v>-480.41237358879152</v>
      </c>
    </row>
    <row r="33" spans="3:14">
      <c r="C33" s="18" t="s">
        <v>389</v>
      </c>
      <c r="D33" s="29">
        <f>'17-18 NGET'!D33-'16-17 NGET'!D33</f>
        <v>-1.1390311544801079E-4</v>
      </c>
      <c r="E33" s="29">
        <f>'17-18 NGET'!E33-'16-17 NGET'!E33</f>
        <v>-1.0696016715883161E-5</v>
      </c>
      <c r="F33" s="29">
        <f>'17-18 NGET'!F33-'16-17 NGET'!F33</f>
        <v>6.1205003857908196</v>
      </c>
      <c r="G33" s="29">
        <f>'17-18 NGET'!G33-'16-17 NGET'!G33</f>
        <v>0</v>
      </c>
      <c r="H33" s="29">
        <f>'17-18 NGET'!H33-'16-17 NGET'!H33</f>
        <v>0</v>
      </c>
      <c r="I33" s="29">
        <f>'17-18 NGET'!I33-'16-17 NGET'!I33</f>
        <v>0</v>
      </c>
      <c r="J33" s="29">
        <f>'17-18 NGET'!J33-'16-17 NGET'!J33</f>
        <v>0</v>
      </c>
      <c r="K33" s="29">
        <f>'17-18 NGET'!K33-'16-17 NGET'!K33</f>
        <v>0</v>
      </c>
      <c r="L33" s="29">
        <f>'17-18 NGET'!L33-'16-17 NGET'!L33</f>
        <v>6.1203757866587694</v>
      </c>
    </row>
    <row r="34" spans="3:14">
      <c r="C34" s="19" t="s">
        <v>78</v>
      </c>
      <c r="D34" s="31">
        <f>'17-18 NGET'!D34-'16-17 NGET'!D34</f>
        <v>-62.189619146303585</v>
      </c>
      <c r="E34" s="31">
        <f>'17-18 NGET'!E34-'16-17 NGET'!E34</f>
        <v>-52.967173295741077</v>
      </c>
      <c r="F34" s="31">
        <f>'17-18 NGET'!F34-'16-17 NGET'!F34</f>
        <v>-361.9636228600873</v>
      </c>
      <c r="G34" s="31">
        <f>'17-18 NGET'!G34-'16-17 NGET'!G34</f>
        <v>0</v>
      </c>
      <c r="H34" s="31">
        <f>'17-18 NGET'!H34-'16-17 NGET'!H34</f>
        <v>0</v>
      </c>
      <c r="I34" s="31">
        <f>'17-18 NGET'!I34-'16-17 NGET'!I34</f>
        <v>0</v>
      </c>
      <c r="J34" s="31">
        <f>'17-18 NGET'!J34-'16-17 NGET'!J34</f>
        <v>0</v>
      </c>
      <c r="K34" s="31">
        <f>'17-18 NGET'!K34-'16-17 NGET'!K34</f>
        <v>2.8284175000000005</v>
      </c>
      <c r="L34" s="31">
        <f>'17-18 NGET'!L34-'16-17 NGET'!L34</f>
        <v>-474.29199780213276</v>
      </c>
    </row>
    <row r="35" spans="3:14">
      <c r="C35" s="20"/>
      <c r="D35" s="32"/>
      <c r="E35" s="32"/>
      <c r="F35" s="32"/>
      <c r="G35" s="32"/>
      <c r="H35" s="32"/>
      <c r="I35" s="32"/>
      <c r="J35" s="32"/>
      <c r="K35" s="32"/>
      <c r="L35" s="33"/>
    </row>
    <row r="36" spans="3:14">
      <c r="C36" s="17" t="s">
        <v>79</v>
      </c>
      <c r="D36" s="27">
        <f>'17-18 NGET'!D36-'16-17 NGET'!D36</f>
        <v>-9.3284428719455548</v>
      </c>
      <c r="E36" s="27">
        <f>'17-18 NGET'!E36-'16-17 NGET'!E36</f>
        <v>-7.9450759943611615</v>
      </c>
      <c r="F36" s="27">
        <f>'17-18 NGET'!F36-'16-17 NGET'!F36</f>
        <v>-54.294543429012947</v>
      </c>
      <c r="G36" s="27">
        <f>'17-18 NGET'!G36-'16-17 NGET'!G36</f>
        <v>0</v>
      </c>
      <c r="H36" s="27">
        <f>'17-18 NGET'!H36-'16-17 NGET'!H36</f>
        <v>0</v>
      </c>
      <c r="I36" s="27">
        <f>'17-18 NGET'!I36-'16-17 NGET'!I36</f>
        <v>0</v>
      </c>
      <c r="J36" s="27">
        <f>'17-18 NGET'!J36-'16-17 NGET'!J36</f>
        <v>0</v>
      </c>
      <c r="K36" s="27">
        <f>'17-18 NGET'!K36-'16-17 NGET'!K36</f>
        <v>0.42426262500001144</v>
      </c>
      <c r="L36" s="28">
        <f>'17-18 NGET'!L36-'16-17 NGET'!L36</f>
        <v>-71.143799670319595</v>
      </c>
    </row>
    <row r="37" spans="3:14">
      <c r="C37" s="18" t="s">
        <v>80</v>
      </c>
      <c r="D37" s="29">
        <f>'17-18 NGET'!D37-'16-17 NGET'!D37</f>
        <v>-52.861176274358058</v>
      </c>
      <c r="E37" s="29">
        <f>'17-18 NGET'!E37-'16-17 NGET'!E37</f>
        <v>-45.022097301379745</v>
      </c>
      <c r="F37" s="29">
        <f>'17-18 NGET'!F37-'16-17 NGET'!F37</f>
        <v>-307.66907943107458</v>
      </c>
      <c r="G37" s="29">
        <f>'17-18 NGET'!G37-'16-17 NGET'!G37</f>
        <v>0</v>
      </c>
      <c r="H37" s="29">
        <f>'17-18 NGET'!H37-'16-17 NGET'!H37</f>
        <v>0</v>
      </c>
      <c r="I37" s="29">
        <f>'17-18 NGET'!I37-'16-17 NGET'!I37</f>
        <v>0</v>
      </c>
      <c r="J37" s="29">
        <f>'17-18 NGET'!J37-'16-17 NGET'!J37</f>
        <v>0</v>
      </c>
      <c r="K37" s="29">
        <f>'17-18 NGET'!K37-'16-17 NGET'!K37</f>
        <v>2.4041548750000175</v>
      </c>
      <c r="L37" s="30">
        <f>'17-18 NGET'!L37-'16-17 NGET'!L37</f>
        <v>-403.14819813181202</v>
      </c>
    </row>
    <row r="38" spans="3:14" ht="13.8" thickBot="1">
      <c r="C38" s="21" t="s">
        <v>390</v>
      </c>
      <c r="D38" s="34">
        <f>'17-18 NGET'!D38-'16-17 NGET'!D38</f>
        <v>-62.189619146303585</v>
      </c>
      <c r="E38" s="34">
        <f>'17-18 NGET'!E38-'16-17 NGET'!E38</f>
        <v>-52.967173295740849</v>
      </c>
      <c r="F38" s="34">
        <f>'17-18 NGET'!F38-'16-17 NGET'!F38</f>
        <v>-361.96362286008753</v>
      </c>
      <c r="G38" s="34">
        <f>'17-18 NGET'!G38-'16-17 NGET'!G38</f>
        <v>0</v>
      </c>
      <c r="H38" s="34">
        <f>'17-18 NGET'!H38-'16-17 NGET'!H38</f>
        <v>0</v>
      </c>
      <c r="I38" s="34">
        <f>'17-18 NGET'!I38-'16-17 NGET'!I38</f>
        <v>0</v>
      </c>
      <c r="J38" s="34">
        <f>'17-18 NGET'!J38-'16-17 NGET'!J38</f>
        <v>0</v>
      </c>
      <c r="K38" s="34">
        <f>'17-18 NGET'!K38-'16-17 NGET'!K38</f>
        <v>2.8284175000000005</v>
      </c>
      <c r="L38" s="35">
        <f>'17-18 NGET'!L38-'16-17 NGET'!L38</f>
        <v>-474.29199780213094</v>
      </c>
    </row>
    <row r="39" spans="3:14">
      <c r="D39" s="109"/>
      <c r="E39" s="109"/>
      <c r="F39" s="109"/>
      <c r="G39" s="109"/>
      <c r="H39" s="109"/>
      <c r="I39" s="109"/>
      <c r="J39" s="109"/>
      <c r="K39" s="109"/>
      <c r="L39" s="109"/>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'17-18 NGET'!D42-'16-17 NGET'!D42</f>
        <v>0</v>
      </c>
      <c r="E42" s="36">
        <f>'17-18 NGET'!E42-'16-17 NGET'!E42</f>
        <v>-52.861176274358513</v>
      </c>
      <c r="F42" s="36">
        <f>'17-18 NGET'!F42-'16-17 NGET'!F42</f>
        <v>-95.597384871984104</v>
      </c>
      <c r="G42" s="36">
        <f>'17-18 NGET'!G42-'16-17 NGET'!G42</f>
        <v>-399.2654480830588</v>
      </c>
      <c r="H42" s="36">
        <f>'17-18 NGET'!H42-'16-17 NGET'!H42</f>
        <v>-384.79059086115194</v>
      </c>
      <c r="I42" s="36">
        <f>'17-18 NGET'!I42-'16-17 NGET'!I42</f>
        <v>-370.31573363924326</v>
      </c>
      <c r="J42" s="36">
        <f>'17-18 NGET'!J42-'16-17 NGET'!J42</f>
        <v>-355.8408764173364</v>
      </c>
      <c r="K42" s="36">
        <f>'17-18 NGET'!K42-'16-17 NGET'!K42</f>
        <v>-341.36601919542954</v>
      </c>
    </row>
    <row r="43" spans="3:14">
      <c r="C43" s="17" t="s">
        <v>86</v>
      </c>
      <c r="D43" s="27">
        <f>'17-18 NGET'!D43-'16-17 NGET'!D43</f>
        <v>-52.861176274358058</v>
      </c>
      <c r="E43" s="27">
        <f>'17-18 NGET'!E43-'16-17 NGET'!E43</f>
        <v>-45.022097301379745</v>
      </c>
      <c r="F43" s="27">
        <f>'17-18 NGET'!F43-'16-17 NGET'!F43</f>
        <v>-307.66907943107458</v>
      </c>
      <c r="G43" s="27">
        <f>'17-18 NGET'!G43-'16-17 NGET'!G43</f>
        <v>0</v>
      </c>
      <c r="H43" s="27">
        <f>'17-18 NGET'!H43-'16-17 NGET'!H43</f>
        <v>0</v>
      </c>
      <c r="I43" s="27">
        <f>'17-18 NGET'!I43-'16-17 NGET'!I43</f>
        <v>0</v>
      </c>
      <c r="J43" s="27">
        <f>'17-18 NGET'!J43-'16-17 NGET'!J43</f>
        <v>0</v>
      </c>
      <c r="K43" s="27">
        <f>'17-18 NGET'!K43-'16-17 NGET'!K43</f>
        <v>2.4041548750000175</v>
      </c>
    </row>
    <row r="44" spans="3:14">
      <c r="C44" s="18" t="s">
        <v>92</v>
      </c>
      <c r="D44" s="29">
        <f>'17-18 NGET'!D44-'16-17 NGET'!D44</f>
        <v>0</v>
      </c>
      <c r="E44" s="29">
        <f>'17-18 NGET'!E44-'16-17 NGET'!E44</f>
        <v>0</v>
      </c>
      <c r="F44" s="29">
        <f>'17-18 NGET'!F44-'16-17 NGET'!F44</f>
        <v>0</v>
      </c>
      <c r="G44" s="29">
        <f>'17-18 NGET'!G44-'16-17 NGET'!G44</f>
        <v>0</v>
      </c>
      <c r="H44" s="29">
        <f>'17-18 NGET'!H44-'16-17 NGET'!H44</f>
        <v>0</v>
      </c>
      <c r="I44" s="29">
        <f>'17-18 NGET'!I44-'16-17 NGET'!I44</f>
        <v>0</v>
      </c>
      <c r="J44" s="29">
        <f>'17-18 NGET'!J44-'16-17 NGET'!J44</f>
        <v>0</v>
      </c>
      <c r="K44" s="29">
        <f>'17-18 NGET'!K44-'16-17 NGET'!K44</f>
        <v>0</v>
      </c>
    </row>
    <row r="45" spans="3:14">
      <c r="C45" s="17" t="s">
        <v>93</v>
      </c>
      <c r="D45" s="27">
        <f>'17-18 NGET'!D45-'16-17 NGET'!D45</f>
        <v>0</v>
      </c>
      <c r="E45" s="27">
        <f>'17-18 NGET'!E45-'16-17 NGET'!E45</f>
        <v>2.2858887037560223</v>
      </c>
      <c r="F45" s="27">
        <f>'17-18 NGET'!F45-'16-17 NGET'!F45</f>
        <v>4.0010162199990589</v>
      </c>
      <c r="G45" s="27">
        <f>'17-18 NGET'!G45-'16-17 NGET'!G45</f>
        <v>14.474857221907968</v>
      </c>
      <c r="H45" s="27">
        <f>'17-18 NGET'!H45-'16-17 NGET'!H45</f>
        <v>14.474857221907968</v>
      </c>
      <c r="I45" s="27">
        <f>'17-18 NGET'!I45-'16-17 NGET'!I45</f>
        <v>14.474857221907968</v>
      </c>
      <c r="J45" s="27">
        <f>'17-18 NGET'!J45-'16-17 NGET'!J45</f>
        <v>14.474857221907968</v>
      </c>
      <c r="K45" s="27">
        <f>'17-18 NGET'!K45-'16-17 NGET'!K45</f>
        <v>14.474857221907968</v>
      </c>
      <c r="N45" s="208"/>
    </row>
    <row r="46" spans="3:14" ht="13.8" thickBot="1">
      <c r="C46" s="25" t="s">
        <v>94</v>
      </c>
      <c r="D46" s="37">
        <f>'17-18 NGET'!D46-'16-17 NGET'!D46</f>
        <v>-52.861176274358513</v>
      </c>
      <c r="E46" s="37">
        <f>'17-18 NGET'!E46-'16-17 NGET'!E46</f>
        <v>-95.597384871984104</v>
      </c>
      <c r="F46" s="37">
        <f>'17-18 NGET'!F46-'16-17 NGET'!F46</f>
        <v>-399.2654480830588</v>
      </c>
      <c r="G46" s="37">
        <f>'17-18 NGET'!G46-'16-17 NGET'!G46</f>
        <v>-384.79059086115194</v>
      </c>
      <c r="H46" s="37">
        <f>'17-18 NGET'!H46-'16-17 NGET'!H46</f>
        <v>-370.31573363924326</v>
      </c>
      <c r="I46" s="37">
        <f>'17-18 NGET'!I46-'16-17 NGET'!I46</f>
        <v>-355.8408764173364</v>
      </c>
      <c r="J46" s="37">
        <f>'17-18 NGET'!J46-'16-17 NGET'!J46</f>
        <v>-341.36601919542954</v>
      </c>
      <c r="K46" s="37">
        <f>'17-18 NGET'!K46-'16-17 NGET'!K46</f>
        <v>-324.48700709852164</v>
      </c>
      <c r="N46" s="209"/>
    </row>
    <row r="47" spans="3:14">
      <c r="D47" s="53"/>
      <c r="E47" s="53"/>
      <c r="F47" s="53"/>
      <c r="G47" s="53"/>
      <c r="H47" s="53"/>
      <c r="I47" s="53"/>
      <c r="J47" s="53"/>
      <c r="K47" s="53"/>
    </row>
    <row r="49" spans="1:39" ht="13.8" thickBot="1">
      <c r="A49" s="38" t="s">
        <v>363</v>
      </c>
    </row>
    <row r="50" spans="1:39" ht="13.8" thickBot="1">
      <c r="C50" s="7" t="s">
        <v>58</v>
      </c>
      <c r="D50" s="8" t="s">
        <v>59</v>
      </c>
      <c r="E50" s="8" t="s">
        <v>60</v>
      </c>
      <c r="F50" s="8" t="s">
        <v>61</v>
      </c>
      <c r="G50" s="8" t="s">
        <v>62</v>
      </c>
      <c r="H50" s="8" t="s">
        <v>63</v>
      </c>
      <c r="I50" s="8" t="s">
        <v>64</v>
      </c>
      <c r="J50" s="8" t="s">
        <v>65</v>
      </c>
      <c r="K50" s="8" t="s">
        <v>66</v>
      </c>
      <c r="P50" s="204"/>
    </row>
    <row r="51" spans="1:39">
      <c r="C51" s="22" t="s">
        <v>91</v>
      </c>
      <c r="D51" s="41">
        <f>'17-18 NGET'!D51-'16-17 NGET'!D51</f>
        <v>0</v>
      </c>
      <c r="E51" s="41">
        <f>'17-18 NGET'!E51-'16-17 NGET'!E51</f>
        <v>-52.861176274358513</v>
      </c>
      <c r="F51" s="41">
        <f>'17-18 NGET'!F51-'16-17 NGET'!F51</f>
        <v>-95.597384871982285</v>
      </c>
      <c r="G51" s="41">
        <f>'17-18 NGET'!G51-'16-17 NGET'!G51</f>
        <v>-399.26544808305698</v>
      </c>
      <c r="H51" s="41">
        <f>'17-18 NGET'!H51-'16-17 NGET'!H51</f>
        <v>-384.79059086115012</v>
      </c>
      <c r="I51" s="41">
        <f>'17-18 NGET'!I51-'16-17 NGET'!I51</f>
        <v>-370.31573363924144</v>
      </c>
      <c r="J51" s="41">
        <f>'17-18 NGET'!J51-'16-17 NGET'!J51</f>
        <v>-355.84087641733277</v>
      </c>
      <c r="K51" s="41">
        <f>'17-18 NGET'!K51-'16-17 NGET'!K51</f>
        <v>-341.36601919542409</v>
      </c>
      <c r="P51" s="42"/>
    </row>
    <row r="52" spans="1:39">
      <c r="C52" s="10" t="s">
        <v>85</v>
      </c>
      <c r="D52" s="42">
        <f>'17-18 NGET'!D52-'16-17 NGET'!D52</f>
        <v>0</v>
      </c>
      <c r="E52" s="42">
        <f>'17-18 NGET'!E52-'16-17 NGET'!E52</f>
        <v>0</v>
      </c>
      <c r="F52" s="42">
        <f>'17-18 NGET'!F52-'16-17 NGET'!F52</f>
        <v>0</v>
      </c>
      <c r="G52" s="42">
        <f>'17-18 NGET'!G52-'16-17 NGET'!G52</f>
        <v>0</v>
      </c>
      <c r="H52" s="42">
        <f>'17-18 NGET'!H52-'16-17 NGET'!H52</f>
        <v>0</v>
      </c>
      <c r="I52" s="42">
        <f>'17-18 NGET'!I52-'16-17 NGET'!I52</f>
        <v>0</v>
      </c>
      <c r="J52" s="42">
        <f>'17-18 NGET'!J52-'16-17 NGET'!J52</f>
        <v>0</v>
      </c>
      <c r="K52" s="42">
        <f>'17-18 NGET'!K52-'16-17 NGET'!K52</f>
        <v>0</v>
      </c>
      <c r="P52" s="42"/>
    </row>
    <row r="53" spans="1:39">
      <c r="C53" s="11" t="s">
        <v>86</v>
      </c>
      <c r="D53" s="43">
        <f>'17-18 NGET'!D53-'16-17 NGET'!D53</f>
        <v>-52.861176274358058</v>
      </c>
      <c r="E53" s="43">
        <f>'17-18 NGET'!E53-'16-17 NGET'!E53</f>
        <v>-45.022097301379745</v>
      </c>
      <c r="F53" s="43">
        <f>'17-18 NGET'!F53-'16-17 NGET'!F53</f>
        <v>-307.66907943107458</v>
      </c>
      <c r="G53" s="43">
        <f>'17-18 NGET'!G53-'16-17 NGET'!G53</f>
        <v>0</v>
      </c>
      <c r="H53" s="43">
        <f>'17-18 NGET'!H53-'16-17 NGET'!H53</f>
        <v>0</v>
      </c>
      <c r="I53" s="43">
        <f>'17-18 NGET'!I53-'16-17 NGET'!I53</f>
        <v>0</v>
      </c>
      <c r="J53" s="43">
        <f>'17-18 NGET'!J53-'16-17 NGET'!J53</f>
        <v>0</v>
      </c>
      <c r="K53" s="43">
        <f>'17-18 NGET'!K53-'16-17 NGET'!K53</f>
        <v>2.4041548750000175</v>
      </c>
      <c r="P53" s="42"/>
    </row>
    <row r="54" spans="1:39">
      <c r="C54" s="10" t="s">
        <v>87</v>
      </c>
      <c r="D54" s="42">
        <f>'17-18 NGET'!D54-'16-17 NGET'!D54</f>
        <v>0</v>
      </c>
      <c r="E54" s="42">
        <f>'17-18 NGET'!E54-'16-17 NGET'!E54</f>
        <v>2.2858887037561999</v>
      </c>
      <c r="F54" s="42">
        <f>'17-18 NGET'!F54-'16-17 NGET'!F54</f>
        <v>4.001016219999201</v>
      </c>
      <c r="G54" s="42">
        <f>'17-18 NGET'!G54-'16-17 NGET'!G54</f>
        <v>14.474857221907996</v>
      </c>
      <c r="H54" s="42">
        <f>'17-18 NGET'!H54-'16-17 NGET'!H54</f>
        <v>14.474857221907996</v>
      </c>
      <c r="I54" s="42">
        <f>'17-18 NGET'!I54-'16-17 NGET'!I54</f>
        <v>14.474857221907996</v>
      </c>
      <c r="J54" s="42">
        <f>'17-18 NGET'!J54-'16-17 NGET'!J54</f>
        <v>14.474857221907996</v>
      </c>
      <c r="K54" s="42">
        <f>'17-18 NGET'!K54-'16-17 NGET'!K54</f>
        <v>14.474857221907996</v>
      </c>
      <c r="P54" s="42"/>
    </row>
    <row r="55" spans="1:39">
      <c r="C55" s="39" t="s">
        <v>94</v>
      </c>
      <c r="D55" s="45">
        <f>'17-18 NGET'!D55-'16-17 NGET'!D55</f>
        <v>-52.861176274358513</v>
      </c>
      <c r="E55" s="45">
        <f>'17-18 NGET'!E55-'16-17 NGET'!E55</f>
        <v>-95.597384871982285</v>
      </c>
      <c r="F55" s="45">
        <f>'17-18 NGET'!F55-'16-17 NGET'!F55</f>
        <v>-399.26544808305698</v>
      </c>
      <c r="G55" s="45">
        <f>'17-18 NGET'!G55-'16-17 NGET'!G55</f>
        <v>-384.79059086115012</v>
      </c>
      <c r="H55" s="45">
        <f>'17-18 NGET'!H55-'16-17 NGET'!H55</f>
        <v>-370.31573363924144</v>
      </c>
      <c r="I55" s="45">
        <f>'17-18 NGET'!I55-'16-17 NGET'!I55</f>
        <v>-355.84087641733277</v>
      </c>
      <c r="J55" s="45">
        <f>'17-18 NGET'!J55-'16-17 NGET'!J55</f>
        <v>-341.36601919542409</v>
      </c>
      <c r="K55" s="45">
        <f>'17-18 NGET'!K55-'16-17 NGET'!K55</f>
        <v>-324.48700709851801</v>
      </c>
      <c r="M55" s="189"/>
      <c r="O55" s="210"/>
      <c r="P55" s="50"/>
    </row>
    <row r="56" spans="1:39" ht="13.8" thickBot="1">
      <c r="C56" s="40" t="s">
        <v>163</v>
      </c>
      <c r="D56" s="46">
        <f>'17-18 NGET'!D56-'16-17 NGET'!D56</f>
        <v>0</v>
      </c>
      <c r="E56" s="46">
        <f>'17-18 NGET'!E56-'16-17 NGET'!E56</f>
        <v>0</v>
      </c>
      <c r="F56" s="46">
        <f>'17-18 NGET'!F56-'16-17 NGET'!F56</f>
        <v>0</v>
      </c>
      <c r="G56" s="46">
        <f>'17-18 NGET'!G56-'16-17 NGET'!G56</f>
        <v>0</v>
      </c>
      <c r="H56" s="46">
        <f>'17-18 NGET'!H56-'16-17 NGET'!H56</f>
        <v>0</v>
      </c>
      <c r="I56" s="46">
        <f>'17-18 NGET'!I56-'16-17 NGET'!I56</f>
        <v>0</v>
      </c>
      <c r="J56" s="46">
        <f>'17-18 NGET'!J56-'16-17 NGET'!J56</f>
        <v>0</v>
      </c>
      <c r="K56" s="46">
        <f>'17-18 NGET'!K56-'16-17 NGET'!K56</f>
        <v>0</v>
      </c>
      <c r="P56" s="42"/>
    </row>
    <row r="57" spans="1:39">
      <c r="D57" s="53"/>
      <c r="E57" s="53"/>
      <c r="F57" s="53"/>
      <c r="G57" s="53"/>
      <c r="H57" s="53"/>
      <c r="I57" s="53"/>
      <c r="J57" s="53"/>
      <c r="K57" s="53"/>
      <c r="P57" s="53"/>
    </row>
    <row r="58" spans="1:39" ht="13.8" thickBot="1">
      <c r="P58" s="207"/>
    </row>
    <row r="59" spans="1:39" ht="13.8" thickBot="1">
      <c r="C59" s="7" t="s">
        <v>58</v>
      </c>
      <c r="D59" s="8" t="s">
        <v>59</v>
      </c>
      <c r="E59" s="8" t="s">
        <v>60</v>
      </c>
      <c r="F59" s="8" t="s">
        <v>61</v>
      </c>
      <c r="G59" s="8" t="s">
        <v>62</v>
      </c>
      <c r="H59" s="8" t="s">
        <v>63</v>
      </c>
      <c r="I59" s="8" t="s">
        <v>64</v>
      </c>
      <c r="J59" s="8" t="s">
        <v>65</v>
      </c>
      <c r="K59" s="8" t="s">
        <v>66</v>
      </c>
      <c r="P59" s="204"/>
      <c r="S59" s="7" t="s">
        <v>58</v>
      </c>
      <c r="T59" s="8" t="s">
        <v>59</v>
      </c>
      <c r="U59" s="8" t="s">
        <v>60</v>
      </c>
      <c r="V59" s="8" t="s">
        <v>61</v>
      </c>
      <c r="W59" s="8" t="s">
        <v>62</v>
      </c>
      <c r="X59" s="8" t="s">
        <v>63</v>
      </c>
      <c r="Y59" s="8" t="s">
        <v>64</v>
      </c>
      <c r="Z59" s="8" t="s">
        <v>65</v>
      </c>
      <c r="AA59" s="8" t="s">
        <v>66</v>
      </c>
      <c r="AC59" s="8" t="s">
        <v>59</v>
      </c>
      <c r="AD59" s="8" t="s">
        <v>60</v>
      </c>
      <c r="AE59" s="8" t="s">
        <v>61</v>
      </c>
      <c r="AF59" s="8" t="s">
        <v>62</v>
      </c>
      <c r="AG59" s="8" t="s">
        <v>63</v>
      </c>
      <c r="AH59" s="8" t="s">
        <v>64</v>
      </c>
      <c r="AI59" s="8" t="s">
        <v>65</v>
      </c>
      <c r="AJ59" s="8" t="s">
        <v>66</v>
      </c>
      <c r="AK59" s="8" t="s">
        <v>391</v>
      </c>
    </row>
    <row r="60" spans="1:39">
      <c r="C60" s="22" t="s">
        <v>79</v>
      </c>
      <c r="D60" s="41">
        <f>'17-18 NGET'!D60-'16-17 NGET'!D60</f>
        <v>-9.3284428719455548</v>
      </c>
      <c r="E60" s="41">
        <f>'17-18 NGET'!E60-'16-17 NGET'!E60</f>
        <v>-7.9450759943611615</v>
      </c>
      <c r="F60" s="41">
        <f>'17-18 NGET'!F60-'16-17 NGET'!F60</f>
        <v>-54.294543429012947</v>
      </c>
      <c r="G60" s="41">
        <f>'17-18 NGET'!G60-'16-17 NGET'!G60</f>
        <v>0</v>
      </c>
      <c r="H60" s="41">
        <f>'17-18 NGET'!H60-'16-17 NGET'!H60</f>
        <v>0</v>
      </c>
      <c r="I60" s="41">
        <f>'17-18 NGET'!I60-'16-17 NGET'!I60</f>
        <v>0</v>
      </c>
      <c r="J60" s="41">
        <f>'17-18 NGET'!J60-'16-17 NGET'!J60</f>
        <v>0</v>
      </c>
      <c r="K60" s="41">
        <f>'17-18 NGET'!K60-'16-17 NGET'!K60</f>
        <v>0.42426262500001144</v>
      </c>
      <c r="L60" s="28">
        <f>'17-18 NGET'!L60-'16-17 NGET'!L60</f>
        <v>-71.143799670319595</v>
      </c>
      <c r="P60" s="42"/>
      <c r="S60" s="22" t="s">
        <v>79</v>
      </c>
      <c r="T60" s="41">
        <v>262</v>
      </c>
      <c r="U60" s="41">
        <v>292</v>
      </c>
      <c r="V60" s="41">
        <v>277</v>
      </c>
      <c r="W60" s="41">
        <v>287</v>
      </c>
      <c r="X60" s="41">
        <v>249</v>
      </c>
      <c r="Y60" s="41">
        <v>252</v>
      </c>
      <c r="Z60" s="41">
        <v>199</v>
      </c>
      <c r="AA60" s="41">
        <v>153</v>
      </c>
      <c r="AB60" s="109"/>
      <c r="AC60" s="41">
        <f>D60-T60</f>
        <v>-271.32844287194553</v>
      </c>
      <c r="AD60" s="41">
        <f t="shared" ref="AD60:AJ74" si="2">E60-U60</f>
        <v>-299.94507599436116</v>
      </c>
      <c r="AE60" s="41">
        <f t="shared" si="2"/>
        <v>-331.29454342901295</v>
      </c>
      <c r="AF60" s="41">
        <f t="shared" si="2"/>
        <v>-287</v>
      </c>
      <c r="AG60" s="41">
        <f t="shared" si="2"/>
        <v>-249</v>
      </c>
      <c r="AH60" s="41">
        <f t="shared" si="2"/>
        <v>-252</v>
      </c>
      <c r="AI60" s="41">
        <f t="shared" si="2"/>
        <v>-199</v>
      </c>
      <c r="AJ60" s="41">
        <f t="shared" si="2"/>
        <v>-152.57573737499999</v>
      </c>
      <c r="AK60" s="162">
        <f>SUM(AC60:AJ60)</f>
        <v>-2042.1437996703196</v>
      </c>
      <c r="AL60" s="109"/>
      <c r="AM60" s="109"/>
    </row>
    <row r="61" spans="1:39">
      <c r="C61" s="10" t="s">
        <v>98</v>
      </c>
      <c r="D61" s="42">
        <f>'17-18 NGET'!D61-'16-17 NGET'!D61</f>
        <v>0</v>
      </c>
      <c r="E61" s="42">
        <f>'17-18 NGET'!E61-'16-17 NGET'!E61</f>
        <v>0</v>
      </c>
      <c r="F61" s="42">
        <f>'17-18 NGET'!F61-'16-17 NGET'!F61</f>
        <v>0</v>
      </c>
      <c r="G61" s="42">
        <f>'17-18 NGET'!G61-'16-17 NGET'!G61</f>
        <v>0</v>
      </c>
      <c r="H61" s="42">
        <f>'17-18 NGET'!H61-'16-17 NGET'!H61</f>
        <v>0</v>
      </c>
      <c r="I61" s="42">
        <f>'17-18 NGET'!I61-'16-17 NGET'!I61</f>
        <v>0</v>
      </c>
      <c r="J61" s="42">
        <f>'17-18 NGET'!J61-'16-17 NGET'!J61</f>
        <v>0</v>
      </c>
      <c r="K61" s="42">
        <f>'17-18 NGET'!K61-'16-17 NGET'!K61</f>
        <v>0</v>
      </c>
      <c r="L61" s="28">
        <f>'17-18 NGET'!L61-'16-17 NGET'!L61</f>
        <v>0</v>
      </c>
      <c r="P61" s="42"/>
      <c r="S61" s="10" t="s">
        <v>98</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99</v>
      </c>
      <c r="D62" s="43">
        <f>'17-18 NGET'!D62-'16-17 NGET'!D62</f>
        <v>0</v>
      </c>
      <c r="E62" s="43">
        <f>'17-18 NGET'!E62-'16-17 NGET'!E62</f>
        <v>0</v>
      </c>
      <c r="F62" s="43">
        <f>'17-18 NGET'!F62-'16-17 NGET'!F62</f>
        <v>0</v>
      </c>
      <c r="G62" s="43">
        <f>'17-18 NGET'!G62-'16-17 NGET'!G62</f>
        <v>0</v>
      </c>
      <c r="H62" s="43">
        <f>'17-18 NGET'!H62-'16-17 NGET'!H62</f>
        <v>-1.7750023052798269E-3</v>
      </c>
      <c r="I62" s="43">
        <f>'17-18 NGET'!I62-'16-17 NGET'!I62</f>
        <v>-3.6983948032869307E-3</v>
      </c>
      <c r="J62" s="43">
        <f>'17-18 NGET'!J62-'16-17 NGET'!J62</f>
        <v>-5.7794819680552223E-3</v>
      </c>
      <c r="K62" s="43">
        <f>'17-18 NGET'!K62-'16-17 NGET'!K62</f>
        <v>-8.0280868885651557E-3</v>
      </c>
      <c r="L62" s="28">
        <f>'17-18 NGET'!L62-'16-17 NGET'!L62</f>
        <v>-1.9280965965208452E-2</v>
      </c>
      <c r="P62" s="42"/>
      <c r="S62" s="11" t="s">
        <v>99</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v>
      </c>
      <c r="AG62" s="43">
        <f t="shared" si="2"/>
        <v>-32.00177500230528</v>
      </c>
      <c r="AH62" s="43">
        <f t="shared" si="2"/>
        <v>-32.003698394803287</v>
      </c>
      <c r="AI62" s="43">
        <f t="shared" si="2"/>
        <v>-32.005779481968055</v>
      </c>
      <c r="AJ62" s="43">
        <f t="shared" si="2"/>
        <v>-32.008028086888565</v>
      </c>
      <c r="AK62" s="45">
        <f t="shared" si="4"/>
        <v>-256.01928096596521</v>
      </c>
      <c r="AL62" s="109"/>
      <c r="AM62" s="109"/>
    </row>
    <row r="63" spans="1:39">
      <c r="C63" s="10" t="s">
        <v>100</v>
      </c>
      <c r="D63" s="42">
        <f>'17-18 NGET'!D63-'16-17 NGET'!D63</f>
        <v>0</v>
      </c>
      <c r="E63" s="42">
        <f>'17-18 NGET'!E63-'16-17 NGET'!E63</f>
        <v>0</v>
      </c>
      <c r="F63" s="42">
        <f>'17-18 NGET'!F63-'16-17 NGET'!F63</f>
        <v>0</v>
      </c>
      <c r="G63" s="42">
        <f>'17-18 NGET'!G63-'16-17 NGET'!G63</f>
        <v>0</v>
      </c>
      <c r="H63" s="42">
        <f>'17-18 NGET'!H63-'16-17 NGET'!H63</f>
        <v>0</v>
      </c>
      <c r="I63" s="42">
        <f>'17-18 NGET'!I63-'16-17 NGET'!I63</f>
        <v>0</v>
      </c>
      <c r="J63" s="42">
        <f>'17-18 NGET'!J63-'16-17 NGET'!J63</f>
        <v>0</v>
      </c>
      <c r="K63" s="42">
        <f>'17-18 NGET'!K63-'16-17 NGET'!K63</f>
        <v>0</v>
      </c>
      <c r="L63" s="28">
        <f>'17-18 NGET'!L63-'16-17 NGET'!L63</f>
        <v>0</v>
      </c>
      <c r="P63" s="42"/>
      <c r="S63" s="10" t="s">
        <v>100</v>
      </c>
      <c r="T63" s="42">
        <v>0</v>
      </c>
      <c r="U63" s="42">
        <v>17</v>
      </c>
      <c r="V63" s="42">
        <v>14</v>
      </c>
      <c r="W63" s="42">
        <v>0</v>
      </c>
      <c r="X63" s="42">
        <v>22</v>
      </c>
      <c r="Y63" s="42">
        <v>0</v>
      </c>
      <c r="Z63" s="42">
        <v>0</v>
      </c>
      <c r="AA63" s="42">
        <v>0</v>
      </c>
      <c r="AB63" s="109"/>
      <c r="AC63" s="42">
        <f t="shared" si="3"/>
        <v>0</v>
      </c>
      <c r="AD63" s="42">
        <f t="shared" si="2"/>
        <v>-17</v>
      </c>
      <c r="AE63" s="42">
        <f t="shared" si="2"/>
        <v>-14</v>
      </c>
      <c r="AF63" s="42">
        <f t="shared" si="2"/>
        <v>0</v>
      </c>
      <c r="AG63" s="42">
        <f t="shared" si="2"/>
        <v>-22</v>
      </c>
      <c r="AH63" s="42">
        <f t="shared" si="2"/>
        <v>0</v>
      </c>
      <c r="AI63" s="42">
        <f t="shared" si="2"/>
        <v>0</v>
      </c>
      <c r="AJ63" s="42">
        <f t="shared" si="2"/>
        <v>0</v>
      </c>
      <c r="AK63" s="50">
        <f t="shared" si="4"/>
        <v>-53</v>
      </c>
      <c r="AL63" s="109"/>
      <c r="AM63" s="109"/>
    </row>
    <row r="64" spans="1:39">
      <c r="C64" s="11" t="s">
        <v>101</v>
      </c>
      <c r="D64" s="43">
        <f>'17-18 NGET'!D64-'16-17 NGET'!D64</f>
        <v>0</v>
      </c>
      <c r="E64" s="43">
        <f>'17-18 NGET'!E64-'16-17 NGET'!E64</f>
        <v>0</v>
      </c>
      <c r="F64" s="43">
        <f>'17-18 NGET'!F64-'16-17 NGET'!F64</f>
        <v>0</v>
      </c>
      <c r="G64" s="43">
        <f>'17-18 NGET'!G64-'16-17 NGET'!G64</f>
        <v>0</v>
      </c>
      <c r="H64" s="43">
        <f>'17-18 NGET'!H64-'16-17 NGET'!H64</f>
        <v>0</v>
      </c>
      <c r="I64" s="43">
        <f>'17-18 NGET'!I64-'16-17 NGET'!I64</f>
        <v>0</v>
      </c>
      <c r="J64" s="43">
        <f>'17-18 NGET'!J64-'16-17 NGET'!J64</f>
        <v>0</v>
      </c>
      <c r="K64" s="43">
        <f>'17-18 NGET'!K64-'16-17 NGET'!K64</f>
        <v>0</v>
      </c>
      <c r="L64" s="28">
        <f>'17-18 NGET'!L64-'16-17 NGET'!L64</f>
        <v>0</v>
      </c>
      <c r="P64" s="42"/>
      <c r="S64" s="11" t="s">
        <v>101</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102</v>
      </c>
      <c r="D65" s="42">
        <f>'17-18 NGET'!D65-'16-17 NGET'!D65</f>
        <v>-3.1592555405485001</v>
      </c>
      <c r="E65" s="42">
        <f>'17-18 NGET'!E65-'16-17 NGET'!E65</f>
        <v>-3.7450808627871339</v>
      </c>
      <c r="F65" s="42">
        <f>'17-18 NGET'!F65-'16-17 NGET'!F65</f>
        <v>-4.90239240133306</v>
      </c>
      <c r="G65" s="42">
        <f>'17-18 NGET'!G65-'16-17 NGET'!G65</f>
        <v>10.654512494288525</v>
      </c>
      <c r="H65" s="42">
        <f>'17-18 NGET'!H65-'16-17 NGET'!H65</f>
        <v>5.9796345078240734</v>
      </c>
      <c r="I65" s="42">
        <f>'17-18 NGET'!I65-'16-17 NGET'!I65</f>
        <v>7.9422846811031036</v>
      </c>
      <c r="J65" s="42">
        <f>'17-18 NGET'!J65-'16-17 NGET'!J65</f>
        <v>6.9031519338811194</v>
      </c>
      <c r="K65" s="42">
        <f>'17-18 NGET'!K65-'16-17 NGET'!K65</f>
        <v>6.0145374984567184</v>
      </c>
      <c r="L65" s="28">
        <f>'17-18 NGET'!L65-'16-17 NGET'!L65</f>
        <v>25.687392310884889</v>
      </c>
      <c r="P65" s="42"/>
      <c r="S65" s="10" t="s">
        <v>102</v>
      </c>
      <c r="T65" s="42">
        <v>90</v>
      </c>
      <c r="U65" s="42">
        <v>95</v>
      </c>
      <c r="V65" s="42">
        <v>92</v>
      </c>
      <c r="W65" s="42">
        <v>86</v>
      </c>
      <c r="X65" s="42">
        <v>75</v>
      </c>
      <c r="Y65" s="42">
        <v>70</v>
      </c>
      <c r="Z65" s="42">
        <v>61</v>
      </c>
      <c r="AA65" s="42">
        <v>59</v>
      </c>
      <c r="AB65" s="109"/>
      <c r="AC65" s="42">
        <f t="shared" si="3"/>
        <v>-93.1592555405485</v>
      </c>
      <c r="AD65" s="42">
        <f t="shared" si="2"/>
        <v>-98.745080862787134</v>
      </c>
      <c r="AE65" s="42">
        <f t="shared" si="2"/>
        <v>-96.90239240133306</v>
      </c>
      <c r="AF65" s="42">
        <f t="shared" si="2"/>
        <v>-75.345487505711475</v>
      </c>
      <c r="AG65" s="42">
        <f t="shared" si="2"/>
        <v>-69.020365492175927</v>
      </c>
      <c r="AH65" s="42">
        <f t="shared" si="2"/>
        <v>-62.057715318896896</v>
      </c>
      <c r="AI65" s="42">
        <f t="shared" si="2"/>
        <v>-54.096848066118881</v>
      </c>
      <c r="AJ65" s="42">
        <f t="shared" si="2"/>
        <v>-52.985462501543282</v>
      </c>
      <c r="AK65" s="50">
        <f t="shared" si="4"/>
        <v>-602.31260768911511</v>
      </c>
      <c r="AL65" s="109"/>
      <c r="AM65" s="109"/>
    </row>
    <row r="66" spans="1:39">
      <c r="C66" s="11" t="s">
        <v>103</v>
      </c>
      <c r="D66" s="43">
        <f>'17-18 NGET'!D66-'16-17 NGET'!D66</f>
        <v>-1.1507387443610924</v>
      </c>
      <c r="E66" s="43">
        <f>'17-18 NGET'!E66-'16-17 NGET'!E66</f>
        <v>-5.4858258164139215</v>
      </c>
      <c r="F66" s="43">
        <f>'17-18 NGET'!F66-'16-17 NGET'!F66</f>
        <v>-14.356041259717131</v>
      </c>
      <c r="G66" s="43">
        <f>'17-18 NGET'!G66-'16-17 NGET'!G66</f>
        <v>-30.71982767261693</v>
      </c>
      <c r="H66" s="43">
        <f>'17-18 NGET'!H66-'16-17 NGET'!H66</f>
        <v>-40.19292243717473</v>
      </c>
      <c r="I66" s="43">
        <f>'17-18 NGET'!I66-'16-17 NGET'!I66</f>
        <v>-40.012667500762518</v>
      </c>
      <c r="J66" s="43">
        <f>'17-18 NGET'!J66-'16-17 NGET'!J66</f>
        <v>-39.75459210471422</v>
      </c>
      <c r="K66" s="43">
        <f>'17-18 NGET'!K66-'16-17 NGET'!K66</f>
        <v>-39.303910710759737</v>
      </c>
      <c r="L66" s="28">
        <f>'17-18 NGET'!L66-'16-17 NGET'!L66</f>
        <v>-210.97652624651892</v>
      </c>
      <c r="P66" s="42"/>
      <c r="S66" s="11" t="s">
        <v>103</v>
      </c>
      <c r="T66" s="43">
        <v>976</v>
      </c>
      <c r="U66" s="43">
        <v>1065</v>
      </c>
      <c r="V66" s="43">
        <v>1159</v>
      </c>
      <c r="W66" s="43">
        <v>1250</v>
      </c>
      <c r="X66" s="43">
        <v>1324</v>
      </c>
      <c r="Y66" s="43">
        <v>1382</v>
      </c>
      <c r="Z66" s="43">
        <v>1422</v>
      </c>
      <c r="AA66" s="43">
        <v>1441</v>
      </c>
      <c r="AB66" s="109"/>
      <c r="AC66" s="43">
        <f t="shared" si="3"/>
        <v>-977.15073874436109</v>
      </c>
      <c r="AD66" s="43">
        <f t="shared" si="2"/>
        <v>-1070.485825816414</v>
      </c>
      <c r="AE66" s="43">
        <f t="shared" si="2"/>
        <v>-1173.3560412597171</v>
      </c>
      <c r="AF66" s="43">
        <f t="shared" si="2"/>
        <v>-1280.7198276726169</v>
      </c>
      <c r="AG66" s="43">
        <f t="shared" si="2"/>
        <v>-1364.1929224371747</v>
      </c>
      <c r="AH66" s="43">
        <f t="shared" si="2"/>
        <v>-1422.0126675007625</v>
      </c>
      <c r="AI66" s="43">
        <f t="shared" si="2"/>
        <v>-1461.7545921047142</v>
      </c>
      <c r="AJ66" s="43">
        <f t="shared" si="2"/>
        <v>-1480.3039107107597</v>
      </c>
      <c r="AK66" s="45">
        <f t="shared" si="4"/>
        <v>-10229.976526246521</v>
      </c>
      <c r="AL66" s="109"/>
      <c r="AM66" s="109"/>
    </row>
    <row r="67" spans="1:39">
      <c r="C67" s="10" t="s">
        <v>168</v>
      </c>
      <c r="D67" s="42">
        <f>'17-18 NGET'!D67-'16-17 NGET'!D67</f>
        <v>0</v>
      </c>
      <c r="E67" s="42">
        <f>'17-18 NGET'!E67-'16-17 NGET'!E67</f>
        <v>0</v>
      </c>
      <c r="F67" s="42">
        <f>'17-18 NGET'!F67-'16-17 NGET'!F67</f>
        <v>0</v>
      </c>
      <c r="G67" s="42">
        <f>'17-18 NGET'!G67-'16-17 NGET'!G67</f>
        <v>0</v>
      </c>
      <c r="H67" s="42">
        <f>'17-18 NGET'!H67-'16-17 NGET'!H67</f>
        <v>0</v>
      </c>
      <c r="I67" s="42">
        <f>'17-18 NGET'!I67-'16-17 NGET'!I67</f>
        <v>0</v>
      </c>
      <c r="J67" s="42">
        <f>'17-18 NGET'!J67-'16-17 NGET'!J67</f>
        <v>0</v>
      </c>
      <c r="K67" s="42">
        <f>'17-18 NGET'!K67-'16-17 NGET'!K67</f>
        <v>0</v>
      </c>
      <c r="L67" s="28">
        <f>'17-18 NGET'!L67-'16-17 NGET'!L67</f>
        <v>0</v>
      </c>
      <c r="P67" s="42"/>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169</v>
      </c>
      <c r="D68" s="43">
        <f>'17-18 NGET'!D68-'16-17 NGET'!D68</f>
        <v>0</v>
      </c>
      <c r="E68" s="43">
        <f>'17-18 NGET'!E68-'16-17 NGET'!E68</f>
        <v>0</v>
      </c>
      <c r="F68" s="43">
        <f>'17-18 NGET'!F68-'16-17 NGET'!F68</f>
        <v>0</v>
      </c>
      <c r="G68" s="43">
        <f>'17-18 NGET'!G68-'16-17 NGET'!G68</f>
        <v>0</v>
      </c>
      <c r="H68" s="43">
        <f>'17-18 NGET'!H68-'16-17 NGET'!H68</f>
        <v>-4.1274909433070661E-2</v>
      </c>
      <c r="I68" s="43">
        <f>'17-18 NGET'!I68-'16-17 NGET'!I68</f>
        <v>-8.6000401294739959E-2</v>
      </c>
      <c r="J68" s="43">
        <f>'17-18 NGET'!J68-'16-17 NGET'!J68</f>
        <v>-0.13439283661301715</v>
      </c>
      <c r="K68" s="43">
        <f>'17-18 NGET'!K68-'16-17 NGET'!K68</f>
        <v>-0.1866806359972486</v>
      </c>
      <c r="L68" s="28">
        <f>'17-18 NGET'!L68-'16-17 NGET'!L68</f>
        <v>-0.44834878333807637</v>
      </c>
      <c r="P68" s="42"/>
      <c r="S68" s="10" t="s">
        <v>104</v>
      </c>
      <c r="T68" s="42">
        <v>-50</v>
      </c>
      <c r="U68" s="42">
        <v>-49</v>
      </c>
      <c r="V68" s="42">
        <v>-55</v>
      </c>
      <c r="W68" s="42">
        <v>-63</v>
      </c>
      <c r="X68" s="42">
        <v>-116</v>
      </c>
      <c r="Y68" s="42">
        <v>-117</v>
      </c>
      <c r="Z68" s="42">
        <v>-118</v>
      </c>
      <c r="AA68" s="42">
        <v>-119</v>
      </c>
      <c r="AB68" s="109"/>
      <c r="AC68" s="42">
        <f t="shared" si="3"/>
        <v>50</v>
      </c>
      <c r="AD68" s="42">
        <f t="shared" si="2"/>
        <v>49</v>
      </c>
      <c r="AE68" s="42">
        <f t="shared" si="2"/>
        <v>55</v>
      </c>
      <c r="AF68" s="42">
        <f t="shared" si="2"/>
        <v>63</v>
      </c>
      <c r="AG68" s="42">
        <f t="shared" si="2"/>
        <v>115.95872509056693</v>
      </c>
      <c r="AH68" s="42">
        <f t="shared" si="2"/>
        <v>116.91399959870526</v>
      </c>
      <c r="AI68" s="42">
        <f t="shared" si="2"/>
        <v>117.86560716338698</v>
      </c>
      <c r="AJ68" s="42">
        <f t="shared" si="2"/>
        <v>118.81331936400275</v>
      </c>
      <c r="AK68" s="50">
        <f t="shared" si="4"/>
        <v>686.55165121666198</v>
      </c>
      <c r="AL68" s="109"/>
      <c r="AM68" s="109"/>
    </row>
    <row r="69" spans="1:39" ht="13.8" thickBot="1">
      <c r="C69" s="23" t="s">
        <v>107</v>
      </c>
      <c r="D69" s="44">
        <f>'17-18 NGET'!D69-'16-17 NGET'!D69</f>
        <v>-13.638437156855161</v>
      </c>
      <c r="E69" s="44">
        <f>'17-18 NGET'!E69-'16-17 NGET'!E69</f>
        <v>-17.175982673562203</v>
      </c>
      <c r="F69" s="44">
        <f>'17-18 NGET'!F69-'16-17 NGET'!F69</f>
        <v>-73.552977090062996</v>
      </c>
      <c r="G69" s="44">
        <f>'17-18 NGET'!G69-'16-17 NGET'!G69</f>
        <v>-20.065315178328547</v>
      </c>
      <c r="H69" s="44">
        <f>'17-18 NGET'!H69-'16-17 NGET'!H69</f>
        <v>-34.25633784108868</v>
      </c>
      <c r="I69" s="44">
        <f>'17-18 NGET'!I69-'16-17 NGET'!I69</f>
        <v>-32.160081615757463</v>
      </c>
      <c r="J69" s="44">
        <f>'17-18 NGET'!J69-'16-17 NGET'!J69</f>
        <v>-32.991612489414365</v>
      </c>
      <c r="K69" s="44">
        <f>'17-18 NGET'!K69-'16-17 NGET'!K69</f>
        <v>-33.059819310188914</v>
      </c>
      <c r="L69" s="28">
        <f>'17-18 NGET'!L69-'16-17 NGET'!L69</f>
        <v>-256.90056335525696</v>
      </c>
      <c r="P69" s="50"/>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58</v>
      </c>
      <c r="D71" s="8" t="s">
        <v>59</v>
      </c>
      <c r="E71" s="8" t="s">
        <v>60</v>
      </c>
      <c r="F71" s="8" t="s">
        <v>61</v>
      </c>
      <c r="G71" s="8" t="s">
        <v>62</v>
      </c>
      <c r="H71" s="8" t="s">
        <v>63</v>
      </c>
      <c r="I71" s="8" t="s">
        <v>64</v>
      </c>
      <c r="J71" s="8" t="s">
        <v>65</v>
      </c>
      <c r="K71" s="8" t="s">
        <v>66</v>
      </c>
      <c r="L71" s="28"/>
      <c r="P71" s="20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392</v>
      </c>
      <c r="D72" s="42">
        <f>'17-18 NGET'!D72-'16-17 NGET'!D72</f>
        <v>-13.638437156855389</v>
      </c>
      <c r="E72" s="42">
        <f>'17-18 NGET'!E72-'16-17 NGET'!E72</f>
        <v>-17.175982673562203</v>
      </c>
      <c r="F72" s="42">
        <f>'17-18 NGET'!F72-'16-17 NGET'!F72</f>
        <v>-73.55297709006345</v>
      </c>
      <c r="G72" s="42">
        <f>'17-18 NGET'!G72-'16-17 NGET'!G72</f>
        <v>-20.065315178328092</v>
      </c>
      <c r="H72" s="42">
        <f>'17-18 NGET'!H72-'16-17 NGET'!H72</f>
        <v>-34.256337841089135</v>
      </c>
      <c r="I72" s="42">
        <f>'17-18 NGET'!I72-'16-17 NGET'!I72</f>
        <v>-32.160081615757463</v>
      </c>
      <c r="J72" s="42">
        <f>'17-18 NGET'!J72-'16-17 NGET'!J72</f>
        <v>-32.991612489414138</v>
      </c>
      <c r="K72" s="42">
        <f>'17-18 NGET'!K72-'16-17 NGET'!K72</f>
        <v>-33.059819310188914</v>
      </c>
      <c r="L72" s="28">
        <f>'17-18 NGET'!L72-'16-17 NGET'!L72</f>
        <v>-256.90056335525878</v>
      </c>
      <c r="P72" s="42"/>
      <c r="S72" s="11" t="s">
        <v>105</v>
      </c>
      <c r="T72" s="43">
        <v>1427</v>
      </c>
      <c r="U72" s="43">
        <v>1565</v>
      </c>
      <c r="V72" s="43">
        <v>1629</v>
      </c>
      <c r="W72" s="43">
        <v>1701</v>
      </c>
      <c r="X72" s="43">
        <v>1692</v>
      </c>
      <c r="Y72" s="43">
        <v>1723</v>
      </c>
      <c r="Z72" s="43">
        <v>1698</v>
      </c>
      <c r="AA72" s="43">
        <v>1666</v>
      </c>
      <c r="AB72" s="109"/>
      <c r="AC72" s="43">
        <f t="shared" si="3"/>
        <v>-1440.6384371568554</v>
      </c>
      <c r="AD72" s="43">
        <f t="shared" si="2"/>
        <v>-1582.1759826735622</v>
      </c>
      <c r="AE72" s="43">
        <f t="shared" si="2"/>
        <v>-1702.5529770900635</v>
      </c>
      <c r="AF72" s="43">
        <f t="shared" si="2"/>
        <v>-1721.0653151783281</v>
      </c>
      <c r="AG72" s="43">
        <f t="shared" si="2"/>
        <v>-1726.2563378410891</v>
      </c>
      <c r="AH72" s="43">
        <f t="shared" si="2"/>
        <v>-1755.1600816157575</v>
      </c>
      <c r="AI72" s="43">
        <f t="shared" si="2"/>
        <v>-1730.9916124894141</v>
      </c>
      <c r="AJ72" s="43">
        <f t="shared" si="2"/>
        <v>-1699.0598193101889</v>
      </c>
      <c r="AK72" s="45">
        <f t="shared" si="4"/>
        <v>-13357.900563355257</v>
      </c>
      <c r="AL72" s="109"/>
      <c r="AM72" s="109"/>
    </row>
    <row r="73" spans="1:39">
      <c r="C73" s="11" t="s">
        <v>175</v>
      </c>
      <c r="D73" s="43">
        <f>'17-18 NGET'!D73-'16-17 NGET'!D73</f>
        <v>0</v>
      </c>
      <c r="E73" s="43">
        <f>'17-18 NGET'!E73-'16-17 NGET'!E73</f>
        <v>0</v>
      </c>
      <c r="F73" s="43">
        <f>'17-18 NGET'!F73-'16-17 NGET'!F73</f>
        <v>0</v>
      </c>
      <c r="G73" s="43">
        <f>'17-18 NGET'!G73-'16-17 NGET'!G73</f>
        <v>0</v>
      </c>
      <c r="H73" s="43">
        <f>'17-18 NGET'!H73-'16-17 NGET'!H73</f>
        <v>0</v>
      </c>
      <c r="I73" s="43">
        <f>'17-18 NGET'!I73-'16-17 NGET'!I73</f>
        <v>0</v>
      </c>
      <c r="J73" s="43">
        <f>'17-18 NGET'!J73-'16-17 NGET'!J73</f>
        <v>0</v>
      </c>
      <c r="K73" s="43">
        <f>'17-18 NGET'!K73-'16-17 NGET'!K73</f>
        <v>0</v>
      </c>
      <c r="L73" s="28">
        <f>'17-18 NGET'!L73-'16-17 NGET'!L73</f>
        <v>0</v>
      </c>
      <c r="N73" s="208"/>
      <c r="P73" s="42"/>
      <c r="S73" s="10" t="s">
        <v>175</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107</v>
      </c>
      <c r="D74" s="44">
        <f>'17-18 NGET'!D74-'16-17 NGET'!D74</f>
        <v>-13.638437156855389</v>
      </c>
      <c r="E74" s="44">
        <f>'17-18 NGET'!E74-'16-17 NGET'!E74</f>
        <v>-17.175982673562203</v>
      </c>
      <c r="F74" s="44">
        <f>'17-18 NGET'!F74-'16-17 NGET'!F74</f>
        <v>-73.55297709006345</v>
      </c>
      <c r="G74" s="44">
        <f>'17-18 NGET'!G74-'16-17 NGET'!G74</f>
        <v>-20.065315178328092</v>
      </c>
      <c r="H74" s="44">
        <f>'17-18 NGET'!H74-'16-17 NGET'!H74</f>
        <v>-34.256337841089135</v>
      </c>
      <c r="I74" s="44">
        <f>'17-18 NGET'!I74-'16-17 NGET'!I74</f>
        <v>-32.160081615757463</v>
      </c>
      <c r="J74" s="44">
        <f>'17-18 NGET'!J74-'16-17 NGET'!J74</f>
        <v>-32.991612489414138</v>
      </c>
      <c r="K74" s="44">
        <f>'17-18 NGET'!K74-'16-17 NGET'!K74</f>
        <v>-33.059819310188914</v>
      </c>
      <c r="L74" s="28">
        <f>'17-18 NGET'!L74-'16-17 NGET'!L74</f>
        <v>-256.90056335525878</v>
      </c>
      <c r="N74" s="209"/>
      <c r="P74" s="50"/>
      <c r="S74" s="23" t="s">
        <v>107</v>
      </c>
      <c r="T74" s="44">
        <v>1542</v>
      </c>
      <c r="U74" s="44">
        <v>1681</v>
      </c>
      <c r="V74" s="44">
        <v>1753</v>
      </c>
      <c r="W74" s="44">
        <v>1823</v>
      </c>
      <c r="X74" s="44">
        <v>1816</v>
      </c>
      <c r="Y74" s="44">
        <v>1849</v>
      </c>
      <c r="Z74" s="44">
        <v>1826</v>
      </c>
      <c r="AA74" s="44">
        <v>1795</v>
      </c>
      <c r="AB74" s="109"/>
      <c r="AC74" s="44">
        <f t="shared" si="3"/>
        <v>-1555.6384371568554</v>
      </c>
      <c r="AD74" s="44">
        <f t="shared" si="2"/>
        <v>-1698.1759826735622</v>
      </c>
      <c r="AE74" s="44">
        <f t="shared" si="2"/>
        <v>-1826.5529770900635</v>
      </c>
      <c r="AF74" s="44">
        <f t="shared" si="2"/>
        <v>-1843.0653151783281</v>
      </c>
      <c r="AG74" s="44">
        <f t="shared" si="2"/>
        <v>-1850.2563378410891</v>
      </c>
      <c r="AH74" s="44">
        <f t="shared" si="2"/>
        <v>-1881.1600816157575</v>
      </c>
      <c r="AI74" s="44">
        <f t="shared" si="2"/>
        <v>-1858.9916124894141</v>
      </c>
      <c r="AJ74" s="44">
        <f t="shared" si="2"/>
        <v>-1828.0598193101889</v>
      </c>
      <c r="AK74" s="44">
        <f t="shared" si="4"/>
        <v>-14341.900563355257</v>
      </c>
      <c r="AL74" s="109"/>
      <c r="AM74" s="109"/>
    </row>
    <row r="75" spans="1:39">
      <c r="D75" s="53"/>
      <c r="E75" s="53"/>
      <c r="F75" s="53"/>
      <c r="G75" s="53"/>
      <c r="H75" s="53"/>
      <c r="I75" s="53"/>
      <c r="J75" s="53"/>
      <c r="K75" s="53"/>
      <c r="L75" s="53"/>
      <c r="P75" s="53"/>
      <c r="AK75" s="38"/>
    </row>
    <row r="76" spans="1:39">
      <c r="F76" s="53" t="s">
        <v>393</v>
      </c>
      <c r="G76" s="53"/>
      <c r="H76" s="53">
        <f>D74*(1+'NGET summary'!D100)*(1+'NGET summary'!E100)*(1+'NGET summary'!F100)*(1+'NGET summary'!G100)+E74*(1+'NGET summary'!E100)*(1+'NGET summary'!F100)*(1+'NGET summary'!G100)+F74*(1+'NGET summary'!F100)*(1+'NGET summary'!G100)+G74*(1+'NGET summary'!G100)+H74</f>
        <v>-170.85032071167191</v>
      </c>
      <c r="I76" s="53"/>
      <c r="J76" s="53"/>
      <c r="K76" s="53"/>
      <c r="L76" s="53"/>
      <c r="AK76" s="38"/>
    </row>
    <row r="77" spans="1:39">
      <c r="F77" s="53" t="s">
        <v>201</v>
      </c>
      <c r="G77" s="53"/>
      <c r="H77" s="53">
        <f>H76-'ET workings 17-18'!H107+'NGET differences 16-17'!H74+'NGET differences 15-16'!H74+'NGET differences 14-15'!H74</f>
        <v>-2.5579538487363607E-13</v>
      </c>
      <c r="I77" s="53"/>
      <c r="J77" s="53"/>
      <c r="K77" s="53"/>
      <c r="L77" s="53"/>
      <c r="AK77" s="38"/>
    </row>
    <row r="78" spans="1:39" ht="13.8" thickBot="1"/>
    <row r="79" spans="1:39" ht="13.8" thickBot="1">
      <c r="A79" s="38"/>
      <c r="C79" s="14" t="s">
        <v>58</v>
      </c>
      <c r="D79" s="15" t="s">
        <v>59</v>
      </c>
      <c r="E79" s="15" t="s">
        <v>60</v>
      </c>
      <c r="F79" s="15" t="s">
        <v>61</v>
      </c>
      <c r="G79" s="15" t="s">
        <v>62</v>
      </c>
      <c r="H79" s="15" t="s">
        <v>63</v>
      </c>
      <c r="I79" s="15" t="s">
        <v>64</v>
      </c>
      <c r="J79" s="15" t="s">
        <v>65</v>
      </c>
      <c r="K79" s="15" t="s">
        <v>66</v>
      </c>
      <c r="L79" s="15" t="s">
        <v>118</v>
      </c>
      <c r="P79" s="205"/>
    </row>
    <row r="80" spans="1:39">
      <c r="C80" s="124"/>
      <c r="D80" s="125"/>
      <c r="E80" s="125"/>
      <c r="F80" s="125"/>
      <c r="G80" s="125"/>
      <c r="H80" s="125"/>
      <c r="I80" s="125"/>
      <c r="J80" s="125"/>
      <c r="K80" s="125"/>
      <c r="L80" s="125"/>
      <c r="P80" s="206"/>
    </row>
    <row r="81" spans="1:16">
      <c r="C81" s="17" t="str">
        <f>C3</f>
        <v>TO capex - load-related</v>
      </c>
      <c r="D81" s="165">
        <f>'17-18 NGET'!D81-'16-17 NGET'!D81</f>
        <v>0</v>
      </c>
      <c r="E81" s="165">
        <f>'17-18 NGET'!E81-'16-17 NGET'!E81</f>
        <v>0</v>
      </c>
      <c r="F81" s="165">
        <f>'17-18 NGET'!F81-'16-17 NGET'!F81</f>
        <v>0</v>
      </c>
      <c r="G81" s="165">
        <f>'17-18 NGET'!G81-'16-17 NGET'!G81</f>
        <v>0</v>
      </c>
      <c r="H81" s="165">
        <f>'17-18 NGET'!H81-'16-17 NGET'!H81</f>
        <v>0</v>
      </c>
      <c r="I81" s="165">
        <f>'17-18 NGET'!I81-'16-17 NGET'!I81</f>
        <v>0</v>
      </c>
      <c r="J81" s="165">
        <f>'17-18 NGET'!J81-'16-17 NGET'!J81</f>
        <v>0</v>
      </c>
      <c r="K81" s="165">
        <f>'17-18 NGET'!K81-'16-17 NGET'!K81</f>
        <v>0</v>
      </c>
      <c r="L81" s="165">
        <f>'17-18 NGET'!L81-'16-17 NGET'!L81</f>
        <v>0</v>
      </c>
      <c r="M81" s="53">
        <f>'17-18 NGET'!M81-'16-17 NGET'!M81</f>
        <v>0</v>
      </c>
      <c r="N81" s="53">
        <f>'17-18 NGET'!N81-'16-17 NGET'!N81</f>
        <v>0</v>
      </c>
      <c r="P81" s="165"/>
    </row>
    <row r="82" spans="1:16">
      <c r="C82" s="17" t="s">
        <v>394</v>
      </c>
      <c r="D82" s="165">
        <f>'17-18 NGET'!D82-'16-17 NGET'!D82</f>
        <v>0</v>
      </c>
      <c r="E82" s="165">
        <f>'17-18 NGET'!E82-'16-17 NGET'!E82</f>
        <v>0</v>
      </c>
      <c r="F82" s="165">
        <f>'17-18 NGET'!F82-'16-17 NGET'!F82</f>
        <v>0</v>
      </c>
      <c r="G82" s="165">
        <f>'17-18 NGET'!G82-'16-17 NGET'!G82</f>
        <v>0</v>
      </c>
      <c r="H82" s="165">
        <f>'17-18 NGET'!H82-'16-17 NGET'!H82</f>
        <v>0</v>
      </c>
      <c r="I82" s="165">
        <f>'17-18 NGET'!I82-'16-17 NGET'!I82</f>
        <v>0</v>
      </c>
      <c r="J82" s="165">
        <f>'17-18 NGET'!J82-'16-17 NGET'!J82</f>
        <v>0</v>
      </c>
      <c r="K82" s="165">
        <f>'17-18 NGET'!K82-'16-17 NGET'!K82</f>
        <v>0</v>
      </c>
      <c r="L82" s="165">
        <f>'17-18 NGET'!L82-'16-17 NGET'!L82</f>
        <v>0</v>
      </c>
      <c r="M82" s="53">
        <f>'17-18 NGET'!M82-'16-17 NGET'!M82</f>
        <v>0</v>
      </c>
      <c r="N82" s="53">
        <f>'17-18 NGET'!N82-'16-17 NGET'!N82</f>
        <v>0</v>
      </c>
      <c r="P82" s="165"/>
    </row>
    <row r="83" spans="1:16">
      <c r="C83" s="18" t="str">
        <f>C5</f>
        <v xml:space="preserve">Uncertainty mechanism capex </v>
      </c>
      <c r="D83" s="166">
        <f>'17-18 NGET'!D83-'16-17 NGET'!D83</f>
        <v>-132.59427699890216</v>
      </c>
      <c r="E83" s="166">
        <f>'17-18 NGET'!E83-'16-17 NGET'!E83</f>
        <v>-113.03811649229021</v>
      </c>
      <c r="F83" s="166">
        <f>'17-18 NGET'!F83-'16-17 NGET'!F83</f>
        <v>-77.381938787277591</v>
      </c>
      <c r="G83" s="166">
        <f>'17-18 NGET'!G83-'16-17 NGET'!G83</f>
        <v>0</v>
      </c>
      <c r="H83" s="166">
        <f>'17-18 NGET'!H83-'16-17 NGET'!H83</f>
        <v>0</v>
      </c>
      <c r="I83" s="166">
        <f>'17-18 NGET'!I83-'16-17 NGET'!I83</f>
        <v>0</v>
      </c>
      <c r="J83" s="166">
        <f>'17-18 NGET'!J83-'16-17 NGET'!J83</f>
        <v>0</v>
      </c>
      <c r="K83" s="166">
        <f>'17-18 NGET'!K83-'16-17 NGET'!K83</f>
        <v>2.828417500000004</v>
      </c>
      <c r="L83" s="166">
        <f>'17-18 NGET'!L83-'16-17 NGET'!L83</f>
        <v>-320.18591477846985</v>
      </c>
      <c r="M83" s="53">
        <f>'17-18 NGET'!M83-'16-17 NGET'!M83</f>
        <v>-0.3201859147784698</v>
      </c>
      <c r="N83" s="53">
        <f>'17-18 NGET'!N83-'16-17 NGET'!N83</f>
        <v>0</v>
      </c>
      <c r="P83" s="165"/>
    </row>
    <row r="84" spans="1:16">
      <c r="C84" s="17" t="str">
        <f>C6</f>
        <v xml:space="preserve">Uncertainty mechanism opex </v>
      </c>
      <c r="D84" s="165">
        <f>'17-18 NGET'!D84-'16-17 NGET'!D84</f>
        <v>0</v>
      </c>
      <c r="E84" s="165">
        <f>'17-18 NGET'!E84-'16-17 NGET'!E84</f>
        <v>0</v>
      </c>
      <c r="F84" s="165">
        <f>'17-18 NGET'!F84-'16-17 NGET'!F84</f>
        <v>0</v>
      </c>
      <c r="G84" s="165">
        <f>'17-18 NGET'!G84-'16-17 NGET'!G84</f>
        <v>0</v>
      </c>
      <c r="H84" s="165">
        <f>'17-18 NGET'!H84-'16-17 NGET'!H84</f>
        <v>0</v>
      </c>
      <c r="I84" s="165">
        <f>'17-18 NGET'!I84-'16-17 NGET'!I84</f>
        <v>0</v>
      </c>
      <c r="J84" s="165">
        <f>'17-18 NGET'!J84-'16-17 NGET'!J84</f>
        <v>0</v>
      </c>
      <c r="K84" s="165">
        <f>'17-18 NGET'!K84-'16-17 NGET'!K84</f>
        <v>0</v>
      </c>
      <c r="L84" s="165">
        <f>'17-18 NGET'!L84-'16-17 NGET'!L84</f>
        <v>0</v>
      </c>
      <c r="M84" s="53">
        <f>'17-18 NGET'!M84-'16-17 NGET'!M84</f>
        <v>0</v>
      </c>
      <c r="N84" s="53">
        <f>'17-18 NGET'!N84-'16-17 NGET'!N84</f>
        <v>0</v>
      </c>
      <c r="P84" s="165"/>
    </row>
    <row r="85" spans="1:16">
      <c r="C85" s="18" t="str">
        <f>C7</f>
        <v xml:space="preserve">Controllable opex </v>
      </c>
      <c r="D85" s="158">
        <f>'17-18 NGET'!D85-'16-17 NGET'!D85</f>
        <v>0</v>
      </c>
      <c r="E85" s="158">
        <f>'17-18 NGET'!E85-'16-17 NGET'!E85</f>
        <v>0</v>
      </c>
      <c r="F85" s="158">
        <f>'17-18 NGET'!F85-'16-17 NGET'!F85</f>
        <v>0</v>
      </c>
      <c r="G85" s="158">
        <f>'17-18 NGET'!G85-'16-17 NGET'!G85</f>
        <v>0</v>
      </c>
      <c r="H85" s="158">
        <f>'17-18 NGET'!H85-'16-17 NGET'!H85</f>
        <v>0</v>
      </c>
      <c r="I85" s="158">
        <f>'17-18 NGET'!I85-'16-17 NGET'!I85</f>
        <v>0</v>
      </c>
      <c r="J85" s="158">
        <f>'17-18 NGET'!J85-'16-17 NGET'!J85</f>
        <v>0</v>
      </c>
      <c r="K85" s="158">
        <f>'17-18 NGET'!K85-'16-17 NGET'!K85</f>
        <v>0</v>
      </c>
      <c r="L85" s="158">
        <f>'17-18 NGET'!L85-'16-17 NGET'!L85</f>
        <v>0</v>
      </c>
      <c r="M85" s="53">
        <f>'17-18 NGET'!M85-'16-17 NGET'!M85</f>
        <v>0</v>
      </c>
      <c r="N85" s="53">
        <f>'17-18 NGET'!N85-'16-17 NGET'!N85</f>
        <v>0</v>
      </c>
      <c r="P85" s="168"/>
    </row>
    <row r="86" spans="1:16">
      <c r="C86" s="19" t="str">
        <f>C9</f>
        <v xml:space="preserve">TO Totex </v>
      </c>
      <c r="D86" s="167">
        <f>'17-18 NGET'!D87-'16-17 NGET'!D87</f>
        <v>-62.189619146303812</v>
      </c>
      <c r="E86" s="167">
        <f>'17-18 NGET'!E87-'16-17 NGET'!E87</f>
        <v>-52.967173295740849</v>
      </c>
      <c r="F86" s="167">
        <f>'17-18 NGET'!F87-'16-17 NGET'!F87</f>
        <v>-361.96362286008753</v>
      </c>
      <c r="G86" s="167">
        <f>'17-18 NGET'!G87-'16-17 NGET'!G87</f>
        <v>0</v>
      </c>
      <c r="H86" s="167">
        <f>'17-18 NGET'!H87-'16-17 NGET'!H87</f>
        <v>0</v>
      </c>
      <c r="I86" s="167">
        <f>'17-18 NGET'!I87-'16-17 NGET'!I87</f>
        <v>0</v>
      </c>
      <c r="J86" s="167">
        <f>'17-18 NGET'!J87-'16-17 NGET'!J87</f>
        <v>0</v>
      </c>
      <c r="K86" s="167">
        <f>'17-18 NGET'!K87-'16-17 NGET'!K87</f>
        <v>2.8284175000000005</v>
      </c>
      <c r="L86" s="167">
        <f>'17-18 NGET'!L87-'16-17 NGET'!L87</f>
        <v>-474.29199780213094</v>
      </c>
      <c r="M86" s="53">
        <f>'17-18 NGET'!M87-'16-17 NGET'!M87</f>
        <v>-0.47429199780213338</v>
      </c>
      <c r="N86" s="53">
        <f>'17-18 NGET'!N87-'16-17 NGET'!N87</f>
        <v>0</v>
      </c>
      <c r="P86" s="167"/>
    </row>
    <row r="87" spans="1:16">
      <c r="C87" s="18" t="str">
        <f>C10</f>
        <v xml:space="preserve">Non controllable opex </v>
      </c>
      <c r="D87" s="166">
        <f>'17-18 NGET'!D88-'16-17 NGET'!D88</f>
        <v>0</v>
      </c>
      <c r="E87" s="166">
        <f>'17-18 NGET'!E88-'16-17 NGET'!E88</f>
        <v>0</v>
      </c>
      <c r="F87" s="166">
        <f>'17-18 NGET'!F88-'16-17 NGET'!F88</f>
        <v>0</v>
      </c>
      <c r="G87" s="166">
        <f>'17-18 NGET'!G88-'16-17 NGET'!G88</f>
        <v>0</v>
      </c>
      <c r="H87" s="166">
        <f>'17-18 NGET'!H88-'16-17 NGET'!H88</f>
        <v>0</v>
      </c>
      <c r="I87" s="166">
        <f>'17-18 NGET'!I88-'16-17 NGET'!I88</f>
        <v>0</v>
      </c>
      <c r="J87" s="166">
        <f>'17-18 NGET'!J88-'16-17 NGET'!J88</f>
        <v>0</v>
      </c>
      <c r="K87" s="166">
        <f>'17-18 NGET'!K88-'16-17 NGET'!K88</f>
        <v>0</v>
      </c>
      <c r="L87" s="166">
        <f>'17-18 NGET'!L88-'16-17 NGET'!L88</f>
        <v>0</v>
      </c>
      <c r="M87" s="53">
        <f>'17-18 NGET'!M88-'16-17 NGET'!M88</f>
        <v>0</v>
      </c>
      <c r="N87" s="53">
        <f>'17-18 NGET'!N88-'16-17 NGET'!N88</f>
        <v>0</v>
      </c>
      <c r="P87" s="165"/>
    </row>
    <row r="88" spans="1:16">
      <c r="C88" s="17"/>
      <c r="D88" s="168"/>
      <c r="E88" s="168"/>
      <c r="F88" s="168"/>
      <c r="G88" s="168"/>
      <c r="H88" s="168"/>
      <c r="I88" s="168"/>
      <c r="J88" s="168"/>
      <c r="K88" s="168"/>
      <c r="L88" s="165"/>
      <c r="M88" s="53"/>
      <c r="N88" s="53"/>
      <c r="P88" s="168"/>
    </row>
    <row r="89" spans="1:16">
      <c r="C89" s="18" t="str">
        <f>C12</f>
        <v xml:space="preserve">SO capex </v>
      </c>
      <c r="D89" s="158">
        <f>'17-18 NGET'!D90-'16-17 NGET'!D90</f>
        <v>0</v>
      </c>
      <c r="E89" s="158">
        <f>'17-18 NGET'!E90-'16-17 NGET'!E90</f>
        <v>0</v>
      </c>
      <c r="F89" s="158">
        <f>'17-18 NGET'!F90-'16-17 NGET'!F90</f>
        <v>0</v>
      </c>
      <c r="G89" s="158">
        <f>'17-18 NGET'!G90-'16-17 NGET'!G90</f>
        <v>0</v>
      </c>
      <c r="H89" s="158">
        <f>'17-18 NGET'!H90-'16-17 NGET'!H90</f>
        <v>0</v>
      </c>
      <c r="I89" s="158">
        <f>'17-18 NGET'!I90-'16-17 NGET'!I90</f>
        <v>0</v>
      </c>
      <c r="J89" s="158">
        <f>'17-18 NGET'!J90-'16-17 NGET'!J90</f>
        <v>0</v>
      </c>
      <c r="K89" s="158">
        <f>'17-18 NGET'!K90-'16-17 NGET'!K90</f>
        <v>0</v>
      </c>
      <c r="L89" s="158">
        <f>'17-18 NGET'!L90-'16-17 NGET'!L90</f>
        <v>0</v>
      </c>
      <c r="M89" s="53">
        <f>'17-18 NGET'!M90-'16-17 NGET'!M90</f>
        <v>0</v>
      </c>
      <c r="N89" s="53">
        <f>'17-18 NGET'!N90-'16-17 NGET'!N90</f>
        <v>0</v>
      </c>
      <c r="P89" s="168"/>
    </row>
    <row r="90" spans="1:16">
      <c r="C90" s="17" t="str">
        <f>C13</f>
        <v xml:space="preserve">Controllable opex </v>
      </c>
      <c r="D90" s="165">
        <f>'17-18 NGET'!D91-'16-17 NGET'!D91</f>
        <v>0</v>
      </c>
      <c r="E90" s="165">
        <f>'17-18 NGET'!E91-'16-17 NGET'!E91</f>
        <v>0</v>
      </c>
      <c r="F90" s="165">
        <f>'17-18 NGET'!F91-'16-17 NGET'!F91</f>
        <v>0</v>
      </c>
      <c r="G90" s="165">
        <f>'17-18 NGET'!G91-'16-17 NGET'!G91</f>
        <v>0</v>
      </c>
      <c r="H90" s="165">
        <f>'17-18 NGET'!H91-'16-17 NGET'!H91</f>
        <v>0</v>
      </c>
      <c r="I90" s="165">
        <f>'17-18 NGET'!I91-'16-17 NGET'!I91</f>
        <v>0</v>
      </c>
      <c r="J90" s="165">
        <f>'17-18 NGET'!J91-'16-17 NGET'!J91</f>
        <v>0</v>
      </c>
      <c r="K90" s="165">
        <f>'17-18 NGET'!K91-'16-17 NGET'!K91</f>
        <v>0</v>
      </c>
      <c r="L90" s="165">
        <f>'17-18 NGET'!L91-'16-17 NGET'!L91</f>
        <v>0</v>
      </c>
      <c r="M90" s="53">
        <f>'17-18 NGET'!M91-'16-17 NGET'!M91</f>
        <v>0</v>
      </c>
      <c r="N90" s="53">
        <f>'17-18 NGET'!N91-'16-17 NGET'!N91</f>
        <v>0</v>
      </c>
      <c r="P90" s="165"/>
    </row>
    <row r="91" spans="1:16" ht="13.8" thickBot="1">
      <c r="C91" s="23" t="str">
        <f>C15</f>
        <v xml:space="preserve">SO Totex </v>
      </c>
      <c r="D91" s="44">
        <f>'17-18 NGET'!D93-'16-17 NGET'!D93</f>
        <v>-8.5023350967503575E-3</v>
      </c>
      <c r="E91" s="44">
        <f>'17-18 NGET'!E93-'16-17 NGET'!E93</f>
        <v>-5.4302118996929494E-6</v>
      </c>
      <c r="F91" s="44">
        <f>'17-18 NGET'!F93-'16-17 NGET'!F93</f>
        <v>-0.37900069509463208</v>
      </c>
      <c r="G91" s="44">
        <f>'17-18 NGET'!G93-'16-17 NGET'!G93</f>
        <v>0</v>
      </c>
      <c r="H91" s="44">
        <f>'17-18 NGET'!H93-'16-17 NGET'!H93</f>
        <v>0</v>
      </c>
      <c r="I91" s="44">
        <f>'17-18 NGET'!I93-'16-17 NGET'!I93</f>
        <v>0</v>
      </c>
      <c r="J91" s="44">
        <f>'17-18 NGET'!J93-'16-17 NGET'!J93</f>
        <v>0</v>
      </c>
      <c r="K91" s="44">
        <f>'17-18 NGET'!K93-'16-17 NGET'!K93</f>
        <v>0</v>
      </c>
      <c r="L91" s="44">
        <f>'17-18 NGET'!L93-'16-17 NGET'!L93</f>
        <v>-0.38750846040329634</v>
      </c>
      <c r="M91" s="53">
        <f>'17-18 NGET'!M93-'16-17 NGET'!M93</f>
        <v>-3.8750846040336295E-4</v>
      </c>
      <c r="N91" s="53">
        <f>'17-18 NGET'!N93-'16-17 NGET'!N93</f>
        <v>0</v>
      </c>
      <c r="P91" s="50"/>
    </row>
    <row r="92" spans="1:16">
      <c r="A92" s="38" t="s">
        <v>378</v>
      </c>
    </row>
    <row r="93" spans="1:16" ht="13.8" thickBot="1">
      <c r="C93" s="38" t="s">
        <v>140</v>
      </c>
    </row>
    <row r="94" spans="1:16" ht="13.8" thickBot="1">
      <c r="C94" s="7" t="s">
        <v>58</v>
      </c>
      <c r="D94" s="8" t="s">
        <v>59</v>
      </c>
      <c r="E94" s="8" t="s">
        <v>60</v>
      </c>
      <c r="F94" s="8" t="s">
        <v>61</v>
      </c>
      <c r="G94" s="8" t="s">
        <v>62</v>
      </c>
      <c r="H94" s="8" t="s">
        <v>63</v>
      </c>
      <c r="I94" s="8" t="s">
        <v>64</v>
      </c>
      <c r="J94" s="8" t="s">
        <v>65</v>
      </c>
      <c r="K94" s="8" t="s">
        <v>66</v>
      </c>
    </row>
    <row r="95" spans="1:16">
      <c r="C95" s="22" t="s">
        <v>91</v>
      </c>
      <c r="D95" s="41">
        <f>'17-18 NGET'!D97-'16-17 NGET'!D97</f>
        <v>0</v>
      </c>
      <c r="E95" s="41">
        <f>'17-18 NGET'!E97-'16-17 NGET'!E97</f>
        <v>-52.86354842585024</v>
      </c>
      <c r="F95" s="41">
        <f>'17-18 NGET'!F97-'16-17 NGET'!F97</f>
        <v>-95.599419659718478</v>
      </c>
      <c r="G95" s="41">
        <f>'17-18 NGET'!G97-'16-17 NGET'!G97</f>
        <v>-399.37288496951078</v>
      </c>
      <c r="H95" s="41">
        <f>'17-18 NGET'!H97-'16-17 NGET'!H97</f>
        <v>-384.8825827675355</v>
      </c>
      <c r="I95" s="41">
        <f>'17-18 NGET'!I97-'16-17 NGET'!I97</f>
        <v>-370.39228056556021</v>
      </c>
      <c r="J95" s="41">
        <f>'17-18 NGET'!J97-'16-17 NGET'!J97</f>
        <v>-355.90197836359039</v>
      </c>
      <c r="K95" s="41">
        <f>'17-18 NGET'!K97-'16-17 NGET'!K97</f>
        <v>-341.41167616161692</v>
      </c>
    </row>
    <row r="96" spans="1:16">
      <c r="C96" s="10" t="s">
        <v>86</v>
      </c>
      <c r="D96" s="42">
        <f>'17-18 NGET'!D98-'16-17 NGET'!D98</f>
        <v>-52.863548425850013</v>
      </c>
      <c r="E96" s="42">
        <f>'17-18 NGET'!E98-'16-17 NGET'!E98</f>
        <v>-45.022098816408743</v>
      </c>
      <c r="F96" s="42">
        <f>'17-18 NGET'!F98-'16-17 NGET'!F98</f>
        <v>-307.77482062500599</v>
      </c>
      <c r="G96" s="42">
        <f>'17-18 NGET'!G98-'16-17 NGET'!G98</f>
        <v>0</v>
      </c>
      <c r="H96" s="42">
        <f>'17-18 NGET'!H98-'16-17 NGET'!H98</f>
        <v>0</v>
      </c>
      <c r="I96" s="42">
        <f>'17-18 NGET'!I98-'16-17 NGET'!I98</f>
        <v>0</v>
      </c>
      <c r="J96" s="42">
        <f>'17-18 NGET'!J98-'16-17 NGET'!J98</f>
        <v>0</v>
      </c>
      <c r="K96" s="42">
        <f>'17-18 NGET'!K98-'16-17 NGET'!K98</f>
        <v>2.4041548750000175</v>
      </c>
    </row>
    <row r="97" spans="1:11">
      <c r="C97" s="11" t="s">
        <v>87</v>
      </c>
      <c r="D97" s="43">
        <f>'17-18 NGET'!D99-'16-17 NGET'!D99</f>
        <v>0</v>
      </c>
      <c r="E97" s="43">
        <f>'17-18 NGET'!E99-'16-17 NGET'!E99</f>
        <v>2.286227582540846</v>
      </c>
      <c r="F97" s="43">
        <f>'17-18 NGET'!F99-'16-17 NGET'!F99</f>
        <v>4.0013553152165287</v>
      </c>
      <c r="G97" s="43">
        <f>'17-18 NGET'!G99-'16-17 NGET'!G99</f>
        <v>14.490302201972668</v>
      </c>
      <c r="H97" s="43">
        <f>'17-18 NGET'!H99-'16-17 NGET'!H99</f>
        <v>14.490302201972668</v>
      </c>
      <c r="I97" s="43">
        <f>'17-18 NGET'!I99-'16-17 NGET'!I99</f>
        <v>14.490302201972668</v>
      </c>
      <c r="J97" s="43">
        <f>'17-18 NGET'!J99-'16-17 NGET'!J99</f>
        <v>14.490302201972554</v>
      </c>
      <c r="K97" s="43">
        <f>'17-18 NGET'!K99-'16-17 NGET'!K99</f>
        <v>14.490302201972668</v>
      </c>
    </row>
    <row r="98" spans="1:11" ht="13.8" thickBot="1">
      <c r="C98" s="13" t="s">
        <v>94</v>
      </c>
      <c r="D98" s="52">
        <f>'17-18 NGET'!D100-'16-17 NGET'!D100</f>
        <v>-52.86354842585024</v>
      </c>
      <c r="E98" s="52">
        <f>'17-18 NGET'!E100-'16-17 NGET'!E100</f>
        <v>-95.599419659718478</v>
      </c>
      <c r="F98" s="52">
        <f>'17-18 NGET'!F100-'16-17 NGET'!F100</f>
        <v>-399.37288496950896</v>
      </c>
      <c r="G98" s="52">
        <f>'17-18 NGET'!G100-'16-17 NGET'!G100</f>
        <v>-384.8825827675355</v>
      </c>
      <c r="H98" s="52">
        <f>'17-18 NGET'!H100-'16-17 NGET'!H100</f>
        <v>-370.39228056556203</v>
      </c>
      <c r="I98" s="52">
        <f>'17-18 NGET'!I100-'16-17 NGET'!I100</f>
        <v>-355.90197836359039</v>
      </c>
      <c r="J98" s="52">
        <f>'17-18 NGET'!J100-'16-17 NGET'!J100</f>
        <v>-341.41167616161511</v>
      </c>
      <c r="K98" s="52">
        <f>'17-18 NGET'!K100-'16-17 NGET'!K100</f>
        <v>-324.51721908464606</v>
      </c>
    </row>
    <row r="100" spans="1:11" ht="13.8" thickBot="1"/>
    <row r="101" spans="1:11" ht="13.8" thickBot="1">
      <c r="C101" s="7" t="s">
        <v>58</v>
      </c>
      <c r="D101" s="8" t="s">
        <v>59</v>
      </c>
      <c r="E101" s="8" t="s">
        <v>60</v>
      </c>
      <c r="F101" s="8" t="s">
        <v>61</v>
      </c>
      <c r="G101" s="8" t="s">
        <v>62</v>
      </c>
      <c r="H101" s="8" t="s">
        <v>63</v>
      </c>
      <c r="I101" s="8" t="s">
        <v>64</v>
      </c>
      <c r="J101" s="8" t="s">
        <v>65</v>
      </c>
      <c r="K101" s="8" t="s">
        <v>66</v>
      </c>
    </row>
    <row r="102" spans="1:11">
      <c r="C102" s="10" t="s">
        <v>370</v>
      </c>
      <c r="D102" s="169">
        <f>'17-18 NGET'!D104-'16-17 NGET'!D104</f>
        <v>0</v>
      </c>
      <c r="E102" s="169">
        <f>'17-18 NGET'!E104-'16-17 NGET'!E104</f>
        <v>0</v>
      </c>
      <c r="F102" s="169">
        <f>'17-18 NGET'!F104-'16-17 NGET'!F104</f>
        <v>0</v>
      </c>
      <c r="G102" s="169">
        <f>'17-18 NGET'!G104-'16-17 NGET'!G104</f>
        <v>0</v>
      </c>
      <c r="H102" s="169">
        <f>'17-18 NGET'!H104-'16-17 NGET'!H104</f>
        <v>0</v>
      </c>
      <c r="I102" s="169">
        <f>'17-18 NGET'!I104-'16-17 NGET'!I104</f>
        <v>0</v>
      </c>
      <c r="J102" s="169">
        <f>'17-18 NGET'!J104-'16-17 NGET'!J104</f>
        <v>0</v>
      </c>
      <c r="K102" s="169">
        <f>'17-18 NGET'!K104-'16-17 NGET'!K104</f>
        <v>0</v>
      </c>
    </row>
    <row r="103" spans="1:11">
      <c r="C103" s="170" t="s">
        <v>371</v>
      </c>
      <c r="D103" s="171">
        <f>'17-18 NGET'!D105-'16-17 NGET'!D105</f>
        <v>0</v>
      </c>
      <c r="E103" s="171">
        <f>'17-18 NGET'!E105-'16-17 NGET'!E105</f>
        <v>0</v>
      </c>
      <c r="F103" s="171">
        <f>'17-18 NGET'!F105-'16-17 NGET'!F105</f>
        <v>0</v>
      </c>
      <c r="G103" s="171">
        <f>'17-18 NGET'!G105-'16-17 NGET'!G105</f>
        <v>0</v>
      </c>
      <c r="H103" s="171">
        <f>'17-18 NGET'!H105-'16-17 NGET'!H105</f>
        <v>0</v>
      </c>
      <c r="I103" s="171">
        <f>'17-18 NGET'!I105-'16-17 NGET'!I105</f>
        <v>0</v>
      </c>
      <c r="J103" s="171">
        <f>'17-18 NGET'!J105-'16-17 NGET'!J105</f>
        <v>0</v>
      </c>
      <c r="K103" s="171">
        <f>'17-18 NGET'!K105-'16-17 NGET'!K105</f>
        <v>0</v>
      </c>
    </row>
    <row r="104" spans="1:11">
      <c r="C104" s="10"/>
      <c r="D104" s="169"/>
      <c r="E104" s="169"/>
      <c r="F104" s="169"/>
      <c r="G104" s="169"/>
      <c r="H104" s="169"/>
      <c r="I104" s="169"/>
      <c r="J104" s="169"/>
      <c r="K104" s="169"/>
    </row>
    <row r="105" spans="1:11">
      <c r="C105" s="11" t="s">
        <v>372</v>
      </c>
      <c r="D105" s="171">
        <f>'17-18 NGET'!D107-'16-17 NGET'!D107</f>
        <v>0</v>
      </c>
      <c r="E105" s="171">
        <f>'17-18 NGET'!E107-'16-17 NGET'!E107</f>
        <v>0</v>
      </c>
      <c r="F105" s="171">
        <f>'17-18 NGET'!F107-'16-17 NGET'!F107</f>
        <v>0</v>
      </c>
      <c r="G105" s="171">
        <f>'17-18 NGET'!G107-'16-17 NGET'!G107</f>
        <v>0</v>
      </c>
      <c r="H105" s="171">
        <f>'17-18 NGET'!H107-'16-17 NGET'!H107</f>
        <v>0</v>
      </c>
      <c r="I105" s="171">
        <f>'17-18 NGET'!I107-'16-17 NGET'!I107</f>
        <v>0</v>
      </c>
      <c r="J105" s="171">
        <f>'17-18 NGET'!J107-'16-17 NGET'!J107</f>
        <v>0</v>
      </c>
      <c r="K105" s="171">
        <f>'17-18 NGET'!K107-'16-17 NGET'!K107</f>
        <v>0</v>
      </c>
    </row>
    <row r="106" spans="1:11">
      <c r="C106" s="10" t="s">
        <v>373</v>
      </c>
      <c r="D106" s="169">
        <f>'17-18 NGET'!D108-'16-17 NGET'!D108</f>
        <v>0</v>
      </c>
      <c r="E106" s="169">
        <f>'17-18 NGET'!E108-'16-17 NGET'!E108</f>
        <v>0</v>
      </c>
      <c r="F106" s="169">
        <f>'17-18 NGET'!F108-'16-17 NGET'!F108</f>
        <v>0</v>
      </c>
      <c r="G106" s="169">
        <f>'17-18 NGET'!G108-'16-17 NGET'!G108</f>
        <v>0</v>
      </c>
      <c r="H106" s="169">
        <f>'17-18 NGET'!H108-'16-17 NGET'!H108</f>
        <v>0</v>
      </c>
      <c r="I106" s="169">
        <f>'17-18 NGET'!I108-'16-17 NGET'!I108</f>
        <v>0</v>
      </c>
      <c r="J106" s="169">
        <f>'17-18 NGET'!J108-'16-17 NGET'!J108</f>
        <v>0</v>
      </c>
      <c r="K106" s="169">
        <f>'17-18 NGET'!K108-'16-17 NGET'!K108</f>
        <v>0</v>
      </c>
    </row>
    <row r="107" spans="1:11">
      <c r="C107" s="11"/>
      <c r="D107" s="171"/>
      <c r="E107" s="171"/>
      <c r="F107" s="171"/>
      <c r="G107" s="171"/>
      <c r="H107" s="171"/>
      <c r="I107" s="171"/>
      <c r="J107" s="171"/>
      <c r="K107" s="171"/>
    </row>
    <row r="108" spans="1:11" ht="13.8" thickBot="1">
      <c r="C108" s="40" t="s">
        <v>374</v>
      </c>
      <c r="D108" s="46">
        <f>'17-18 NGET'!D110-'16-17 NGET'!D110</f>
        <v>0</v>
      </c>
      <c r="E108" s="46">
        <f>'17-18 NGET'!E110-'16-17 NGET'!E110</f>
        <v>0</v>
      </c>
      <c r="F108" s="46">
        <f>'17-18 NGET'!F110-'16-17 NGET'!F110</f>
        <v>0</v>
      </c>
      <c r="G108" s="46">
        <f>'17-18 NGET'!G110-'16-17 NGET'!G110</f>
        <v>0</v>
      </c>
      <c r="H108" s="46">
        <f>'17-18 NGET'!H110-'16-17 NGET'!H110</f>
        <v>0</v>
      </c>
      <c r="I108" s="46">
        <f>'17-18 NGET'!I110-'16-17 NGET'!I110</f>
        <v>0</v>
      </c>
      <c r="J108" s="46">
        <f>'17-18 NGET'!J110-'16-17 NGET'!J110</f>
        <v>0</v>
      </c>
      <c r="K108" s="46">
        <f>'17-18 NGET'!K110-'16-17 NGET'!K110</f>
        <v>0</v>
      </c>
    </row>
    <row r="109" spans="1:11">
      <c r="A109" s="38" t="s">
        <v>364</v>
      </c>
    </row>
    <row r="110" spans="1:11" ht="13.8" thickBot="1">
      <c r="C110" s="38" t="s">
        <v>122</v>
      </c>
    </row>
    <row r="111" spans="1:11" ht="13.8" thickBot="1">
      <c r="C111" s="7" t="s">
        <v>58</v>
      </c>
      <c r="D111" s="8" t="s">
        <v>59</v>
      </c>
      <c r="E111" s="8" t="s">
        <v>60</v>
      </c>
      <c r="F111" s="8" t="s">
        <v>61</v>
      </c>
      <c r="G111" s="8" t="s">
        <v>62</v>
      </c>
      <c r="H111" s="8" t="s">
        <v>63</v>
      </c>
      <c r="I111" s="8" t="s">
        <v>64</v>
      </c>
      <c r="J111" s="8" t="s">
        <v>65</v>
      </c>
      <c r="K111" s="8" t="s">
        <v>66</v>
      </c>
    </row>
    <row r="112" spans="1:11">
      <c r="C112" s="22" t="s">
        <v>91</v>
      </c>
      <c r="D112" s="41">
        <f>'17-18 NGET'!D114-'16-17 NGET'!D114</f>
        <v>0</v>
      </c>
      <c r="E112" s="41">
        <f>'17-18 NGET'!E114-'16-17 NGET'!E114</f>
        <v>-2.3721514920111986E-3</v>
      </c>
      <c r="F112" s="41">
        <f>'17-18 NGET'!F114-'16-17 NGET'!F114</f>
        <v>-2.0347877365622935E-3</v>
      </c>
      <c r="G112" s="41">
        <f>'17-18 NGET'!G114-'16-17 NGET'!G114</f>
        <v>-0.10743688645067095</v>
      </c>
      <c r="H112" s="41">
        <f>'17-18 NGET'!H114-'16-17 NGET'!H114</f>
        <v>-9.1991906386013511E-2</v>
      </c>
      <c r="I112" s="41">
        <f>'17-18 NGET'!I114-'16-17 NGET'!I114</f>
        <v>-7.6546926321356068E-2</v>
      </c>
      <c r="J112" s="41">
        <f>'17-18 NGET'!J114-'16-17 NGET'!J114</f>
        <v>-6.1101946256712836E-2</v>
      </c>
      <c r="K112" s="41">
        <f>'17-18 NGET'!K114-'16-17 NGET'!K114</f>
        <v>-4.5656966192069603E-2</v>
      </c>
    </row>
    <row r="113" spans="1:14">
      <c r="C113" s="10" t="s">
        <v>86</v>
      </c>
      <c r="D113" s="42">
        <f>'17-18 NGET'!D115-'16-17 NGET'!D115</f>
        <v>-2.3721514920040931E-3</v>
      </c>
      <c r="E113" s="42">
        <f>'17-18 NGET'!E115-'16-17 NGET'!E115</f>
        <v>-1.5150291261534221E-6</v>
      </c>
      <c r="F113" s="42">
        <f>'17-18 NGET'!F115-'16-17 NGET'!F115</f>
        <v>-0.10574119393140435</v>
      </c>
      <c r="G113" s="42">
        <f>'17-18 NGET'!G115-'16-17 NGET'!G115</f>
        <v>0</v>
      </c>
      <c r="H113" s="42">
        <f>'17-18 NGET'!H115-'16-17 NGET'!H115</f>
        <v>0</v>
      </c>
      <c r="I113" s="42">
        <f>'17-18 NGET'!I115-'16-17 NGET'!I115</f>
        <v>0</v>
      </c>
      <c r="J113" s="42">
        <f>'17-18 NGET'!J115-'16-17 NGET'!J115</f>
        <v>0</v>
      </c>
      <c r="K113" s="42">
        <f>'17-18 NGET'!K115-'16-17 NGET'!K115</f>
        <v>0</v>
      </c>
    </row>
    <row r="114" spans="1:14">
      <c r="C114" s="11" t="s">
        <v>87</v>
      </c>
      <c r="D114" s="43">
        <f>'17-18 NGET'!D116-'16-17 NGET'!D116</f>
        <v>0</v>
      </c>
      <c r="E114" s="43">
        <f>'17-18 NGET'!E116-'16-17 NGET'!E116</f>
        <v>3.3887878457150578E-4</v>
      </c>
      <c r="F114" s="43">
        <f>'17-18 NGET'!F116-'16-17 NGET'!F116</f>
        <v>3.3909521730279835E-4</v>
      </c>
      <c r="G114" s="43">
        <f>'17-18 NGET'!G116-'16-17 NGET'!G116</f>
        <v>1.5444980064650338E-2</v>
      </c>
      <c r="H114" s="43">
        <f>'17-18 NGET'!H116-'16-17 NGET'!H116</f>
        <v>1.5444980064643232E-2</v>
      </c>
      <c r="I114" s="43">
        <f>'17-18 NGET'!I116-'16-17 NGET'!I116</f>
        <v>1.5444980064650338E-2</v>
      </c>
      <c r="J114" s="43">
        <f>'17-18 NGET'!J116-'16-17 NGET'!J116</f>
        <v>1.5444980064643232E-2</v>
      </c>
      <c r="K114" s="43">
        <f>'17-18 NGET'!K116-'16-17 NGET'!K116</f>
        <v>1.5444980064650338E-2</v>
      </c>
    </row>
    <row r="115" spans="1:14" ht="13.8" thickBot="1">
      <c r="C115" s="13" t="s">
        <v>94</v>
      </c>
      <c r="D115" s="52">
        <f>'17-18 NGET'!D117-'16-17 NGET'!D117</f>
        <v>-2.3721514920111986E-3</v>
      </c>
      <c r="E115" s="52">
        <f>'17-18 NGET'!E117-'16-17 NGET'!E117</f>
        <v>-2.0347877365622935E-3</v>
      </c>
      <c r="F115" s="52">
        <f>'17-18 NGET'!F117-'16-17 NGET'!F117</f>
        <v>-0.10743688645067095</v>
      </c>
      <c r="G115" s="52">
        <f>'17-18 NGET'!G117-'16-17 NGET'!G117</f>
        <v>-9.1991906386013511E-2</v>
      </c>
      <c r="H115" s="52">
        <f>'17-18 NGET'!H117-'16-17 NGET'!H117</f>
        <v>-7.6546926321356068E-2</v>
      </c>
      <c r="I115" s="52">
        <f>'17-18 NGET'!I117-'16-17 NGET'!I117</f>
        <v>-6.1101946256712836E-2</v>
      </c>
      <c r="J115" s="52">
        <f>'17-18 NGET'!J117-'16-17 NGET'!J117</f>
        <v>-4.5656966192069603E-2</v>
      </c>
      <c r="K115" s="52">
        <f>'17-18 NGET'!K117-'16-17 NGET'!K117</f>
        <v>-3.0211986127426371E-2</v>
      </c>
    </row>
    <row r="117" spans="1:14" ht="13.8" thickBot="1">
      <c r="C117" s="38" t="s">
        <v>395</v>
      </c>
    </row>
    <row r="118" spans="1:14" ht="13.8" thickBot="1">
      <c r="C118" s="14" t="s">
        <v>58</v>
      </c>
      <c r="D118" s="15" t="s">
        <v>59</v>
      </c>
      <c r="E118" s="15" t="s">
        <v>60</v>
      </c>
      <c r="F118" s="15" t="s">
        <v>61</v>
      </c>
      <c r="G118" s="15" t="s">
        <v>62</v>
      </c>
      <c r="H118" s="15" t="s">
        <v>63</v>
      </c>
      <c r="I118" s="15" t="s">
        <v>64</v>
      </c>
      <c r="J118" s="15" t="s">
        <v>65</v>
      </c>
      <c r="K118" s="15" t="s">
        <v>66</v>
      </c>
      <c r="L118" s="15" t="s">
        <v>118</v>
      </c>
    </row>
    <row r="119" spans="1:14">
      <c r="C119" s="16"/>
      <c r="D119" s="26"/>
      <c r="E119" s="26"/>
      <c r="F119" s="26"/>
      <c r="G119" s="26"/>
      <c r="H119" s="26"/>
      <c r="I119" s="26"/>
      <c r="J119" s="26"/>
      <c r="K119" s="26"/>
      <c r="L119" s="26"/>
    </row>
    <row r="120" spans="1:14">
      <c r="A120" t="s">
        <v>338</v>
      </c>
      <c r="C120" s="17" t="s">
        <v>119</v>
      </c>
      <c r="D120" s="27">
        <f>'17-18 NGET'!D122-'16-17 NGET'!D122</f>
        <v>0</v>
      </c>
      <c r="E120" s="27">
        <f>'17-18 NGET'!E122-'16-17 NGET'!E122</f>
        <v>0</v>
      </c>
      <c r="F120" s="27">
        <f>'17-18 NGET'!F122-'16-17 NGET'!F122</f>
        <v>0</v>
      </c>
      <c r="G120" s="27">
        <f>'17-18 NGET'!G122-'16-17 NGET'!G122</f>
        <v>0</v>
      </c>
      <c r="H120" s="27">
        <f>'17-18 NGET'!H122-'16-17 NGET'!H122</f>
        <v>0</v>
      </c>
      <c r="I120" s="27">
        <f>'17-18 NGET'!I122-'16-17 NGET'!I122</f>
        <v>0</v>
      </c>
      <c r="J120" s="27">
        <f>'17-18 NGET'!J122-'16-17 NGET'!J122</f>
        <v>0</v>
      </c>
      <c r="K120" s="27">
        <f>'17-18 NGET'!K122-'16-17 NGET'!K122</f>
        <v>0</v>
      </c>
      <c r="L120" s="28">
        <f>'17-18 NGET'!L122-'16-17 NGET'!L122</f>
        <v>0</v>
      </c>
      <c r="N120" s="53"/>
    </row>
    <row r="121" spans="1:14">
      <c r="C121" s="18" t="s">
        <v>386</v>
      </c>
      <c r="D121" s="29">
        <f>'17-18 NGET'!D123-'16-17 NGET'!D123</f>
        <v>0</v>
      </c>
      <c r="E121" s="29">
        <f>'17-18 NGET'!E123-'16-17 NGET'!E123</f>
        <v>0</v>
      </c>
      <c r="F121" s="29">
        <f>'17-18 NGET'!F123-'16-17 NGET'!F123</f>
        <v>0</v>
      </c>
      <c r="G121" s="29">
        <f>'17-18 NGET'!G123-'16-17 NGET'!G123</f>
        <v>0</v>
      </c>
      <c r="H121" s="29">
        <f>'17-18 NGET'!H123-'16-17 NGET'!H123</f>
        <v>0</v>
      </c>
      <c r="I121" s="29">
        <f>'17-18 NGET'!I123-'16-17 NGET'!I123</f>
        <v>0</v>
      </c>
      <c r="J121" s="29">
        <f>'17-18 NGET'!J123-'16-17 NGET'!J123</f>
        <v>0</v>
      </c>
      <c r="K121" s="29">
        <f>'17-18 NGET'!K123-'16-17 NGET'!K123</f>
        <v>0</v>
      </c>
      <c r="L121" s="30">
        <f>'17-18 NGET'!L123-'16-17 NGET'!L123</f>
        <v>0</v>
      </c>
      <c r="N121" s="53"/>
    </row>
    <row r="122" spans="1:14">
      <c r="C122" s="19" t="s">
        <v>71</v>
      </c>
      <c r="D122" s="31">
        <f>'17-18 NGET'!D124-'16-17 NGET'!D124</f>
        <v>0</v>
      </c>
      <c r="E122" s="31">
        <f>'17-18 NGET'!E124-'16-17 NGET'!E124</f>
        <v>0</v>
      </c>
      <c r="F122" s="31">
        <f>'17-18 NGET'!F124-'16-17 NGET'!F124</f>
        <v>0</v>
      </c>
      <c r="G122" s="31">
        <f>'17-18 NGET'!G124-'16-17 NGET'!G124</f>
        <v>0</v>
      </c>
      <c r="H122" s="31">
        <f>'17-18 NGET'!H124-'16-17 NGET'!H124</f>
        <v>0</v>
      </c>
      <c r="I122" s="31">
        <f>'17-18 NGET'!I124-'16-17 NGET'!I124</f>
        <v>0</v>
      </c>
      <c r="J122" s="31">
        <f>'17-18 NGET'!J124-'16-17 NGET'!J124</f>
        <v>0</v>
      </c>
      <c r="K122" s="31">
        <f>'17-18 NGET'!K124-'16-17 NGET'!K124</f>
        <v>0</v>
      </c>
      <c r="L122" s="28">
        <f>'17-18 NGET'!L124-'16-17 NGET'!L124</f>
        <v>0</v>
      </c>
    </row>
    <row r="123" spans="1:14">
      <c r="A123" t="s">
        <v>346</v>
      </c>
      <c r="C123" s="17" t="s">
        <v>121</v>
      </c>
      <c r="D123" s="27">
        <f>'17-18 NGET'!D125-'16-17 NGET'!D125</f>
        <v>-1.5898096867985601E-2</v>
      </c>
      <c r="E123" s="27">
        <f>'17-18 NGET'!E125-'16-17 NGET'!E125</f>
        <v>-3.1552130081990981E-6</v>
      </c>
      <c r="F123" s="27">
        <f>'17-18 NGET'!F125-'16-17 NGET'!F125</f>
        <v>2.5368847075027432</v>
      </c>
      <c r="G123" s="27">
        <f>'17-18 NGET'!G125-'16-17 NGET'!G125</f>
        <v>0</v>
      </c>
      <c r="H123" s="27">
        <f>'17-18 NGET'!H125-'16-17 NGET'!H125</f>
        <v>0</v>
      </c>
      <c r="I123" s="27">
        <f>'17-18 NGET'!I125-'16-17 NGET'!I125</f>
        <v>0</v>
      </c>
      <c r="J123" s="27">
        <f>'17-18 NGET'!J125-'16-17 NGET'!J125</f>
        <v>0</v>
      </c>
      <c r="K123" s="27">
        <f>'17-18 NGET'!K125-'16-17 NGET'!K125</f>
        <v>0</v>
      </c>
      <c r="L123" s="27">
        <f>'17-18 NGET'!L125-'16-17 NGET'!L125</f>
        <v>2.5209834554217423</v>
      </c>
    </row>
    <row r="124" spans="1:14">
      <c r="C124" s="18" t="s">
        <v>387</v>
      </c>
      <c r="D124" s="29">
        <f>'17-18 NGET'!D126-'16-17 NGET'!D126</f>
        <v>-1.1081877269703E-4</v>
      </c>
      <c r="E124" s="29">
        <f>'17-18 NGET'!E126-'16-17 NGET'!E126</f>
        <v>-7.0692492499802029E-6</v>
      </c>
      <c r="F124" s="29">
        <f>'17-18 NGET'!F126-'16-17 NGET'!F126</f>
        <v>-3.25049927179316</v>
      </c>
      <c r="G124" s="29">
        <f>'17-18 NGET'!G126-'16-17 NGET'!G126</f>
        <v>0</v>
      </c>
      <c r="H124" s="29">
        <f>'17-18 NGET'!H126-'16-17 NGET'!H126</f>
        <v>0</v>
      </c>
      <c r="I124" s="29">
        <f>'17-18 NGET'!I126-'16-17 NGET'!I126</f>
        <v>0</v>
      </c>
      <c r="J124" s="29">
        <f>'17-18 NGET'!J126-'16-17 NGET'!J126</f>
        <v>0</v>
      </c>
      <c r="K124" s="29">
        <f>'17-18 NGET'!K126-'16-17 NGET'!K126</f>
        <v>0</v>
      </c>
      <c r="L124" s="29">
        <f>'17-18 NGET'!L126-'16-17 NGET'!L126</f>
        <v>-3.2506171598150786</v>
      </c>
    </row>
    <row r="125" spans="1:14">
      <c r="C125" s="19" t="s">
        <v>77</v>
      </c>
      <c r="D125" s="31">
        <f>'17-18 NGET'!D127-'16-17 NGET'!D127</f>
        <v>-1.6008915640696841E-2</v>
      </c>
      <c r="E125" s="31">
        <f>'17-18 NGET'!E127-'16-17 NGET'!E127</f>
        <v>-1.0224462272390156E-5</v>
      </c>
      <c r="F125" s="31">
        <f>'17-18 NGET'!F127-'16-17 NGET'!F127</f>
        <v>-0.7136145642904097</v>
      </c>
      <c r="G125" s="31">
        <f>'17-18 NGET'!G127-'16-17 NGET'!G127</f>
        <v>0</v>
      </c>
      <c r="H125" s="31">
        <f>'17-18 NGET'!H127-'16-17 NGET'!H127</f>
        <v>0</v>
      </c>
      <c r="I125" s="31">
        <f>'17-18 NGET'!I127-'16-17 NGET'!I127</f>
        <v>0</v>
      </c>
      <c r="J125" s="31">
        <f>'17-18 NGET'!J127-'16-17 NGET'!J127</f>
        <v>0</v>
      </c>
      <c r="K125" s="31">
        <f>'17-18 NGET'!K127-'16-17 NGET'!K127</f>
        <v>0</v>
      </c>
      <c r="L125" s="31">
        <f>'17-18 NGET'!L127-'16-17 NGET'!L127</f>
        <v>-0.7296337043933363</v>
      </c>
    </row>
    <row r="126" spans="1:14">
      <c r="A126" t="s">
        <v>233</v>
      </c>
      <c r="C126" s="17" t="s">
        <v>388</v>
      </c>
      <c r="D126" s="27">
        <f>'17-18 NGET'!D128-'16-17 NGET'!D128</f>
        <v>-8.4434792465870601E-3</v>
      </c>
      <c r="E126" s="27">
        <f>'17-18 NGET'!E128-'16-17 NGET'!E128</f>
        <v>-1.6757336283035329E-6</v>
      </c>
      <c r="F126" s="27">
        <f>'17-18 NGET'!F128-'16-17 NGET'!F128</f>
        <v>1.3473394681547077</v>
      </c>
      <c r="G126" s="27">
        <f>'17-18 NGET'!G128-'16-17 NGET'!G128</f>
        <v>0</v>
      </c>
      <c r="H126" s="27">
        <f>'17-18 NGET'!H128-'16-17 NGET'!H128</f>
        <v>0</v>
      </c>
      <c r="I126" s="27">
        <f>'17-18 NGET'!I128-'16-17 NGET'!I128</f>
        <v>0</v>
      </c>
      <c r="J126" s="27">
        <f>'17-18 NGET'!J128-'16-17 NGET'!J128</f>
        <v>0</v>
      </c>
      <c r="K126" s="27">
        <f>'17-18 NGET'!K128-'16-17 NGET'!K128</f>
        <v>0</v>
      </c>
      <c r="L126" s="27">
        <f>'17-18 NGET'!L128-'16-17 NGET'!L128</f>
        <v>1.3388943131744782</v>
      </c>
    </row>
    <row r="127" spans="1:14">
      <c r="C127" s="18" t="s">
        <v>389</v>
      </c>
      <c r="D127" s="29">
        <f>'17-18 NGET'!D129-'16-17 NGET'!D129</f>
        <v>-5.8855850170402846E-5</v>
      </c>
      <c r="E127" s="29">
        <f>'17-18 NGET'!E129-'16-17 NGET'!E129</f>
        <v>-3.7544782713894165E-6</v>
      </c>
      <c r="F127" s="29">
        <f>'17-18 NGET'!F129-'16-17 NGET'!F129</f>
        <v>-1.7263401632493469</v>
      </c>
      <c r="G127" s="29">
        <f>'17-18 NGET'!G129-'16-17 NGET'!G129</f>
        <v>0</v>
      </c>
      <c r="H127" s="29">
        <f>'17-18 NGET'!H129-'16-17 NGET'!H129</f>
        <v>0</v>
      </c>
      <c r="I127" s="29">
        <f>'17-18 NGET'!I129-'16-17 NGET'!I129</f>
        <v>0</v>
      </c>
      <c r="J127" s="29">
        <f>'17-18 NGET'!J129-'16-17 NGET'!J129</f>
        <v>0</v>
      </c>
      <c r="K127" s="29">
        <f>'17-18 NGET'!K129-'16-17 NGET'!K129</f>
        <v>0</v>
      </c>
      <c r="L127" s="29">
        <f>'17-18 NGET'!L129-'16-17 NGET'!L129</f>
        <v>-1.7264027735778882</v>
      </c>
    </row>
    <row r="128" spans="1:14">
      <c r="C128" s="19" t="s">
        <v>78</v>
      </c>
      <c r="D128" s="31">
        <f>'17-18 NGET'!D130-'16-17 NGET'!D130</f>
        <v>-8.5023350967503575E-3</v>
      </c>
      <c r="E128" s="31">
        <f>'17-18 NGET'!E130-'16-17 NGET'!E130</f>
        <v>-5.4302118996929494E-6</v>
      </c>
      <c r="F128" s="31">
        <f>'17-18 NGET'!F130-'16-17 NGET'!F130</f>
        <v>-0.37900069509463208</v>
      </c>
      <c r="G128" s="31">
        <f>'17-18 NGET'!G130-'16-17 NGET'!G130</f>
        <v>0</v>
      </c>
      <c r="H128" s="31">
        <f>'17-18 NGET'!H130-'16-17 NGET'!H130</f>
        <v>0</v>
      </c>
      <c r="I128" s="31">
        <f>'17-18 NGET'!I130-'16-17 NGET'!I130</f>
        <v>0</v>
      </c>
      <c r="J128" s="31">
        <f>'17-18 NGET'!J130-'16-17 NGET'!J130</f>
        <v>0</v>
      </c>
      <c r="K128" s="31">
        <f>'17-18 NGET'!K130-'16-17 NGET'!K130</f>
        <v>0</v>
      </c>
      <c r="L128" s="31">
        <f>'17-18 NGET'!L130-'16-17 NGET'!L130</f>
        <v>-0.38750846040329634</v>
      </c>
    </row>
    <row r="129" spans="1:12">
      <c r="C129" s="20"/>
      <c r="D129" s="32"/>
      <c r="E129" s="32"/>
      <c r="F129" s="32"/>
      <c r="G129" s="32"/>
      <c r="H129" s="32"/>
      <c r="I129" s="32"/>
      <c r="J129" s="32"/>
      <c r="K129" s="32"/>
      <c r="L129" s="33"/>
    </row>
    <row r="130" spans="1:12">
      <c r="C130" s="17" t="s">
        <v>79</v>
      </c>
      <c r="D130" s="27">
        <f>'17-18 NGET'!D132-'16-17 NGET'!D132</f>
        <v>-6.1301836047817915E-3</v>
      </c>
      <c r="E130" s="27">
        <f>'17-18 NGET'!E132-'16-17 NGET'!E132</f>
        <v>-3.915182787750382E-6</v>
      </c>
      <c r="F130" s="27">
        <f>'17-18 NGET'!F132-'16-17 NGET'!F132</f>
        <v>-0.27325950116322417</v>
      </c>
      <c r="G130" s="27">
        <f>'17-18 NGET'!G132-'16-17 NGET'!G132</f>
        <v>0</v>
      </c>
      <c r="H130" s="27">
        <f>'17-18 NGET'!H132-'16-17 NGET'!H132</f>
        <v>0</v>
      </c>
      <c r="I130" s="27">
        <f>'17-18 NGET'!I132-'16-17 NGET'!I132</f>
        <v>0</v>
      </c>
      <c r="J130" s="27">
        <f>'17-18 NGET'!J132-'16-17 NGET'!J132</f>
        <v>0</v>
      </c>
      <c r="K130" s="27">
        <f>'17-18 NGET'!K132-'16-17 NGET'!K132</f>
        <v>0</v>
      </c>
      <c r="L130" s="28">
        <f>'17-18 NGET'!L132-'16-17 NGET'!L132</f>
        <v>-0.27939359995082214</v>
      </c>
    </row>
    <row r="131" spans="1:12">
      <c r="C131" s="18" t="s">
        <v>80</v>
      </c>
      <c r="D131" s="29">
        <f>'17-18 NGET'!D133-'16-17 NGET'!D133</f>
        <v>-2.3721514920040931E-3</v>
      </c>
      <c r="E131" s="29">
        <f>'17-18 NGET'!E133-'16-17 NGET'!E133</f>
        <v>-1.5150291261534221E-6</v>
      </c>
      <c r="F131" s="29">
        <f>'17-18 NGET'!F133-'16-17 NGET'!F133</f>
        <v>-0.10574119393140435</v>
      </c>
      <c r="G131" s="29">
        <f>'17-18 NGET'!G133-'16-17 NGET'!G133</f>
        <v>0</v>
      </c>
      <c r="H131" s="29">
        <f>'17-18 NGET'!H133-'16-17 NGET'!H133</f>
        <v>0</v>
      </c>
      <c r="I131" s="29">
        <f>'17-18 NGET'!I133-'16-17 NGET'!I133</f>
        <v>0</v>
      </c>
      <c r="J131" s="29">
        <f>'17-18 NGET'!J133-'16-17 NGET'!J133</f>
        <v>0</v>
      </c>
      <c r="K131" s="29">
        <f>'17-18 NGET'!K133-'16-17 NGET'!K133</f>
        <v>0</v>
      </c>
      <c r="L131" s="30">
        <f>'17-18 NGET'!L133-'16-17 NGET'!L133</f>
        <v>-0.10811486045253105</v>
      </c>
    </row>
    <row r="132" spans="1:12" ht="13.8" thickBot="1">
      <c r="C132" s="21" t="s">
        <v>390</v>
      </c>
      <c r="D132" s="34">
        <f>'17-18 NGET'!D134-'16-17 NGET'!D134</f>
        <v>-8.5023350967787792E-3</v>
      </c>
      <c r="E132" s="34">
        <f>'17-18 NGET'!E134-'16-17 NGET'!E134</f>
        <v>-5.4302119139038041E-6</v>
      </c>
      <c r="F132" s="34">
        <f>'17-18 NGET'!F134-'16-17 NGET'!F134</f>
        <v>-0.37900069509463208</v>
      </c>
      <c r="G132" s="34">
        <f>'17-18 NGET'!G134-'16-17 NGET'!G134</f>
        <v>0</v>
      </c>
      <c r="H132" s="34">
        <f>'17-18 NGET'!H134-'16-17 NGET'!H134</f>
        <v>0</v>
      </c>
      <c r="I132" s="34">
        <f>'17-18 NGET'!I134-'16-17 NGET'!I134</f>
        <v>0</v>
      </c>
      <c r="J132" s="34">
        <f>'17-18 NGET'!J134-'16-17 NGET'!J134</f>
        <v>0</v>
      </c>
      <c r="K132" s="34">
        <f>'17-18 NGET'!K134-'16-17 NGET'!K134</f>
        <v>0</v>
      </c>
      <c r="L132" s="35">
        <f>'17-18 NGET'!L134-'16-17 NGET'!L134</f>
        <v>-0.38750846040329634</v>
      </c>
    </row>
    <row r="134" spans="1:12" ht="13.8" thickBot="1">
      <c r="A134" s="38" t="s">
        <v>375</v>
      </c>
    </row>
    <row r="135" spans="1:12" ht="13.8" thickBot="1">
      <c r="C135" s="7" t="s">
        <v>58</v>
      </c>
      <c r="D135" s="8" t="s">
        <v>59</v>
      </c>
      <c r="E135" s="8" t="s">
        <v>60</v>
      </c>
      <c r="F135" s="8" t="s">
        <v>61</v>
      </c>
      <c r="G135" s="8" t="s">
        <v>62</v>
      </c>
      <c r="H135" s="8" t="s">
        <v>63</v>
      </c>
      <c r="I135" s="8" t="s">
        <v>64</v>
      </c>
      <c r="J135" s="8" t="s">
        <v>65</v>
      </c>
      <c r="K135" s="8" t="s">
        <v>66</v>
      </c>
    </row>
    <row r="136" spans="1:12">
      <c r="C136" s="22" t="s">
        <v>79</v>
      </c>
      <c r="D136" s="41">
        <f>'17-18 NGET'!D138-'16-17 NGET'!D138</f>
        <v>-6.1301836047817915E-3</v>
      </c>
      <c r="E136" s="41">
        <f>'17-18 NGET'!E138-'16-17 NGET'!E138</f>
        <v>-3.915182787750382E-6</v>
      </c>
      <c r="F136" s="41">
        <f>'17-18 NGET'!F138-'16-17 NGET'!F138</f>
        <v>-0.27325950116322417</v>
      </c>
      <c r="G136" s="41">
        <f>'17-18 NGET'!G138-'16-17 NGET'!G138</f>
        <v>0</v>
      </c>
      <c r="H136" s="41">
        <f>'17-18 NGET'!H138-'16-17 NGET'!H138</f>
        <v>0</v>
      </c>
      <c r="I136" s="41">
        <f>'17-18 NGET'!I138-'16-17 NGET'!I138</f>
        <v>0</v>
      </c>
      <c r="J136" s="41">
        <f>'17-18 NGET'!J138-'16-17 NGET'!J138</f>
        <v>0</v>
      </c>
      <c r="K136" s="41">
        <f>'17-18 NGET'!K138-'16-17 NGET'!K138</f>
        <v>0</v>
      </c>
      <c r="L136" s="28"/>
    </row>
    <row r="137" spans="1:12">
      <c r="C137" s="10" t="s">
        <v>98</v>
      </c>
      <c r="D137" s="42">
        <f>'17-18 NGET'!D139-'16-17 NGET'!D139</f>
        <v>0</v>
      </c>
      <c r="E137" s="42">
        <f>'17-18 NGET'!E139-'16-17 NGET'!E139</f>
        <v>0</v>
      </c>
      <c r="F137" s="42">
        <f>'17-18 NGET'!F139-'16-17 NGET'!F139</f>
        <v>0</v>
      </c>
      <c r="G137" s="42">
        <f>'17-18 NGET'!G139-'16-17 NGET'!G139</f>
        <v>0</v>
      </c>
      <c r="H137" s="42">
        <f>'17-18 NGET'!H139-'16-17 NGET'!H139</f>
        <v>0</v>
      </c>
      <c r="I137" s="42">
        <f>'17-18 NGET'!I139-'16-17 NGET'!I139</f>
        <v>0</v>
      </c>
      <c r="J137" s="42">
        <f>'17-18 NGET'!J139-'16-17 NGET'!J139</f>
        <v>0</v>
      </c>
      <c r="K137" s="42">
        <f>'17-18 NGET'!K139-'16-17 NGET'!K139</f>
        <v>0</v>
      </c>
      <c r="L137" s="28"/>
    </row>
    <row r="138" spans="1:12">
      <c r="C138" s="11" t="s">
        <v>99</v>
      </c>
      <c r="D138" s="43">
        <f>'17-18 NGET'!D140-'16-17 NGET'!D140</f>
        <v>0</v>
      </c>
      <c r="E138" s="43">
        <f>'17-18 NGET'!E140-'16-17 NGET'!E140</f>
        <v>0</v>
      </c>
      <c r="F138" s="43">
        <f>'17-18 NGET'!F140-'16-17 NGET'!F140</f>
        <v>0</v>
      </c>
      <c r="G138" s="43">
        <f>'17-18 NGET'!G140-'16-17 NGET'!G140</f>
        <v>0</v>
      </c>
      <c r="H138" s="43">
        <f>'17-18 NGET'!H140-'16-17 NGET'!H140</f>
        <v>-1.063295233292294E-3</v>
      </c>
      <c r="I138" s="43">
        <f>'17-18 NGET'!I140-'16-17 NGET'!I140</f>
        <v>-2.215481948089959E-3</v>
      </c>
      <c r="J138" s="43">
        <f>'17-18 NGET'!J140-'16-17 NGET'!J140</f>
        <v>-3.4621338852645067E-3</v>
      </c>
      <c r="K138" s="43">
        <f>'17-18 NGET'!K140-'16-17 NGET'!K140</f>
        <v>-4.8091354561528021E-3</v>
      </c>
      <c r="L138" s="28"/>
    </row>
    <row r="139" spans="1:12">
      <c r="C139" s="10" t="s">
        <v>100</v>
      </c>
      <c r="D139" s="42">
        <f>'17-18 NGET'!D141-'16-17 NGET'!D141</f>
        <v>0</v>
      </c>
      <c r="E139" s="42">
        <f>'17-18 NGET'!E141-'16-17 NGET'!E141</f>
        <v>0</v>
      </c>
      <c r="F139" s="42">
        <f>'17-18 NGET'!F141-'16-17 NGET'!F141</f>
        <v>0</v>
      </c>
      <c r="G139" s="42">
        <f>'17-18 NGET'!G141-'16-17 NGET'!G141</f>
        <v>0</v>
      </c>
      <c r="H139" s="42">
        <f>'17-18 NGET'!H141-'16-17 NGET'!H141</f>
        <v>0</v>
      </c>
      <c r="I139" s="42">
        <f>'17-18 NGET'!I141-'16-17 NGET'!I141</f>
        <v>0</v>
      </c>
      <c r="J139" s="42">
        <f>'17-18 NGET'!J141-'16-17 NGET'!J141</f>
        <v>0</v>
      </c>
      <c r="K139" s="42">
        <f>'17-18 NGET'!K141-'16-17 NGET'!K141</f>
        <v>0</v>
      </c>
      <c r="L139" s="28"/>
    </row>
    <row r="140" spans="1:12">
      <c r="C140" s="11" t="s">
        <v>101</v>
      </c>
      <c r="D140" s="43">
        <f>'17-18 NGET'!D142-'16-17 NGET'!D142</f>
        <v>0</v>
      </c>
      <c r="E140" s="43">
        <f>'17-18 NGET'!E142-'16-17 NGET'!E142</f>
        <v>0</v>
      </c>
      <c r="F140" s="43">
        <f>'17-18 NGET'!F142-'16-17 NGET'!F142</f>
        <v>0</v>
      </c>
      <c r="G140" s="43">
        <f>'17-18 NGET'!G142-'16-17 NGET'!G142</f>
        <v>0</v>
      </c>
      <c r="H140" s="43">
        <f>'17-18 NGET'!H142-'16-17 NGET'!H142</f>
        <v>0</v>
      </c>
      <c r="I140" s="43">
        <f>'17-18 NGET'!I142-'16-17 NGET'!I142</f>
        <v>0</v>
      </c>
      <c r="J140" s="43">
        <f>'17-18 NGET'!J142-'16-17 NGET'!J142</f>
        <v>0</v>
      </c>
      <c r="K140" s="43">
        <f>'17-18 NGET'!K142-'16-17 NGET'!K142</f>
        <v>0</v>
      </c>
      <c r="L140" s="28"/>
    </row>
    <row r="141" spans="1:12">
      <c r="C141" s="10" t="s">
        <v>102</v>
      </c>
      <c r="D141" s="42">
        <f>'17-18 NGET'!D143-'16-17 NGET'!D143</f>
        <v>-1.646442877107468E-3</v>
      </c>
      <c r="E141" s="42">
        <f>'17-18 NGET'!E143-'16-17 NGET'!E143</f>
        <v>-6.3693503057467016E-3</v>
      </c>
      <c r="F141" s="42">
        <f>'17-18 NGET'!F143-'16-17 NGET'!F143</f>
        <v>0.70159173205204572</v>
      </c>
      <c r="G141" s="42">
        <f>'17-18 NGET'!G143-'16-17 NGET'!G143</f>
        <v>-5.5651028119987012E-2</v>
      </c>
      <c r="H141" s="42">
        <f>'17-18 NGET'!H143-'16-17 NGET'!H143</f>
        <v>-3.81185052824633E-2</v>
      </c>
      <c r="I141" s="42">
        <f>'17-18 NGET'!I143-'16-17 NGET'!I143</f>
        <v>-2.2814681643747919E-2</v>
      </c>
      <c r="J141" s="42">
        <f>'17-18 NGET'!J143-'16-17 NGET'!J143</f>
        <v>-1.247973695826321E-2</v>
      </c>
      <c r="K141" s="42">
        <f>'17-18 NGET'!K143-'16-17 NGET'!K143</f>
        <v>-4.0561194021859759E-3</v>
      </c>
      <c r="L141" s="28"/>
    </row>
    <row r="142" spans="1:12">
      <c r="C142" s="11" t="s">
        <v>103</v>
      </c>
      <c r="D142" s="43">
        <f>'17-18 NGET'!D144-'16-17 NGET'!D144</f>
        <v>-5.1639536266634423E-5</v>
      </c>
      <c r="E142" s="43">
        <f>'17-18 NGET'!E144-'16-17 NGET'!E144</f>
        <v>-4.3462294086182851E-4</v>
      </c>
      <c r="F142" s="43">
        <f>'17-18 NGET'!F144-'16-17 NGET'!F144</f>
        <v>-2.6126208070138546E-3</v>
      </c>
      <c r="G142" s="43">
        <f>'17-18 NGET'!G144-'16-17 NGET'!G144</f>
        <v>-1.9582017793215556E-2</v>
      </c>
      <c r="H142" s="43">
        <f>'17-18 NGET'!H144-'16-17 NGET'!H144</f>
        <v>-0.13301811256841489</v>
      </c>
      <c r="I142" s="43">
        <f>'17-18 NGET'!I144-'16-17 NGET'!I144</f>
        <v>-0.13401633376148681</v>
      </c>
      <c r="J142" s="43">
        <f>'17-18 NGET'!J144-'16-17 NGET'!J144</f>
        <v>-0.13309180244960572</v>
      </c>
      <c r="K142" s="43">
        <f>'17-18 NGET'!K144-'16-17 NGET'!K144</f>
        <v>-0.13246286744129065</v>
      </c>
      <c r="L142" s="28"/>
    </row>
    <row r="143" spans="1:12">
      <c r="C143" s="11" t="s">
        <v>169</v>
      </c>
      <c r="D143" s="43">
        <f>'17-18 NGET'!D145-'16-17 NGET'!D145</f>
        <v>0</v>
      </c>
      <c r="E143" s="43">
        <f>'17-18 NGET'!E145-'16-17 NGET'!E145</f>
        <v>0</v>
      </c>
      <c r="F143" s="43">
        <f>'17-18 NGET'!F145-'16-17 NGET'!F145</f>
        <v>0</v>
      </c>
      <c r="G143" s="43">
        <f>'17-18 NGET'!G145-'16-17 NGET'!G145</f>
        <v>0</v>
      </c>
      <c r="H143" s="43">
        <f>'17-18 NGET'!H145-'16-17 NGET'!H145</f>
        <v>-2.1447960614731088E-3</v>
      </c>
      <c r="I143" s="43">
        <f>'17-18 NGET'!I145-'16-17 NGET'!I145</f>
        <v>-4.4688970736852518E-3</v>
      </c>
      <c r="J143" s="43">
        <f>'17-18 NGET'!J145-'16-17 NGET'!J145</f>
        <v>-6.9835459512090914E-3</v>
      </c>
      <c r="K143" s="43">
        <f>'17-18 NGET'!K145-'16-17 NGET'!K145</f>
        <v>-9.700612268804587E-3</v>
      </c>
      <c r="L143" s="28"/>
    </row>
    <row r="144" spans="1:12" ht="13.8" thickBot="1">
      <c r="C144" s="13" t="s">
        <v>107</v>
      </c>
      <c r="D144" s="52">
        <f>'17-18 NGET'!D146-'16-17 NGET'!D146</f>
        <v>-7.828266018151453E-3</v>
      </c>
      <c r="E144" s="52">
        <f>'17-18 NGET'!E146-'16-17 NGET'!E146</f>
        <v>-6.8078884293925057E-3</v>
      </c>
      <c r="F144" s="52">
        <f>'17-18 NGET'!F146-'16-17 NGET'!F146</f>
        <v>0.42571961008181347</v>
      </c>
      <c r="G144" s="52">
        <f>'17-18 NGET'!G146-'16-17 NGET'!G146</f>
        <v>-7.523304591320823E-2</v>
      </c>
      <c r="H144" s="52">
        <f>'17-18 NGET'!H146-'16-17 NGET'!H146</f>
        <v>-0.17434470914562894</v>
      </c>
      <c r="I144" s="52">
        <f>'17-18 NGET'!I146-'16-17 NGET'!I146</f>
        <v>-0.16351539442698027</v>
      </c>
      <c r="J144" s="52">
        <f>'17-18 NGET'!J146-'16-17 NGET'!J146</f>
        <v>-0.15601721924431899</v>
      </c>
      <c r="K144" s="52">
        <f>'17-18 NGET'!K146-'16-17 NGET'!K146</f>
        <v>-0.15102873456842758</v>
      </c>
      <c r="L144" s="28"/>
    </row>
    <row r="145" spans="4:12">
      <c r="D145" s="53"/>
      <c r="E145" s="53"/>
      <c r="F145" s="53"/>
      <c r="G145" s="53"/>
      <c r="H145" s="53"/>
      <c r="I145" s="53"/>
      <c r="J145" s="53"/>
      <c r="K145" s="53"/>
      <c r="L145" s="53"/>
    </row>
    <row r="146" spans="4:12">
      <c r="E146" t="s">
        <v>397</v>
      </c>
      <c r="F146" s="53"/>
      <c r="H146" s="53">
        <f>D144*(1+'NGET summary'!D100)*(1+'NGET summary'!E100)*(1+'NGET summary'!F100)*(1+'NGET summary'!G100)+E144*(1+'NGET summary'!E100)*(1+'NGET summary'!F100)*(1+'NGET summary'!G100)+F144*(1+'NGET summary'!F100)*(1+'NGET summary'!G100)+G144*(1+'NGET summary'!G100)+H144</f>
        <v>0.19314790998075471</v>
      </c>
    </row>
    <row r="147" spans="4:12">
      <c r="E147" t="s">
        <v>201</v>
      </c>
      <c r="F147" s="53"/>
      <c r="H147" s="53">
        <f>H146-'ET workings 17-18'!H236+'NGET differences 16-17'!H144+'NGET differences 15-16'!H144+'NGET differences 14-15'!H144</f>
        <v>-5.3290705182007514E-14</v>
      </c>
    </row>
  </sheetData>
  <pageMargins left="0.7" right="0.7" top="0.75" bottom="0.75" header="0.3" footer="0.3"/>
  <pageSetup paperSize="9"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AG147"/>
  <sheetViews>
    <sheetView topLeftCell="A130" workbookViewId="0">
      <selection activeCell="M109" sqref="M109"/>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381</v>
      </c>
      <c r="C2" s="1" t="s">
        <v>384</v>
      </c>
      <c r="D2" s="2" t="s">
        <v>40</v>
      </c>
      <c r="E2" s="47" t="s">
        <v>41</v>
      </c>
      <c r="G2" s="112" t="s">
        <v>362</v>
      </c>
      <c r="H2" s="113" t="str">
        <f>RPI!$B$1</f>
        <v>Updated Oct 2019</v>
      </c>
      <c r="J2" s="224" t="s">
        <v>398</v>
      </c>
      <c r="K2">
        <f>1-0.4689</f>
        <v>0.53110000000000002</v>
      </c>
    </row>
    <row r="3" spans="1:11" ht="15.6" thickBot="1">
      <c r="C3" s="4" t="s">
        <v>42</v>
      </c>
      <c r="D3" s="64">
        <f>SUMPRODUCT(D81:K81,RPI!$E$2:$L$2)/1000</f>
        <v>1.1995730551067034</v>
      </c>
      <c r="E3" s="232">
        <f>L81/1000</f>
        <v>0.99074235280407696</v>
      </c>
    </row>
    <row r="4" spans="1:11" ht="15.6" thickBot="1">
      <c r="C4" s="3" t="s">
        <v>43</v>
      </c>
      <c r="D4" s="62">
        <f>SUMPRODUCT(D82:K82,RPI!$E$2:$L$2)/1000</f>
        <v>5.6579024763378332</v>
      </c>
      <c r="E4" s="63">
        <f t="shared" ref="E4:E8" si="0">L82/1000</f>
        <v>4.4564174806639745</v>
      </c>
    </row>
    <row r="5" spans="1:11" ht="15.6" thickBot="1">
      <c r="C5" s="4" t="s">
        <v>44</v>
      </c>
      <c r="D5" s="64">
        <f>SUMPRODUCT(D83:K83,RPI!$E$2:$L$2)/1000</f>
        <v>4.0458321386556815</v>
      </c>
      <c r="E5" s="232">
        <f t="shared" si="0"/>
        <v>3.2566053171406444</v>
      </c>
    </row>
    <row r="6" spans="1:11" ht="15.6" thickBot="1">
      <c r="C6" s="3" t="s">
        <v>45</v>
      </c>
      <c r="D6" s="62">
        <f>SUMPRODUCT(D84:K84,RPI!$E$2:$L$2)/1000</f>
        <v>0.21697059091807439</v>
      </c>
      <c r="E6" s="63">
        <f t="shared" si="0"/>
        <v>0.16746373793475025</v>
      </c>
    </row>
    <row r="7" spans="1:11" ht="15.6" thickBot="1">
      <c r="C7" s="4" t="s">
        <v>46</v>
      </c>
      <c r="D7" s="64">
        <f>SUMPRODUCT(D85:K85,RPI!$E$2:$L$2)/1000</f>
        <v>2.0550636343973276</v>
      </c>
      <c r="E7" s="232">
        <f t="shared" si="0"/>
        <v>1.623853135909078</v>
      </c>
    </row>
    <row r="8" spans="1:11" ht="15.6" thickBot="1">
      <c r="C8" s="3" t="s">
        <v>47</v>
      </c>
      <c r="D8" s="62">
        <f>SUMPRODUCT(D86:K86,RPI!$E$2:$L$2)/1000</f>
        <v>-1.0814797006502168</v>
      </c>
      <c r="E8" s="63">
        <f t="shared" si="0"/>
        <v>-0.90204653487912634</v>
      </c>
    </row>
    <row r="9" spans="1:11" ht="16.2" thickBot="1">
      <c r="C9" s="5" t="s">
        <v>48</v>
      </c>
      <c r="D9" s="67">
        <f>SUM(D3:D8)</f>
        <v>12.093862194765405</v>
      </c>
      <c r="E9" s="233">
        <f>SUM(E3:E8)</f>
        <v>9.5930354895733974</v>
      </c>
    </row>
    <row r="10" spans="1:11" ht="15.6" thickBot="1">
      <c r="C10" s="3" t="s">
        <v>52</v>
      </c>
      <c r="D10" s="62">
        <f>SUMPRODUCT(D88:K88,RPI!$E$2:$L$2)/1000</f>
        <v>0.89416672601474101</v>
      </c>
      <c r="E10" s="63">
        <f>L88/1000</f>
        <v>0.70798416071864323</v>
      </c>
    </row>
    <row r="11" spans="1:11" ht="15.6" thickBot="1">
      <c r="C11" s="4"/>
      <c r="D11" s="64"/>
      <c r="E11" s="232"/>
    </row>
    <row r="12" spans="1:11" ht="15.6" thickBot="1">
      <c r="C12" s="3" t="s">
        <v>49</v>
      </c>
      <c r="D12" s="62">
        <f>SUMPRODUCT(D90:K90,RPI!$E$2:$L$2)/1000</f>
        <v>0.29429504907396858</v>
      </c>
      <c r="E12" s="63">
        <f t="shared" ref="E12:E14" si="1">L90/1000</f>
        <v>0.23501234413449285</v>
      </c>
    </row>
    <row r="13" spans="1:11" ht="15.6" thickBot="1">
      <c r="C13" s="4" t="s">
        <v>46</v>
      </c>
      <c r="D13" s="64">
        <f>SUMPRODUCT(D91:K91,RPI!$E$2:$L$2)/1000</f>
        <v>0.81896987573486801</v>
      </c>
      <c r="E13" s="232">
        <f t="shared" si="1"/>
        <v>0.64632844800760436</v>
      </c>
    </row>
    <row r="14" spans="1:11" ht="15.6" thickBot="1">
      <c r="C14" s="3" t="s">
        <v>47</v>
      </c>
      <c r="D14" s="62">
        <f>SUMPRODUCT(D92:K92,RPI!$E$2:$L$2)/1000</f>
        <v>1.4584967480094414E-3</v>
      </c>
      <c r="E14" s="63">
        <f t="shared" si="1"/>
        <v>8.4934262285693758E-4</v>
      </c>
    </row>
    <row r="15" spans="1:11" ht="16.2" thickBot="1">
      <c r="C15" s="5" t="s">
        <v>50</v>
      </c>
      <c r="D15" s="67">
        <f>SUM(D12:D14)</f>
        <v>1.114723421556846</v>
      </c>
      <c r="E15" s="233">
        <f>SUM(E12:E14)</f>
        <v>0.88219013476495423</v>
      </c>
    </row>
    <row r="16" spans="1:11" ht="15.6" thickBot="1">
      <c r="C16" s="3"/>
      <c r="D16" s="62"/>
      <c r="E16" s="63"/>
    </row>
    <row r="17" spans="1:12" ht="16.2" thickBot="1">
      <c r="C17" s="5" t="s">
        <v>153</v>
      </c>
      <c r="D17" s="67">
        <f>D9+D15</f>
        <v>13.208585616322251</v>
      </c>
      <c r="E17" s="233">
        <f>E9+E15</f>
        <v>10.475225624338352</v>
      </c>
    </row>
    <row r="18" spans="1:12" ht="15.6" thickBot="1">
      <c r="C18" s="3"/>
      <c r="D18" s="62"/>
      <c r="E18" s="63"/>
    </row>
    <row r="19" spans="1:12" ht="16.2" thickBot="1">
      <c r="C19" s="5" t="s">
        <v>53</v>
      </c>
      <c r="D19" s="67">
        <f>E19*RPI!E4</f>
        <v>10.190343073497942</v>
      </c>
      <c r="E19" s="233">
        <f>D97/1000</f>
        <v>8.8650145032674477</v>
      </c>
    </row>
    <row r="20" spans="1:12" ht="16.2" thickBot="1">
      <c r="C20" s="6" t="s">
        <v>54</v>
      </c>
      <c r="D20" s="65">
        <f>E20*RPI!L3</f>
        <v>16.522829145873807</v>
      </c>
      <c r="E20" s="66">
        <f>K100/1000</f>
        <v>11.785374442010044</v>
      </c>
    </row>
    <row r="23" spans="1:12" ht="13.8" thickBot="1">
      <c r="A23" s="38" t="s">
        <v>360</v>
      </c>
    </row>
    <row r="24" spans="1:12" ht="13.8" thickBot="1">
      <c r="C24" s="14" t="s">
        <v>58</v>
      </c>
      <c r="D24" s="15" t="s">
        <v>59</v>
      </c>
      <c r="E24" s="15" t="s">
        <v>60</v>
      </c>
      <c r="F24" s="15" t="s">
        <v>61</v>
      </c>
      <c r="G24" s="15" t="s">
        <v>62</v>
      </c>
      <c r="H24" s="15" t="s">
        <v>63</v>
      </c>
      <c r="I24" s="15" t="s">
        <v>64</v>
      </c>
      <c r="J24" s="15" t="s">
        <v>65</v>
      </c>
      <c r="K24" s="15" t="s">
        <v>66</v>
      </c>
      <c r="L24" s="15" t="s">
        <v>118</v>
      </c>
    </row>
    <row r="25" spans="1:12">
      <c r="C25" s="16"/>
      <c r="D25" s="26"/>
      <c r="E25" s="26"/>
      <c r="F25" s="26"/>
      <c r="G25" s="26"/>
      <c r="H25" s="26"/>
      <c r="I25" s="26"/>
      <c r="J25" s="26"/>
      <c r="K25" s="26"/>
      <c r="L25" s="26"/>
    </row>
    <row r="26" spans="1:12">
      <c r="A26" t="s">
        <v>338</v>
      </c>
      <c r="C26" s="17" t="s">
        <v>119</v>
      </c>
      <c r="D26" s="27">
        <f>'ET workings 18-19'!D15+'ET workings 18-19'!D16+'ET workings 18-19'!D20</f>
        <v>1332.8684949632791</v>
      </c>
      <c r="E26" s="27">
        <f>'ET workings 18-19'!E15+'ET workings 18-19'!E16+'ET workings 18-19'!E20</f>
        <v>1230.5935563141152</v>
      </c>
      <c r="F26" s="27">
        <f>'ET workings 18-19'!F15+'ET workings 18-19'!F16+'ET workings 18-19'!F20</f>
        <v>1137.0378379747201</v>
      </c>
      <c r="G26" s="27">
        <f>'ET workings 18-19'!G15+'ET workings 18-19'!G16+'ET workings 18-19'!G20</f>
        <v>1163.8136218297423</v>
      </c>
      <c r="H26" s="27">
        <f>'ET workings 18-19'!H15+'ET workings 18-19'!H16+'ET workings 18-19'!H20</f>
        <v>1081.9565411544647</v>
      </c>
      <c r="I26" s="27">
        <f>'ET workings 18-19'!I15+'ET workings 18-19'!I16+'ET workings 18-19'!I20</f>
        <v>1134.1650941139824</v>
      </c>
      <c r="J26" s="27">
        <f>'ET workings 18-19'!J15+'ET workings 18-19'!J16+'ET workings 18-19'!J20</f>
        <v>851.08339234248558</v>
      </c>
      <c r="K26" s="27">
        <f>'ET workings 18-19'!K15+'ET workings 18-19'!K16+'ET workings 18-19'!K20</f>
        <v>772.24661191590621</v>
      </c>
      <c r="L26" s="28">
        <f>SUM(D26:K26)</f>
        <v>8703.765150608695</v>
      </c>
    </row>
    <row r="27" spans="1:12">
      <c r="C27" s="18" t="s">
        <v>386</v>
      </c>
      <c r="D27" s="29">
        <f>'ET workings 18-19'!D21+'ET workings 18-19'!D17</f>
        <v>193.29832303253795</v>
      </c>
      <c r="E27" s="29">
        <f>'ET workings 18-19'!E21+'ET workings 18-19'!E17</f>
        <v>199.59947067705875</v>
      </c>
      <c r="F27" s="29">
        <f>'ET workings 18-19'!F21+'ET workings 18-19'!F17</f>
        <v>211.8404097294482</v>
      </c>
      <c r="G27" s="29">
        <f>'ET workings 18-19'!G21+'ET workings 18-19'!G17</f>
        <v>218.80082198852523</v>
      </c>
      <c r="H27" s="29">
        <f>'ET workings 18-19'!H21+'ET workings 18-19'!H17</f>
        <v>250.70365695048378</v>
      </c>
      <c r="I27" s="29">
        <f>'ET workings 18-19'!I21+'ET workings 18-19'!I17</f>
        <v>262.17988486431767</v>
      </c>
      <c r="J27" s="29">
        <f>'ET workings 18-19'!J21+'ET workings 18-19'!J17</f>
        <v>241.53371821955682</v>
      </c>
      <c r="K27" s="29">
        <f>'ET workings 18-19'!K21+'ET workings 18-19'!K17</f>
        <v>213.3605883818999</v>
      </c>
      <c r="L27" s="30">
        <f t="shared" ref="L27:L38" si="2">SUM(D27:K27)</f>
        <v>1791.3168738438285</v>
      </c>
    </row>
    <row r="28" spans="1:12">
      <c r="C28" s="19" t="s">
        <v>71</v>
      </c>
      <c r="D28" s="31">
        <f>SUM(D26:D27)</f>
        <v>1526.1668179958169</v>
      </c>
      <c r="E28" s="31">
        <f t="shared" ref="E28:K28" si="3">SUM(E26:E27)</f>
        <v>1430.1930269911738</v>
      </c>
      <c r="F28" s="31">
        <f t="shared" si="3"/>
        <v>1348.8782477041682</v>
      </c>
      <c r="G28" s="31">
        <f t="shared" si="3"/>
        <v>1382.6144438182675</v>
      </c>
      <c r="H28" s="31">
        <f t="shared" si="3"/>
        <v>1332.6601981049484</v>
      </c>
      <c r="I28" s="31">
        <f t="shared" si="3"/>
        <v>1396.3449789783001</v>
      </c>
      <c r="J28" s="31">
        <f t="shared" si="3"/>
        <v>1092.6171105620424</v>
      </c>
      <c r="K28" s="31">
        <f t="shared" si="3"/>
        <v>985.60720029780612</v>
      </c>
      <c r="L28" s="28">
        <f t="shared" si="2"/>
        <v>10495.082024452522</v>
      </c>
    </row>
    <row r="29" spans="1:12">
      <c r="A29" t="s">
        <v>346</v>
      </c>
      <c r="C29" s="17" t="s">
        <v>121</v>
      </c>
      <c r="D29" s="27">
        <f>'ET workings 18-19'!D38+'ET workings 18-19'!D39+'ET workings 18-19'!D43</f>
        <v>998.91959032577097</v>
      </c>
      <c r="E29" s="27">
        <f>'ET workings 18-19'!E38+'ET workings 18-19'!E39+'ET workings 18-19'!E43</f>
        <v>678.98695196246899</v>
      </c>
      <c r="F29" s="27">
        <f>'ET workings 18-19'!F38+'ET workings 18-19'!F39+'ET workings 18-19'!F43</f>
        <v>741.95136375054096</v>
      </c>
      <c r="G29" s="27">
        <f>'ET workings 18-19'!G38+'ET workings 18-19'!G39+'ET workings 18-19'!G43</f>
        <v>698.06008169530571</v>
      </c>
      <c r="H29" s="27">
        <f>'ET workings 18-19'!H38+'ET workings 18-19'!H39+'ET workings 18-19'!H43</f>
        <v>1081.956541154465</v>
      </c>
      <c r="I29" s="27">
        <f>'ET workings 18-19'!I38+'ET workings 18-19'!I39+'ET workings 18-19'!I43</f>
        <v>1134.1650941139824</v>
      </c>
      <c r="J29" s="27">
        <f>'ET workings 18-19'!J38+'ET workings 18-19'!J39+'ET workings 18-19'!J43</f>
        <v>851.08339234248569</v>
      </c>
      <c r="K29" s="27">
        <f>'ET workings 18-19'!K38+'ET workings 18-19'!K39+'ET workings 18-19'!K43</f>
        <v>772.24661191590633</v>
      </c>
      <c r="L29" s="28">
        <f t="shared" si="2"/>
        <v>6957.3696272609259</v>
      </c>
    </row>
    <row r="30" spans="1:12">
      <c r="C30" s="18" t="s">
        <v>387</v>
      </c>
      <c r="D30" s="29">
        <f>'ET workings 18-19'!D40+'ET workings 18-19'!D44</f>
        <v>205.79735080939017</v>
      </c>
      <c r="E30" s="29">
        <f>'ET workings 18-19'!E40+'ET workings 18-19'!E44</f>
        <v>225.57809736895311</v>
      </c>
      <c r="F30" s="29">
        <f>'ET workings 18-19'!F40+'ET workings 18-19'!F44</f>
        <v>229.53296594785201</v>
      </c>
      <c r="G30" s="29">
        <f>'ET workings 18-19'!G40+'ET workings 18-19'!G44</f>
        <v>210.57662442672623</v>
      </c>
      <c r="H30" s="29">
        <f>'ET workings 18-19'!H40+'ET workings 18-19'!H44</f>
        <v>250.70365695048378</v>
      </c>
      <c r="I30" s="29">
        <f>'ET workings 18-19'!I40+'ET workings 18-19'!I44</f>
        <v>262.17988486431767</v>
      </c>
      <c r="J30" s="29">
        <f>'ET workings 18-19'!J40+'ET workings 18-19'!J44</f>
        <v>241.53371821955682</v>
      </c>
      <c r="K30" s="29">
        <f>'ET workings 18-19'!K40+'ET workings 18-19'!K44</f>
        <v>213.3605883818999</v>
      </c>
      <c r="L30" s="30">
        <f t="shared" si="2"/>
        <v>1839.2628869691798</v>
      </c>
    </row>
    <row r="31" spans="1:12">
      <c r="C31" s="19" t="s">
        <v>77</v>
      </c>
      <c r="D31" s="31">
        <f>SUM(D29:D30)</f>
        <v>1204.7169411351611</v>
      </c>
      <c r="E31" s="31">
        <f t="shared" ref="E31:K31" si="4">SUM(E29:E30)</f>
        <v>904.56504933142207</v>
      </c>
      <c r="F31" s="31">
        <f t="shared" si="4"/>
        <v>971.48432969839291</v>
      </c>
      <c r="G31" s="31">
        <f t="shared" si="4"/>
        <v>908.63670612203191</v>
      </c>
      <c r="H31" s="31">
        <f t="shared" si="4"/>
        <v>1332.6601981049487</v>
      </c>
      <c r="I31" s="31">
        <f t="shared" si="4"/>
        <v>1396.3449789783001</v>
      </c>
      <c r="J31" s="31">
        <f t="shared" si="4"/>
        <v>1092.6171105620424</v>
      </c>
      <c r="K31" s="31">
        <f t="shared" si="4"/>
        <v>985.60720029780623</v>
      </c>
      <c r="L31" s="28">
        <f t="shared" si="2"/>
        <v>8796.6325142301048</v>
      </c>
    </row>
    <row r="32" spans="1:12">
      <c r="A32" t="s">
        <v>233</v>
      </c>
      <c r="C32" s="17" t="s">
        <v>388</v>
      </c>
      <c r="D32" s="27">
        <f>D26-(D26-D29)*$K$2</f>
        <v>1155.5082317102986</v>
      </c>
      <c r="E32" s="27">
        <f t="shared" ref="E32:K33" si="5">E26-(E26-E29)*$K$2</f>
        <v>937.63528874295594</v>
      </c>
      <c r="F32" s="27">
        <f t="shared" si="5"/>
        <v>927.20741151425852</v>
      </c>
      <c r="G32" s="27">
        <f t="shared" si="5"/>
        <v>916.451916664343</v>
      </c>
      <c r="H32" s="27">
        <f t="shared" si="5"/>
        <v>1081.956541154465</v>
      </c>
      <c r="I32" s="27">
        <f t="shared" si="5"/>
        <v>1134.1650941139824</v>
      </c>
      <c r="J32" s="27">
        <f t="shared" si="5"/>
        <v>851.08339234248569</v>
      </c>
      <c r="K32" s="27">
        <f t="shared" si="5"/>
        <v>772.24661191590633</v>
      </c>
      <c r="L32" s="28">
        <f t="shared" si="2"/>
        <v>7776.2544881586955</v>
      </c>
    </row>
    <row r="33" spans="3:14">
      <c r="C33" s="18" t="s">
        <v>389</v>
      </c>
      <c r="D33" s="29">
        <f>D27-(D27-D30)*$K$2</f>
        <v>199.93655668482415</v>
      </c>
      <c r="E33" s="29">
        <f t="shared" si="5"/>
        <v>213.39671931312384</v>
      </c>
      <c r="F33" s="29">
        <f t="shared" si="5"/>
        <v>221.23692633704246</v>
      </c>
      <c r="G33" s="29">
        <f t="shared" si="5"/>
        <v>214.43295066345377</v>
      </c>
      <c r="H33" s="29">
        <f t="shared" si="5"/>
        <v>250.70365695048378</v>
      </c>
      <c r="I33" s="29">
        <f t="shared" si="5"/>
        <v>262.17988486431767</v>
      </c>
      <c r="J33" s="29">
        <f t="shared" si="5"/>
        <v>241.53371821955682</v>
      </c>
      <c r="K33" s="29">
        <f t="shared" si="5"/>
        <v>213.3605883818999</v>
      </c>
      <c r="L33" s="30">
        <f t="shared" si="2"/>
        <v>1816.7810014147026</v>
      </c>
    </row>
    <row r="34" spans="3:14">
      <c r="C34" s="19" t="s">
        <v>78</v>
      </c>
      <c r="D34" s="31">
        <f>SUM(D32:D33)</f>
        <v>1355.4447883951227</v>
      </c>
      <c r="E34" s="31">
        <f t="shared" ref="E34:K34" si="6">SUM(E32:E33)</f>
        <v>1151.0320080560798</v>
      </c>
      <c r="F34" s="31">
        <f t="shared" si="6"/>
        <v>1148.444337851301</v>
      </c>
      <c r="G34" s="31">
        <f t="shared" si="6"/>
        <v>1130.8848673277967</v>
      </c>
      <c r="H34" s="31">
        <f t="shared" si="6"/>
        <v>1332.6601981049487</v>
      </c>
      <c r="I34" s="31">
        <f t="shared" si="6"/>
        <v>1396.3449789783001</v>
      </c>
      <c r="J34" s="31">
        <f t="shared" si="6"/>
        <v>1092.6171105620424</v>
      </c>
      <c r="K34" s="31">
        <f t="shared" si="6"/>
        <v>985.60720029780623</v>
      </c>
      <c r="L34" s="28">
        <f t="shared" si="2"/>
        <v>9593.0354895733981</v>
      </c>
    </row>
    <row r="35" spans="3:14">
      <c r="C35" s="20"/>
      <c r="D35" s="32"/>
      <c r="E35" s="32"/>
      <c r="F35" s="32"/>
      <c r="G35" s="32"/>
      <c r="H35" s="32"/>
      <c r="I35" s="32"/>
      <c r="J35" s="32"/>
      <c r="K35" s="32"/>
      <c r="L35" s="33"/>
    </row>
    <row r="36" spans="3:14">
      <c r="C36" s="17" t="s">
        <v>79</v>
      </c>
      <c r="D36" s="27">
        <f>'ET workings 18-19'!D55</f>
        <v>203.31671825926844</v>
      </c>
      <c r="E36" s="27">
        <f>'ET workings 18-19'!E55</f>
        <v>172.65480120841212</v>
      </c>
      <c r="F36" s="27">
        <f>'ET workings 18-19'!F55</f>
        <v>172.26665067769514</v>
      </c>
      <c r="G36" s="27">
        <f>'ET workings 18-19'!G55</f>
        <v>169.63273009916944</v>
      </c>
      <c r="H36" s="27">
        <f>'ET workings 18-19'!H55</f>
        <v>199.8990297157423</v>
      </c>
      <c r="I36" s="27">
        <f>'ET workings 18-19'!I55</f>
        <v>209.45174684674492</v>
      </c>
      <c r="J36" s="27">
        <f>'ET workings 18-19'!J55</f>
        <v>163.89256658430642</v>
      </c>
      <c r="K36" s="27">
        <f>'ET workings 18-19'!K55</f>
        <v>147.84108004467095</v>
      </c>
      <c r="L36" s="28">
        <f t="shared" si="2"/>
        <v>1438.9553234360096</v>
      </c>
    </row>
    <row r="37" spans="3:14">
      <c r="C37" s="18" t="s">
        <v>80</v>
      </c>
      <c r="D37" s="29">
        <f>'ET workings 18-19'!D54</f>
        <v>1152.1280701358544</v>
      </c>
      <c r="E37" s="29">
        <f>'ET workings 18-19'!E54</f>
        <v>978.37720684766771</v>
      </c>
      <c r="F37" s="29">
        <f>'ET workings 18-19'!F54</f>
        <v>976.1776871736057</v>
      </c>
      <c r="G37" s="29">
        <f>'ET workings 18-19'!G54</f>
        <v>961.25213722862748</v>
      </c>
      <c r="H37" s="29">
        <f>'ET workings 18-19'!H54</f>
        <v>1132.7611683892062</v>
      </c>
      <c r="I37" s="29">
        <f>'ET workings 18-19'!I54</f>
        <v>1186.8932321315554</v>
      </c>
      <c r="J37" s="29">
        <f>'ET workings 18-19'!J54</f>
        <v>928.72454397773618</v>
      </c>
      <c r="K37" s="29">
        <f>'ET workings 18-19'!K54</f>
        <v>837.76612025313523</v>
      </c>
      <c r="L37" s="30">
        <f t="shared" si="2"/>
        <v>8154.080166137388</v>
      </c>
    </row>
    <row r="38" spans="3:14" ht="13.8" thickBot="1">
      <c r="C38" s="21" t="s">
        <v>390</v>
      </c>
      <c r="D38" s="34">
        <f t="shared" ref="D38:K38" si="7">SUM(D36:D37)</f>
        <v>1355.4447883951229</v>
      </c>
      <c r="E38" s="34">
        <f t="shared" si="7"/>
        <v>1151.0320080560798</v>
      </c>
      <c r="F38" s="34">
        <f t="shared" si="7"/>
        <v>1148.4443378513008</v>
      </c>
      <c r="G38" s="34">
        <f t="shared" si="7"/>
        <v>1130.8848673277969</v>
      </c>
      <c r="H38" s="34">
        <f t="shared" si="7"/>
        <v>1332.6601981049484</v>
      </c>
      <c r="I38" s="34">
        <f t="shared" si="7"/>
        <v>1396.3449789783003</v>
      </c>
      <c r="J38" s="34">
        <f t="shared" si="7"/>
        <v>1092.6171105620426</v>
      </c>
      <c r="K38" s="34">
        <f t="shared" si="7"/>
        <v>985.60720029780623</v>
      </c>
      <c r="L38" s="35">
        <f t="shared" si="2"/>
        <v>9593.0354895733981</v>
      </c>
    </row>
    <row r="39" spans="3:14">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'ET workings 18-19'!D130</f>
        <v>8790.8537557518612</v>
      </c>
      <c r="E42" s="36">
        <f>D46</f>
        <v>9197.3563602380109</v>
      </c>
      <c r="F42" s="36">
        <f t="shared" ref="F42:K42" si="9">E46</f>
        <v>9583.656149515391</v>
      </c>
      <c r="G42" s="36">
        <f t="shared" si="9"/>
        <v>9943.4962228396962</v>
      </c>
      <c r="H42" s="36">
        <f t="shared" si="9"/>
        <v>10268.970536319866</v>
      </c>
      <c r="I42" s="36">
        <f t="shared" si="9"/>
        <v>10749.116531029773</v>
      </c>
      <c r="J42" s="36">
        <f t="shared" si="9"/>
        <v>11262.868468004683</v>
      </c>
      <c r="K42" s="36">
        <f t="shared" si="9"/>
        <v>11507.350546376922</v>
      </c>
    </row>
    <row r="43" spans="3:14">
      <c r="C43" s="17" t="s">
        <v>86</v>
      </c>
      <c r="D43" s="27">
        <f>'ET workings 18-19'!D131</f>
        <v>975.36160034127101</v>
      </c>
      <c r="E43" s="27">
        <f>'ET workings 18-19'!E131</f>
        <v>978.37720684766771</v>
      </c>
      <c r="F43" s="27">
        <f>'ET workings 18-19'!F131</f>
        <v>976.1776871736057</v>
      </c>
      <c r="G43" s="27">
        <f>'ET workings 18-19'!G131</f>
        <v>961.25213722862748</v>
      </c>
      <c r="H43" s="27">
        <f>'ET workings 18-19'!H131</f>
        <v>1132.7611683892062</v>
      </c>
      <c r="I43" s="27">
        <f>'ET workings 18-19'!I131</f>
        <v>1186.8932321315554</v>
      </c>
      <c r="J43" s="27">
        <f>'ET workings 18-19'!J131</f>
        <v>928.72454397773618</v>
      </c>
      <c r="K43" s="27">
        <f>'ET workings 18-19'!K131</f>
        <v>837.76612025313523</v>
      </c>
    </row>
    <row r="44" spans="3:14">
      <c r="C44" s="18" t="s">
        <v>92</v>
      </c>
      <c r="D44" s="29">
        <f>'ET workings 18-19'!D165</f>
        <v>-568.85899585512277</v>
      </c>
      <c r="E44" s="29">
        <f>'ET workings 18-19'!E165</f>
        <v>-549.89961863661074</v>
      </c>
      <c r="F44" s="29">
        <f>'ET workings 18-19'!F165</f>
        <v>-536.88830227380822</v>
      </c>
      <c r="G44" s="29">
        <f>'ET workings 18-19'!G165</f>
        <v>-523.09693133301414</v>
      </c>
      <c r="H44" s="29">
        <f>'ET workings 18-19'!H165</f>
        <v>-510.35729242605225</v>
      </c>
      <c r="I44" s="29">
        <f>'ET workings 18-19'!I165</f>
        <v>-499.08660917668197</v>
      </c>
      <c r="J44" s="29">
        <f>'ET workings 18-19'!J165</f>
        <v>-479.55827686084973</v>
      </c>
      <c r="K44" s="29">
        <f>'ET workings 18-19'!K165</f>
        <v>-462.2100604895204</v>
      </c>
    </row>
    <row r="45" spans="3:14">
      <c r="C45" s="17" t="s">
        <v>93</v>
      </c>
      <c r="D45" s="27">
        <f>'ET workings 18-19'!D166</f>
        <v>0</v>
      </c>
      <c r="E45" s="27">
        <f>'ET workings 18-19'!E166</f>
        <v>-42.177798933676584</v>
      </c>
      <c r="F45" s="27">
        <f>'ET workings 18-19'!F166</f>
        <v>-79.449311575492487</v>
      </c>
      <c r="G45" s="27">
        <f>'ET workings 18-19'!G166</f>
        <v>-112.68089241544502</v>
      </c>
      <c r="H45" s="27">
        <f>'ET workings 18-19'!H166</f>
        <v>-142.25788125324894</v>
      </c>
      <c r="I45" s="27">
        <f>'ET workings 18-19'!I166</f>
        <v>-174.05468597996349</v>
      </c>
      <c r="J45" s="27">
        <f>'ET workings 18-19'!J166</f>
        <v>-204.68418874464879</v>
      </c>
      <c r="K45" s="27">
        <f>'ET workings 18-19'!K166</f>
        <v>-226.86268531725145</v>
      </c>
      <c r="N45" s="132" t="s">
        <v>301</v>
      </c>
    </row>
    <row r="46" spans="3:14" ht="13.8" thickBot="1">
      <c r="C46" s="25" t="s">
        <v>94</v>
      </c>
      <c r="D46" s="37">
        <f>SUM(D42:D45)</f>
        <v>9197.3563602380109</v>
      </c>
      <c r="E46" s="37">
        <f t="shared" ref="E46:K46" si="10">SUM(E42:E45)</f>
        <v>9583.656149515391</v>
      </c>
      <c r="F46" s="37">
        <f t="shared" si="10"/>
        <v>9943.4962228396962</v>
      </c>
      <c r="G46" s="37">
        <f t="shared" si="10"/>
        <v>10268.970536319866</v>
      </c>
      <c r="H46" s="37">
        <f t="shared" si="10"/>
        <v>10749.116531029773</v>
      </c>
      <c r="I46" s="37">
        <f t="shared" si="10"/>
        <v>11262.868468004683</v>
      </c>
      <c r="J46" s="37">
        <f t="shared" si="10"/>
        <v>11507.350546376922</v>
      </c>
      <c r="K46" s="37">
        <f t="shared" si="10"/>
        <v>11656.043920823284</v>
      </c>
      <c r="N46" s="133">
        <f>(K46/D46)^(1/7)-1</f>
        <v>3.4423334410730089E-2</v>
      </c>
    </row>
    <row r="47" spans="3:14">
      <c r="D47" s="53">
        <f>D46-'ET workings 18-19'!D133</f>
        <v>0</v>
      </c>
      <c r="E47" s="53">
        <f>E46-'ET workings 18-19'!E133</f>
        <v>0</v>
      </c>
      <c r="F47" s="53">
        <f>F46-'ET workings 18-19'!F133</f>
        <v>0</v>
      </c>
      <c r="G47" s="53">
        <f>G46-'ET workings 18-19'!G133</f>
        <v>0</v>
      </c>
      <c r="H47" s="53">
        <f>H46-'ET workings 18-19'!H133</f>
        <v>0</v>
      </c>
      <c r="I47" s="53">
        <f>I46-'ET workings 18-19'!I133</f>
        <v>0</v>
      </c>
      <c r="J47" s="53">
        <f>J46-'ET workings 18-19'!J133</f>
        <v>0</v>
      </c>
      <c r="K47" s="53">
        <f>K46-'ET workings 18-19'!K133</f>
        <v>0</v>
      </c>
    </row>
    <row r="49" spans="1:33" ht="13.8" thickBot="1">
      <c r="A49" s="38" t="s">
        <v>363</v>
      </c>
    </row>
    <row r="50" spans="1:33" ht="13.8" thickBot="1">
      <c r="C50" s="7" t="s">
        <v>58</v>
      </c>
      <c r="D50" s="8" t="s">
        <v>59</v>
      </c>
      <c r="E50" s="8" t="s">
        <v>60</v>
      </c>
      <c r="F50" s="8" t="s">
        <v>61</v>
      </c>
      <c r="G50" s="8" t="s">
        <v>62</v>
      </c>
      <c r="H50" s="8" t="s">
        <v>63</v>
      </c>
      <c r="I50" s="8" t="s">
        <v>64</v>
      </c>
      <c r="J50" s="8" t="s">
        <v>65</v>
      </c>
      <c r="K50" s="8" t="s">
        <v>66</v>
      </c>
      <c r="P50" s="204"/>
    </row>
    <row r="51" spans="1:33">
      <c r="C51" s="22" t="s">
        <v>91</v>
      </c>
      <c r="D51" s="41">
        <f>'ET workings 18-19'!D58</f>
        <v>8691.0913006079008</v>
      </c>
      <c r="E51" s="41">
        <f>D55</f>
        <v>9102.7058354218952</v>
      </c>
      <c r="F51" s="41">
        <f t="shared" ref="F51:K51" si="11">E55</f>
        <v>9495.1365728703386</v>
      </c>
      <c r="G51" s="41">
        <f t="shared" si="11"/>
        <v>9861.1075943657052</v>
      </c>
      <c r="H51" s="41">
        <f t="shared" si="11"/>
        <v>10268.970536319866</v>
      </c>
      <c r="I51" s="41">
        <f t="shared" si="11"/>
        <v>10749.116531029771</v>
      </c>
      <c r="J51" s="41">
        <f t="shared" si="11"/>
        <v>11262.868468004683</v>
      </c>
      <c r="K51" s="41">
        <f t="shared" si="11"/>
        <v>11507.35054637692</v>
      </c>
      <c r="P51" s="42"/>
    </row>
    <row r="52" spans="1:33">
      <c r="C52" s="10" t="s">
        <v>85</v>
      </c>
      <c r="D52" s="42">
        <f>'ET workings 18-19'!D59</f>
        <v>0</v>
      </c>
      <c r="E52" s="42">
        <f>'ET workings 18-19'!E59</f>
        <v>0</v>
      </c>
      <c r="F52" s="42">
        <f>'ET workings 18-19'!F59</f>
        <v>0</v>
      </c>
      <c r="G52" s="42">
        <f>'ET workings 18-19'!G59</f>
        <v>82.388628473992952</v>
      </c>
      <c r="H52" s="42">
        <f>'ET workings 18-19'!H59</f>
        <v>0</v>
      </c>
      <c r="I52" s="42">
        <f>'ET workings 18-19'!I59</f>
        <v>0</v>
      </c>
      <c r="J52" s="42">
        <f>'ET workings 18-19'!J59</f>
        <v>0</v>
      </c>
      <c r="K52" s="42">
        <f>'ET workings 18-19'!K59</f>
        <v>0</v>
      </c>
      <c r="P52" s="42"/>
    </row>
    <row r="53" spans="1:33">
      <c r="C53" s="11" t="s">
        <v>86</v>
      </c>
      <c r="D53" s="43">
        <f>'ET workings 18-19'!D61</f>
        <v>975.36160034127101</v>
      </c>
      <c r="E53" s="43">
        <f>'ET workings 18-19'!E61</f>
        <v>978.37720684766771</v>
      </c>
      <c r="F53" s="43">
        <f>'ET workings 18-19'!F61</f>
        <v>976.1776871736057</v>
      </c>
      <c r="G53" s="43">
        <f>'ET workings 18-19'!G61</f>
        <v>961.25213722862748</v>
      </c>
      <c r="H53" s="43">
        <f>'ET workings 18-19'!H61</f>
        <v>1132.7611683892062</v>
      </c>
      <c r="I53" s="43">
        <f>'ET workings 18-19'!I61</f>
        <v>1186.8932321315554</v>
      </c>
      <c r="J53" s="43">
        <f>'ET workings 18-19'!J61</f>
        <v>928.72454397773618</v>
      </c>
      <c r="K53" s="43">
        <f>'ET workings 18-19'!K61</f>
        <v>837.76612025313523</v>
      </c>
      <c r="P53" s="42"/>
    </row>
    <row r="54" spans="1:33">
      <c r="C54" s="10" t="s">
        <v>87</v>
      </c>
      <c r="D54" s="42">
        <f>'ET workings 18-19'!D62</f>
        <v>-563.74706552727753</v>
      </c>
      <c r="E54" s="42">
        <f>'ET workings 18-19'!E62</f>
        <v>-585.94646939922586</v>
      </c>
      <c r="F54" s="42">
        <f>'ET workings 18-19'!F62</f>
        <v>-610.20666567823923</v>
      </c>
      <c r="G54" s="42">
        <f>'ET workings 18-19'!G62</f>
        <v>-635.77782374845913</v>
      </c>
      <c r="H54" s="42">
        <f>'ET workings 18-19'!H62</f>
        <v>-652.61517367930117</v>
      </c>
      <c r="I54" s="42">
        <f>'ET workings 18-19'!I62</f>
        <v>-673.14129515664547</v>
      </c>
      <c r="J54" s="42">
        <f>'ET workings 18-19'!J62</f>
        <v>-684.24246560549852</v>
      </c>
      <c r="K54" s="42">
        <f>'ET workings 18-19'!K62</f>
        <v>-689.07274580677188</v>
      </c>
      <c r="P54" s="42"/>
    </row>
    <row r="55" spans="1:33">
      <c r="C55" s="39" t="s">
        <v>94</v>
      </c>
      <c r="D55" s="45">
        <f>'ET workings 18-19'!D63</f>
        <v>9102.7058354218952</v>
      </c>
      <c r="E55" s="45">
        <f>'ET workings 18-19'!E63</f>
        <v>9495.1365728703386</v>
      </c>
      <c r="F55" s="45">
        <f>'ET workings 18-19'!F63</f>
        <v>9861.1075943657052</v>
      </c>
      <c r="G55" s="45">
        <f>'ET workings 18-19'!G63</f>
        <v>10268.970536319866</v>
      </c>
      <c r="H55" s="45">
        <f>'ET workings 18-19'!H63</f>
        <v>10749.116531029771</v>
      </c>
      <c r="I55" s="45">
        <f>'ET workings 18-19'!I63</f>
        <v>11262.868468004683</v>
      </c>
      <c r="J55" s="45">
        <f>'ET workings 18-19'!J63</f>
        <v>11507.35054637692</v>
      </c>
      <c r="K55" s="45">
        <f>'ET workings 18-19'!K63</f>
        <v>11656.043920823282</v>
      </c>
      <c r="P55" s="50"/>
    </row>
    <row r="56" spans="1:33" ht="13.8" thickBot="1">
      <c r="C56" s="40" t="s">
        <v>163</v>
      </c>
      <c r="D56" s="46">
        <f>'ET workings 18-19'!D128-'ET workings 18-19'!D127</f>
        <v>94.650524816115961</v>
      </c>
      <c r="E56" s="46">
        <f>'ET workings 18-19'!E128-'ET workings 18-19'!E127</f>
        <v>88.519576645054457</v>
      </c>
      <c r="F56" s="46">
        <f>'ET workings 18-19'!F128-'ET workings 18-19'!F127</f>
        <v>82.388628473992952</v>
      </c>
      <c r="G56" s="46">
        <f>'ET workings 18-19'!G128-'ET workings 18-19'!G127</f>
        <v>0</v>
      </c>
      <c r="H56" s="46">
        <f>'ET workings 18-19'!H128-'ET workings 18-19'!H127</f>
        <v>0</v>
      </c>
      <c r="I56" s="46">
        <f>'ET workings 18-19'!I128-'ET workings 18-19'!I127</f>
        <v>0</v>
      </c>
      <c r="J56" s="46">
        <f>'ET workings 18-19'!J128-'ET workings 18-19'!J127</f>
        <v>0</v>
      </c>
      <c r="K56" s="46">
        <f>'ET workings 18-19'!K128-'ET workings 18-19'!K127</f>
        <v>0</v>
      </c>
      <c r="P56" s="42"/>
    </row>
    <row r="57" spans="1:33">
      <c r="D57" s="53">
        <f>D55-'ET workings 18-19'!D63</f>
        <v>0</v>
      </c>
      <c r="E57" s="53">
        <f>E55-'ET workings 18-19'!E63</f>
        <v>0</v>
      </c>
      <c r="F57" s="53">
        <f>F55-'ET workings 18-19'!F63</f>
        <v>0</v>
      </c>
      <c r="G57" s="53">
        <f>G55-'ET workings 18-19'!G63</f>
        <v>0</v>
      </c>
      <c r="H57" s="53">
        <f>H55-'ET workings 18-19'!H63</f>
        <v>0</v>
      </c>
      <c r="I57" s="53">
        <f>I55-'ET workings 18-19'!I63</f>
        <v>0</v>
      </c>
      <c r="J57" s="53">
        <f>J55-'ET workings 18-19'!J63</f>
        <v>0</v>
      </c>
      <c r="K57" s="53">
        <f>K55-'ET workings 18-19'!K63</f>
        <v>0</v>
      </c>
      <c r="P57" s="53"/>
    </row>
    <row r="58" spans="1:33" ht="13.8" thickBot="1">
      <c r="P58" s="207"/>
    </row>
    <row r="59" spans="1:33" ht="13.8" thickBot="1">
      <c r="C59" s="7" t="s">
        <v>58</v>
      </c>
      <c r="D59" s="8" t="s">
        <v>59</v>
      </c>
      <c r="E59" s="8" t="s">
        <v>60</v>
      </c>
      <c r="F59" s="8" t="s">
        <v>61</v>
      </c>
      <c r="G59" s="8" t="s">
        <v>62</v>
      </c>
      <c r="H59" s="8" t="s">
        <v>63</v>
      </c>
      <c r="I59" s="8" t="s">
        <v>64</v>
      </c>
      <c r="J59" s="8" t="s">
        <v>65</v>
      </c>
      <c r="K59" s="8" t="s">
        <v>66</v>
      </c>
      <c r="P59" s="204"/>
      <c r="S59" s="204"/>
      <c r="T59" s="204"/>
      <c r="U59" s="204"/>
      <c r="W59" s="204"/>
      <c r="X59" s="204"/>
      <c r="Y59" s="204"/>
      <c r="Z59" s="204"/>
      <c r="AA59" s="204"/>
      <c r="AB59" s="204"/>
      <c r="AC59" s="204"/>
      <c r="AD59" s="204"/>
      <c r="AE59" s="204"/>
    </row>
    <row r="60" spans="1:33">
      <c r="C60" s="22" t="s">
        <v>79</v>
      </c>
      <c r="D60" s="41">
        <f>'ET workings 18-19'!D74</f>
        <v>203.31671825926844</v>
      </c>
      <c r="E60" s="41">
        <f>'ET workings 18-19'!E74</f>
        <v>172.65480120841212</v>
      </c>
      <c r="F60" s="41">
        <f>'ET workings 18-19'!F74</f>
        <v>172.26665067769514</v>
      </c>
      <c r="G60" s="41">
        <f>'ET workings 18-19'!G74</f>
        <v>169.63273009916944</v>
      </c>
      <c r="H60" s="41">
        <f>'ET workings 18-19'!H74</f>
        <v>199.8990297157423</v>
      </c>
      <c r="I60" s="41">
        <f>'ET workings 18-19'!I74</f>
        <v>209.45174684674492</v>
      </c>
      <c r="J60" s="41">
        <f>'ET workings 18-19'!J74</f>
        <v>163.89256658430642</v>
      </c>
      <c r="K60" s="41">
        <f>'ET workings 18-19'!K74</f>
        <v>147.84108004467095</v>
      </c>
      <c r="L60" s="28">
        <f t="shared" ref="L60:L73" si="12">SUM(D60:K60)</f>
        <v>1438.9553234360096</v>
      </c>
      <c r="P60" s="42"/>
      <c r="S60" s="42"/>
      <c r="T60" s="42"/>
      <c r="U60" s="42"/>
      <c r="V60" s="109"/>
      <c r="W60" s="42"/>
      <c r="X60" s="42"/>
      <c r="Y60" s="42"/>
      <c r="Z60" s="42"/>
      <c r="AA60" s="42"/>
      <c r="AB60" s="42"/>
      <c r="AC60" s="42"/>
      <c r="AD60" s="42"/>
      <c r="AE60" s="50"/>
      <c r="AF60" s="109"/>
      <c r="AG60" s="109"/>
    </row>
    <row r="61" spans="1:33">
      <c r="C61" s="10" t="s">
        <v>98</v>
      </c>
      <c r="D61" s="42">
        <f>'ET workings 18-19'!D75</f>
        <v>94.24723304227993</v>
      </c>
      <c r="E61" s="42">
        <f>'ET workings 18-19'!E75</f>
        <v>87.678224204681584</v>
      </c>
      <c r="F61" s="42">
        <f>'ET workings 18-19'!F75</f>
        <v>87.676243763178761</v>
      </c>
      <c r="G61" s="42">
        <f>'ET workings 18-19'!G75</f>
        <v>87.677481779017953</v>
      </c>
      <c r="H61" s="42">
        <f>'ET workings 18-19'!H75</f>
        <v>87.676244486345595</v>
      </c>
      <c r="I61" s="42">
        <f>'ET workings 18-19'!I75</f>
        <v>87.676244488148086</v>
      </c>
      <c r="J61" s="42">
        <f>'ET workings 18-19'!J75</f>
        <v>87.676244492723825</v>
      </c>
      <c r="K61" s="42">
        <f>'ET workings 18-19'!K75</f>
        <v>87.676244462267519</v>
      </c>
      <c r="L61" s="28">
        <f t="shared" si="12"/>
        <v>707.98416071864324</v>
      </c>
      <c r="P61" s="42"/>
      <c r="S61" s="42"/>
      <c r="T61" s="42"/>
      <c r="U61" s="42"/>
      <c r="V61" s="109"/>
      <c r="W61" s="42"/>
      <c r="X61" s="42"/>
      <c r="Y61" s="42"/>
      <c r="Z61" s="42"/>
      <c r="AA61" s="42"/>
      <c r="AB61" s="42"/>
      <c r="AC61" s="42"/>
      <c r="AD61" s="42"/>
      <c r="AE61" s="50"/>
      <c r="AF61" s="109"/>
      <c r="AG61" s="109"/>
    </row>
    <row r="62" spans="1:33">
      <c r="C62" s="11" t="s">
        <v>99</v>
      </c>
      <c r="D62" s="43">
        <f>'ET workings 18-19'!D140</f>
        <v>32.057225303006618</v>
      </c>
      <c r="E62" s="43">
        <f>'ET workings 18-19'!E140</f>
        <v>31.92938591920073</v>
      </c>
      <c r="F62" s="43">
        <f>'ET workings 18-19'!F140</f>
        <v>35.659710857037616</v>
      </c>
      <c r="G62" s="43">
        <f>'ET workings 18-19'!G140</f>
        <v>35.934713792776314</v>
      </c>
      <c r="H62" s="43">
        <f>'ET workings 18-19'!H140</f>
        <v>35.811112850332755</v>
      </c>
      <c r="I62" s="43">
        <f>'ET workings 18-19'!I140</f>
        <v>31.152740354303024</v>
      </c>
      <c r="J62" s="43">
        <f>'ET workings 18-19'!J140</f>
        <v>31.433209673984788</v>
      </c>
      <c r="K62" s="43">
        <f>'ET workings 18-19'!K140</f>
        <v>31.31691225093137</v>
      </c>
      <c r="L62" s="28">
        <f t="shared" si="12"/>
        <v>265.29501100157319</v>
      </c>
      <c r="P62" s="42"/>
      <c r="S62" s="42"/>
      <c r="T62" s="42"/>
      <c r="U62" s="42"/>
      <c r="V62" s="109"/>
      <c r="W62" s="42"/>
      <c r="X62" s="42"/>
      <c r="Y62" s="42"/>
      <c r="Z62" s="42"/>
      <c r="AA62" s="42"/>
      <c r="AB62" s="42"/>
      <c r="AC62" s="42"/>
      <c r="AD62" s="42"/>
      <c r="AE62" s="50"/>
      <c r="AF62" s="109"/>
      <c r="AG62" s="109"/>
    </row>
    <row r="63" spans="1:33">
      <c r="C63" s="10" t="s">
        <v>100</v>
      </c>
      <c r="D63" s="42">
        <f>'ET workings 18-19'!D78</f>
        <v>0</v>
      </c>
      <c r="E63" s="42">
        <f>'ET workings 18-19'!E78</f>
        <v>0</v>
      </c>
      <c r="F63" s="42">
        <f>'ET workings 18-19'!F78</f>
        <v>0</v>
      </c>
      <c r="G63" s="42">
        <f>'ET workings 18-19'!G78</f>
        <v>0</v>
      </c>
      <c r="H63" s="42">
        <f>'ET workings 18-19'!H78</f>
        <v>0</v>
      </c>
      <c r="I63" s="42">
        <f>'ET workings 18-19'!I78</f>
        <v>0</v>
      </c>
      <c r="J63" s="42">
        <f>'ET workings 18-19'!J78</f>
        <v>0</v>
      </c>
      <c r="K63" s="42">
        <f>'ET workings 18-19'!K78</f>
        <v>0</v>
      </c>
      <c r="L63" s="28">
        <f t="shared" si="12"/>
        <v>0</v>
      </c>
      <c r="P63" s="42"/>
      <c r="S63" s="42"/>
      <c r="T63" s="42"/>
      <c r="U63" s="42"/>
      <c r="V63" s="109"/>
      <c r="W63" s="42"/>
      <c r="X63" s="42"/>
      <c r="Y63" s="42"/>
      <c r="Z63" s="42"/>
      <c r="AA63" s="42"/>
      <c r="AB63" s="42"/>
      <c r="AC63" s="42"/>
      <c r="AD63" s="42"/>
      <c r="AE63" s="50"/>
      <c r="AF63" s="109"/>
      <c r="AG63" s="109"/>
    </row>
    <row r="64" spans="1:33">
      <c r="C64" s="11" t="s">
        <v>101</v>
      </c>
      <c r="D64" s="43">
        <f>'ET workings 18-19'!D79</f>
        <v>15.168246288518162</v>
      </c>
      <c r="E64" s="43">
        <f>'ET workings 18-19'!E79</f>
        <v>16.275110005972994</v>
      </c>
      <c r="F64" s="43">
        <f>'ET workings 18-19'!F79</f>
        <v>15.614702904478012</v>
      </c>
      <c r="G64" s="43">
        <f>'ET workings 18-19'!G79</f>
        <v>14.911674359737152</v>
      </c>
      <c r="H64" s="43">
        <f>'ET workings 18-19'!H79</f>
        <v>13.033415757853545</v>
      </c>
      <c r="I64" s="43">
        <f>'ET workings 18-19'!I79</f>
        <v>12.556067765830047</v>
      </c>
      <c r="J64" s="43">
        <f>'ET workings 18-19'!J79</f>
        <v>11.285100906339711</v>
      </c>
      <c r="K64" s="43">
        <f>'ET workings 18-19'!K79</f>
        <v>9.8268179419485548</v>
      </c>
      <c r="L64" s="28">
        <f t="shared" si="12"/>
        <v>108.67113593067819</v>
      </c>
      <c r="P64" s="42"/>
      <c r="S64" s="42"/>
      <c r="T64" s="42"/>
      <c r="U64" s="42"/>
      <c r="V64" s="109"/>
      <c r="W64" s="42"/>
      <c r="X64" s="42"/>
      <c r="Y64" s="42"/>
      <c r="Z64" s="42"/>
      <c r="AA64" s="42"/>
      <c r="AB64" s="42"/>
      <c r="AC64" s="42"/>
      <c r="AD64" s="42"/>
      <c r="AE64" s="50"/>
      <c r="AF64" s="109"/>
      <c r="AG64" s="109"/>
    </row>
    <row r="65" spans="1:33">
      <c r="C65" s="10" t="s">
        <v>102</v>
      </c>
      <c r="D65" s="42">
        <f>'ET workings 18-19'!D81</f>
        <v>81.998273467834636</v>
      </c>
      <c r="E65" s="42">
        <f>'ET workings 18-19'!E81</f>
        <v>66.375777597272602</v>
      </c>
      <c r="F65" s="42">
        <f>'ET workings 18-19'!F81</f>
        <v>72.958625217389994</v>
      </c>
      <c r="G65" s="42">
        <f>'ET workings 18-19'!G81</f>
        <v>85.671676871074524</v>
      </c>
      <c r="H65" s="42">
        <f>'ET workings 18-19'!H81</f>
        <v>78.069319386527397</v>
      </c>
      <c r="I65" s="42">
        <f>'ET workings 18-19'!I81</f>
        <v>76.386482280793544</v>
      </c>
      <c r="J65" s="42">
        <f>'ET workings 18-19'!J81</f>
        <v>75.513506255144293</v>
      </c>
      <c r="K65" s="42">
        <f>'ET workings 18-19'!K81</f>
        <v>81.333319342518976</v>
      </c>
      <c r="L65" s="28">
        <f t="shared" si="12"/>
        <v>618.3069804185559</v>
      </c>
      <c r="P65" s="42"/>
      <c r="S65" s="42"/>
      <c r="T65" s="42"/>
      <c r="U65" s="42"/>
      <c r="V65" s="109"/>
      <c r="W65" s="42"/>
      <c r="X65" s="42"/>
      <c r="Y65" s="42"/>
      <c r="Z65" s="42"/>
      <c r="AA65" s="42"/>
      <c r="AB65" s="42"/>
      <c r="AC65" s="42"/>
      <c r="AD65" s="42"/>
      <c r="AE65" s="50"/>
      <c r="AF65" s="109"/>
      <c r="AG65" s="109"/>
    </row>
    <row r="66" spans="1:33">
      <c r="C66" s="11" t="s">
        <v>103</v>
      </c>
      <c r="D66" s="43">
        <f>'ET workings 18-19'!D76+'ET workings 18-19'!D77</f>
        <v>959.7137608844987</v>
      </c>
      <c r="E66" s="43">
        <f>'ET workings 18-19'!E76+'ET workings 18-19'!E77</f>
        <v>989.14495183099552</v>
      </c>
      <c r="F66" s="43">
        <f>'ET workings 18-19'!F76+'ET workings 18-19'!F77</f>
        <v>1020.4087691242421</v>
      </c>
      <c r="G66" s="43">
        <f>'ET workings 18-19'!G76+'ET workings 18-19'!G77</f>
        <v>1054.2632943108899</v>
      </c>
      <c r="H66" s="43">
        <f>'ET workings 18-19'!H76+'ET workings 18-19'!H77</f>
        <v>1078.0367570657227</v>
      </c>
      <c r="I66" s="43">
        <f>'ET workings 18-19'!I76+'ET workings 18-19'!I77</f>
        <v>1106.621692424558</v>
      </c>
      <c r="J66" s="43">
        <f>'ET workings 18-19'!J76+'ET workings 18-19'!J77</f>
        <v>1132.7660575653217</v>
      </c>
      <c r="K66" s="43">
        <f>'ET workings 18-19'!K76+'ET workings 18-19'!K77</f>
        <v>1145.379841334629</v>
      </c>
      <c r="L66" s="28">
        <f t="shared" si="12"/>
        <v>8486.3351245408576</v>
      </c>
      <c r="P66" s="42"/>
      <c r="S66" s="42"/>
      <c r="T66" s="42"/>
      <c r="U66" s="42"/>
      <c r="V66" s="109"/>
      <c r="W66" s="42"/>
      <c r="X66" s="42"/>
      <c r="Y66" s="42"/>
      <c r="Z66" s="42"/>
      <c r="AA66" s="42"/>
      <c r="AB66" s="42"/>
      <c r="AC66" s="42"/>
      <c r="AD66" s="42"/>
      <c r="AE66" s="50"/>
      <c r="AF66" s="109"/>
      <c r="AG66" s="109"/>
    </row>
    <row r="67" spans="1:33">
      <c r="C67" s="10" t="s">
        <v>168</v>
      </c>
      <c r="D67" s="42">
        <f>'ET workings 18-19'!D86</f>
        <v>13.751034124367685</v>
      </c>
      <c r="E67" s="42">
        <f>'ET workings 18-19'!E86</f>
        <v>13.274690050778315</v>
      </c>
      <c r="F67" s="42">
        <f>'ET workings 18-19'!F86</f>
        <v>12.798257977175346</v>
      </c>
      <c r="G67" s="42">
        <f>'ET workings 18-19'!G86</f>
        <v>0</v>
      </c>
      <c r="H67" s="42">
        <f>'ET workings 18-19'!H86</f>
        <v>0</v>
      </c>
      <c r="I67" s="42">
        <f>'ET workings 18-19'!I86</f>
        <v>0</v>
      </c>
      <c r="J67" s="42">
        <f>'ET workings 18-19'!J86</f>
        <v>0</v>
      </c>
      <c r="K67" s="42">
        <f>'ET workings 18-19'!K86</f>
        <v>0</v>
      </c>
      <c r="L67" s="28">
        <f t="shared" si="12"/>
        <v>39.823982152321349</v>
      </c>
      <c r="P67" s="42"/>
      <c r="S67" s="42"/>
      <c r="T67" s="42"/>
      <c r="U67" s="42"/>
      <c r="V67" s="109"/>
      <c r="W67" s="42"/>
      <c r="X67" s="42"/>
      <c r="Y67" s="42"/>
      <c r="Z67" s="42"/>
      <c r="AA67" s="42"/>
      <c r="AB67" s="42"/>
      <c r="AC67" s="42"/>
      <c r="AD67" s="42"/>
      <c r="AE67" s="50"/>
      <c r="AF67" s="109"/>
      <c r="AG67" s="109"/>
    </row>
    <row r="68" spans="1:33">
      <c r="C68" s="11" t="s">
        <v>169</v>
      </c>
      <c r="D68" s="43">
        <f>'ET workings 18-19'!D149+'ET workings 18-19'!D88-'ET workings 18-19'!D147</f>
        <v>45.227617148338091</v>
      </c>
      <c r="E68" s="43">
        <f>'ET workings 18-19'!E149+'ET workings 18-19'!E88-'ET workings 18-19'!E147</f>
        <v>45.772599700352401</v>
      </c>
      <c r="F68" s="43">
        <f>'ET workings 18-19'!F149+'ET workings 18-19'!F88-'ET workings 18-19'!F147</f>
        <v>46.828621067377675</v>
      </c>
      <c r="G68" s="43">
        <f>'ET workings 18-19'!G149+'ET workings 18-19'!G88-'ET workings 18-19'!G147</f>
        <v>46.363697326106404</v>
      </c>
      <c r="H68" s="43">
        <f>'ET workings 18-19'!H149+'ET workings 18-19'!H88-'ET workings 18-19'!H147</f>
        <v>48.139238219621106</v>
      </c>
      <c r="I68" s="43">
        <f>'ET workings 18-19'!I149+'ET workings 18-19'!I88-'ET workings 18-19'!I147</f>
        <v>49.732146571285512</v>
      </c>
      <c r="J68" s="43">
        <f>'ET workings 18-19'!J149+'ET workings 18-19'!J88-'ET workings 18-19'!J147</f>
        <v>51.535335060519756</v>
      </c>
      <c r="K68" s="43">
        <f>'ET workings 18-19'!K149+'ET workings 18-19'!K88-'ET workings 18-19'!K147</f>
        <v>53.414707903251454</v>
      </c>
      <c r="L68" s="28">
        <f t="shared" si="12"/>
        <v>387.01396299685234</v>
      </c>
      <c r="P68" s="42"/>
      <c r="S68" s="42"/>
      <c r="T68" s="42"/>
      <c r="U68" s="42"/>
      <c r="V68" s="109"/>
      <c r="W68" s="42"/>
      <c r="X68" s="42"/>
      <c r="Y68" s="42"/>
      <c r="Z68" s="42"/>
      <c r="AA68" s="42"/>
      <c r="AB68" s="42"/>
      <c r="AC68" s="42"/>
      <c r="AD68" s="42"/>
      <c r="AE68" s="50"/>
      <c r="AF68" s="109"/>
      <c r="AG68" s="109"/>
    </row>
    <row r="69" spans="1:33" ht="13.8" thickBot="1">
      <c r="C69" s="23" t="s">
        <v>107</v>
      </c>
      <c r="D69" s="44">
        <f>SUM(D60:D68)</f>
        <v>1445.4801085181123</v>
      </c>
      <c r="E69" s="44">
        <f t="shared" ref="E69:K69" si="13">SUM(E60:E68)</f>
        <v>1423.1055405176664</v>
      </c>
      <c r="F69" s="44">
        <f t="shared" si="13"/>
        <v>1464.2115815885747</v>
      </c>
      <c r="G69" s="44">
        <f t="shared" si="13"/>
        <v>1494.4552685387716</v>
      </c>
      <c r="H69" s="44">
        <f t="shared" si="13"/>
        <v>1540.6651174821454</v>
      </c>
      <c r="I69" s="44">
        <f t="shared" si="13"/>
        <v>1573.5771207316632</v>
      </c>
      <c r="J69" s="44">
        <f t="shared" si="13"/>
        <v>1554.1020205383406</v>
      </c>
      <c r="K69" s="44">
        <f t="shared" si="13"/>
        <v>1556.7889232802177</v>
      </c>
      <c r="L69" s="28">
        <f t="shared" ref="L69" si="14">SUM(D69:K69)</f>
        <v>12052.385681195492</v>
      </c>
      <c r="P69" s="50"/>
      <c r="S69" s="42"/>
      <c r="T69" s="42"/>
      <c r="U69" s="42"/>
      <c r="V69" s="109"/>
      <c r="W69" s="42"/>
      <c r="X69" s="42"/>
      <c r="Y69" s="42"/>
      <c r="Z69" s="42"/>
      <c r="AA69" s="42"/>
      <c r="AB69" s="42"/>
      <c r="AC69" s="42"/>
      <c r="AD69" s="42"/>
      <c r="AE69" s="50"/>
      <c r="AF69" s="109"/>
      <c r="AG69" s="109"/>
    </row>
    <row r="70" spans="1:33" ht="13.8" thickBot="1">
      <c r="L70" s="28"/>
      <c r="S70" s="42"/>
      <c r="T70" s="42"/>
      <c r="U70" s="42"/>
      <c r="V70" s="109"/>
      <c r="W70" s="42"/>
      <c r="X70" s="42"/>
      <c r="Y70" s="42"/>
      <c r="Z70" s="42"/>
      <c r="AA70" s="42"/>
      <c r="AB70" s="42"/>
      <c r="AC70" s="42"/>
      <c r="AD70" s="42"/>
      <c r="AE70" s="50"/>
      <c r="AF70" s="109"/>
      <c r="AG70" s="109"/>
    </row>
    <row r="71" spans="1:33" ht="13.8" thickBot="1">
      <c r="C71" s="7" t="s">
        <v>58</v>
      </c>
      <c r="D71" s="8" t="s">
        <v>59</v>
      </c>
      <c r="E71" s="8" t="s">
        <v>60</v>
      </c>
      <c r="F71" s="8" t="s">
        <v>61</v>
      </c>
      <c r="G71" s="8" t="s">
        <v>62</v>
      </c>
      <c r="H71" s="8" t="s">
        <v>63</v>
      </c>
      <c r="I71" s="8" t="s">
        <v>64</v>
      </c>
      <c r="J71" s="8" t="s">
        <v>65</v>
      </c>
      <c r="K71" s="8" t="s">
        <v>66</v>
      </c>
      <c r="L71" s="28"/>
      <c r="P71" s="204"/>
      <c r="S71" s="42"/>
      <c r="T71" s="42"/>
      <c r="U71" s="42"/>
      <c r="V71" s="109"/>
      <c r="W71" s="42"/>
      <c r="X71" s="42"/>
      <c r="Y71" s="42"/>
      <c r="Z71" s="42"/>
      <c r="AA71" s="42"/>
      <c r="AB71" s="42"/>
      <c r="AC71" s="42"/>
      <c r="AD71" s="42"/>
      <c r="AE71" s="50"/>
      <c r="AF71" s="109"/>
      <c r="AG71" s="109"/>
    </row>
    <row r="72" spans="1:33">
      <c r="C72" s="10" t="s">
        <v>392</v>
      </c>
      <c r="D72" s="42">
        <f>'ET workings 18-19'!D91+'ET workings 18-19'!D86</f>
        <v>1322.480108518112</v>
      </c>
      <c r="E72" s="42">
        <f>'ET workings 18-19'!E91+'ET workings 18-19'!E86</f>
        <v>1300.3055405176665</v>
      </c>
      <c r="F72" s="42">
        <f>'ET workings 18-19'!F91+'ET workings 18-19'!F86</f>
        <v>1334.4115815885746</v>
      </c>
      <c r="G72" s="42">
        <f>'ET workings 18-19'!G91+'ET workings 18-19'!G86</f>
        <v>1368.8552685387717</v>
      </c>
      <c r="H72" s="42">
        <f>'ET workings 18-19'!H91+'ET workings 18-19'!H86</f>
        <v>1413.3651174821453</v>
      </c>
      <c r="I72" s="42">
        <f>'ET workings 18-19'!I91+'ET workings 18-19'!I86</f>
        <v>1444.977120731663</v>
      </c>
      <c r="J72" s="42">
        <f>'ET workings 18-19'!J91+'ET workings 18-19'!J86</f>
        <v>1423.9020205383406</v>
      </c>
      <c r="K72" s="42">
        <f>'ET workings 18-19'!K91+'ET workings 18-19'!K86</f>
        <v>1425.0889232802176</v>
      </c>
      <c r="L72" s="28">
        <f t="shared" si="12"/>
        <v>11033.385681195492</v>
      </c>
      <c r="P72" s="42"/>
      <c r="S72" s="42"/>
      <c r="T72" s="42"/>
      <c r="U72" s="42"/>
      <c r="V72" s="109"/>
      <c r="W72" s="42"/>
      <c r="X72" s="42"/>
      <c r="Y72" s="42"/>
      <c r="Z72" s="42"/>
      <c r="AA72" s="42"/>
      <c r="AB72" s="42"/>
      <c r="AC72" s="42"/>
      <c r="AD72" s="42"/>
      <c r="AE72" s="50"/>
      <c r="AF72" s="109"/>
      <c r="AG72" s="109"/>
    </row>
    <row r="73" spans="1:33">
      <c r="C73" s="11" t="s">
        <v>175</v>
      </c>
      <c r="D73" s="43">
        <f>'ET workings 18-19'!D88</f>
        <v>123</v>
      </c>
      <c r="E73" s="43">
        <f>'ET workings 18-19'!E88</f>
        <v>122.8</v>
      </c>
      <c r="F73" s="43">
        <f>'ET workings 18-19'!F88</f>
        <v>129.80000000000001</v>
      </c>
      <c r="G73" s="43">
        <f>'ET workings 18-19'!G88</f>
        <v>125.6</v>
      </c>
      <c r="H73" s="43">
        <f>'ET workings 18-19'!H88</f>
        <v>127.3</v>
      </c>
      <c r="I73" s="43">
        <f>'ET workings 18-19'!I88</f>
        <v>128.6</v>
      </c>
      <c r="J73" s="43">
        <f>'ET workings 18-19'!J88</f>
        <v>130.19999999999999</v>
      </c>
      <c r="K73" s="43">
        <f>'ET workings 18-19'!K88</f>
        <v>131.69999999999999</v>
      </c>
      <c r="L73" s="28">
        <f t="shared" si="12"/>
        <v>1019</v>
      </c>
      <c r="N73" s="132" t="s">
        <v>301</v>
      </c>
      <c r="P73" s="42"/>
      <c r="S73" s="42"/>
      <c r="T73" s="42"/>
      <c r="U73" s="42"/>
      <c r="V73" s="109"/>
      <c r="W73" s="42"/>
      <c r="X73" s="42"/>
      <c r="Y73" s="42"/>
      <c r="Z73" s="42"/>
      <c r="AA73" s="42"/>
      <c r="AB73" s="42"/>
      <c r="AC73" s="42"/>
      <c r="AD73" s="42"/>
      <c r="AE73" s="50"/>
      <c r="AF73" s="109"/>
      <c r="AG73" s="109"/>
    </row>
    <row r="74" spans="1:33" ht="13.8" thickBot="1">
      <c r="C74" s="23" t="s">
        <v>107</v>
      </c>
      <c r="D74" s="44">
        <f t="shared" ref="D74:L74" si="15">D72+D73</f>
        <v>1445.480108518112</v>
      </c>
      <c r="E74" s="44">
        <f t="shared" si="15"/>
        <v>1423.1055405176664</v>
      </c>
      <c r="F74" s="44">
        <f t="shared" si="15"/>
        <v>1464.2115815885745</v>
      </c>
      <c r="G74" s="44">
        <f t="shared" si="15"/>
        <v>1494.4552685387716</v>
      </c>
      <c r="H74" s="44">
        <f t="shared" si="15"/>
        <v>1540.6651174821452</v>
      </c>
      <c r="I74" s="44">
        <f t="shared" si="15"/>
        <v>1573.5771207316629</v>
      </c>
      <c r="J74" s="44">
        <f t="shared" si="15"/>
        <v>1554.1020205383406</v>
      </c>
      <c r="K74" s="44">
        <f t="shared" si="15"/>
        <v>1556.7889232802177</v>
      </c>
      <c r="L74" s="28">
        <f t="shared" si="15"/>
        <v>12052.385681195492</v>
      </c>
      <c r="N74" s="133">
        <f>(K74/D74)^(1/7)-1</f>
        <v>1.0654039501343915E-2</v>
      </c>
      <c r="P74" s="50"/>
      <c r="S74" s="50"/>
      <c r="T74" s="50"/>
      <c r="U74" s="50"/>
      <c r="V74" s="109"/>
      <c r="W74" s="50"/>
      <c r="X74" s="50"/>
      <c r="Y74" s="50"/>
      <c r="Z74" s="50"/>
      <c r="AA74" s="50"/>
      <c r="AB74" s="50"/>
      <c r="AC74" s="50"/>
      <c r="AD74" s="50"/>
      <c r="AE74" s="50"/>
      <c r="AF74" s="109"/>
      <c r="AG74" s="109"/>
    </row>
    <row r="75" spans="1:33">
      <c r="D75" s="53"/>
      <c r="E75" s="53"/>
      <c r="F75" s="53"/>
      <c r="G75" s="53"/>
      <c r="H75" s="53"/>
      <c r="I75" s="53"/>
      <c r="J75" s="53"/>
      <c r="K75" s="53"/>
      <c r="L75" s="53"/>
      <c r="P75" s="53"/>
      <c r="AE75" s="38"/>
    </row>
    <row r="76" spans="1:33">
      <c r="D76" s="53"/>
      <c r="E76" s="53"/>
      <c r="F76" s="53"/>
      <c r="G76" s="53"/>
      <c r="H76" s="53"/>
      <c r="I76" s="53"/>
      <c r="J76" s="53"/>
      <c r="K76" s="53"/>
      <c r="L76" s="53"/>
      <c r="AE76" s="38"/>
    </row>
    <row r="77" spans="1:33">
      <c r="D77" s="53"/>
      <c r="E77" s="53"/>
      <c r="F77" s="53"/>
      <c r="G77" s="53"/>
      <c r="H77" s="53"/>
      <c r="I77" s="53"/>
      <c r="J77" s="53"/>
      <c r="K77" s="53"/>
      <c r="L77" s="53"/>
      <c r="AE77" s="38"/>
    </row>
    <row r="78" spans="1:33" ht="13.8" thickBot="1"/>
    <row r="79" spans="1:33" ht="13.8" thickBot="1">
      <c r="A79" s="38"/>
      <c r="C79" s="14" t="s">
        <v>58</v>
      </c>
      <c r="D79" s="15" t="s">
        <v>59</v>
      </c>
      <c r="E79" s="15" t="s">
        <v>60</v>
      </c>
      <c r="F79" s="15" t="s">
        <v>61</v>
      </c>
      <c r="G79" s="15" t="s">
        <v>62</v>
      </c>
      <c r="H79" s="15" t="s">
        <v>63</v>
      </c>
      <c r="I79" s="15" t="s">
        <v>64</v>
      </c>
      <c r="J79" s="15" t="s">
        <v>65</v>
      </c>
      <c r="K79" s="15" t="s">
        <v>66</v>
      </c>
      <c r="L79" s="15" t="s">
        <v>118</v>
      </c>
      <c r="P79" s="205"/>
    </row>
    <row r="80" spans="1:33">
      <c r="C80" s="124"/>
      <c r="D80" s="125"/>
      <c r="E80" s="125"/>
      <c r="F80" s="125"/>
      <c r="G80" s="125"/>
      <c r="H80" s="125"/>
      <c r="I80" s="125"/>
      <c r="J80" s="125"/>
      <c r="K80" s="125"/>
      <c r="L80" s="125"/>
      <c r="P80" s="206"/>
    </row>
    <row r="81" spans="1:16">
      <c r="C81" s="17" t="str">
        <f>C3</f>
        <v>TO capex - load-related</v>
      </c>
      <c r="D81" s="165">
        <f>'ET workings 18-19'!D15</f>
        <v>226.54482674025229</v>
      </c>
      <c r="E81" s="165">
        <f>'ET workings 18-19'!E15</f>
        <v>189.76583863604765</v>
      </c>
      <c r="F81" s="165">
        <f>'ET workings 18-19'!F15</f>
        <v>179.38344990371465</v>
      </c>
      <c r="G81" s="165">
        <f>'ET workings 18-19'!G15</f>
        <v>186.89947200056383</v>
      </c>
      <c r="H81" s="165">
        <f>'ET workings 18-19'!H15</f>
        <v>142.34099424420381</v>
      </c>
      <c r="I81" s="165">
        <f>'ET workings 18-19'!I15</f>
        <v>123.51757213647369</v>
      </c>
      <c r="J81" s="165">
        <f>'ET workings 18-19'!J15</f>
        <v>-21.093349498298281</v>
      </c>
      <c r="K81" s="165">
        <f>'ET workings 18-19'!K15</f>
        <v>-36.616451358880617</v>
      </c>
      <c r="L81" s="165">
        <f>SUM(D81:K81)</f>
        <v>990.74235280407697</v>
      </c>
      <c r="M81" s="53">
        <f>E3</f>
        <v>0.99074235280407696</v>
      </c>
      <c r="N81" s="53">
        <f>E3-L81/1000</f>
        <v>0</v>
      </c>
      <c r="P81" s="165"/>
    </row>
    <row r="82" spans="1:16">
      <c r="C82" s="17" t="str">
        <f>C4</f>
        <v>TO capex - non-load related</v>
      </c>
      <c r="D82" s="165">
        <f>'ET workings 18-19'!D16</f>
        <v>506.11836500601339</v>
      </c>
      <c r="E82" s="165">
        <f>'ET workings 18-19'!E16</f>
        <v>499.20409814951984</v>
      </c>
      <c r="F82" s="165">
        <f>'ET workings 18-19'!F16</f>
        <v>485.07329761796098</v>
      </c>
      <c r="G82" s="165">
        <f>'ET workings 18-19'!G16</f>
        <v>489.14143160750723</v>
      </c>
      <c r="H82" s="165">
        <f>'ET workings 18-19'!H16</f>
        <v>622.61892466629627</v>
      </c>
      <c r="I82" s="165">
        <f>'ET workings 18-19'!I16</f>
        <v>715.79753719305393</v>
      </c>
      <c r="J82" s="165">
        <f>'ET workings 18-19'!J16</f>
        <v>609.25081046797004</v>
      </c>
      <c r="K82" s="165">
        <f>'ET workings 18-19'!K16</f>
        <v>529.21301595565285</v>
      </c>
      <c r="L82" s="165">
        <f>SUM(D82:K82)</f>
        <v>4456.4174806639749</v>
      </c>
      <c r="M82" s="53">
        <f>E4</f>
        <v>4.4564174806639745</v>
      </c>
      <c r="N82" s="53">
        <f>E4-L82/1000</f>
        <v>0</v>
      </c>
      <c r="P82" s="165"/>
    </row>
    <row r="83" spans="1:16">
      <c r="C83" s="18" t="str">
        <f>C5</f>
        <v xml:space="preserve">Uncertainty mechanism capex </v>
      </c>
      <c r="D83" s="166">
        <f>'ET workings 18-19'!D20</f>
        <v>600.20530321701335</v>
      </c>
      <c r="E83" s="166">
        <f>'ET workings 18-19'!E20</f>
        <v>541.62361952854781</v>
      </c>
      <c r="F83" s="166">
        <f>'ET workings 18-19'!F20</f>
        <v>472.58109045304445</v>
      </c>
      <c r="G83" s="166">
        <f>'ET workings 18-19'!G20</f>
        <v>487.77271822167131</v>
      </c>
      <c r="H83" s="166">
        <f>'ET workings 18-19'!H20</f>
        <v>316.99662224396468</v>
      </c>
      <c r="I83" s="166">
        <f>'ET workings 18-19'!I20</f>
        <v>294.8499847844547</v>
      </c>
      <c r="J83" s="166">
        <f>'ET workings 18-19'!J20</f>
        <v>262.92593137281381</v>
      </c>
      <c r="K83" s="166">
        <f>'ET workings 18-19'!K20</f>
        <v>279.65004731913405</v>
      </c>
      <c r="L83" s="166">
        <f t="shared" ref="L83:L92" si="16">SUM(D83:K83)</f>
        <v>3256.6053171406443</v>
      </c>
      <c r="M83" s="53">
        <f>E5</f>
        <v>3.2566053171406444</v>
      </c>
      <c r="N83" s="53">
        <f>E5-L83/1000</f>
        <v>0</v>
      </c>
      <c r="P83" s="165"/>
    </row>
    <row r="84" spans="1:16">
      <c r="C84" s="17" t="str">
        <f>C6</f>
        <v xml:space="preserve">Uncertainty mechanism opex </v>
      </c>
      <c r="D84" s="165">
        <f>'ET workings 18-19'!D21</f>
        <v>1.0854967381420191</v>
      </c>
      <c r="E84" s="165">
        <f>'ET workings 18-19'!E21</f>
        <v>3.1874299535058723</v>
      </c>
      <c r="F84" s="165">
        <f>'ET workings 18-19'!F21</f>
        <v>8.7933031383547409</v>
      </c>
      <c r="G84" s="165">
        <f>'ET workings 18-19'!G21</f>
        <v>14.449105184117492</v>
      </c>
      <c r="H84" s="165">
        <f>'ET workings 18-19'!H21</f>
        <v>44.98161721307374</v>
      </c>
      <c r="I84" s="165">
        <f>'ET workings 18-19'!I21</f>
        <v>56.115444380322963</v>
      </c>
      <c r="J84" s="165">
        <f>'ET workings 18-19'!J21</f>
        <v>33.694808241742152</v>
      </c>
      <c r="K84" s="165">
        <f>'ET workings 18-19'!K21</f>
        <v>5.1565330854912359</v>
      </c>
      <c r="L84" s="165">
        <f t="shared" si="16"/>
        <v>167.46373793475024</v>
      </c>
      <c r="M84" s="53">
        <f>E6</f>
        <v>0.16746373793475025</v>
      </c>
      <c r="N84" s="53">
        <f>E6-L84/1000</f>
        <v>0</v>
      </c>
      <c r="P84" s="165"/>
    </row>
    <row r="85" spans="1:16">
      <c r="C85" s="18" t="str">
        <f>C7</f>
        <v xml:space="preserve">Controllable opex </v>
      </c>
      <c r="D85" s="158">
        <f>'ET workings 18-19'!D17</f>
        <v>192.21282629439594</v>
      </c>
      <c r="E85" s="158">
        <f>'ET workings 18-19'!E17</f>
        <v>196.41204072355288</v>
      </c>
      <c r="F85" s="158">
        <f>'ET workings 18-19'!F17</f>
        <v>203.04710659109347</v>
      </c>
      <c r="G85" s="158">
        <f>'ET workings 18-19'!G17</f>
        <v>204.35171680440774</v>
      </c>
      <c r="H85" s="158">
        <f>'ET workings 18-19'!H17</f>
        <v>205.72203973741003</v>
      </c>
      <c r="I85" s="158">
        <f>'ET workings 18-19'!I17</f>
        <v>206.0644404839947</v>
      </c>
      <c r="J85" s="158">
        <f>'ET workings 18-19'!J17</f>
        <v>207.83890997781467</v>
      </c>
      <c r="K85" s="158">
        <f>'ET workings 18-19'!K17</f>
        <v>208.20405529640865</v>
      </c>
      <c r="L85" s="158">
        <f t="shared" si="16"/>
        <v>1623.853135909078</v>
      </c>
      <c r="M85" s="53">
        <f>E7</f>
        <v>1.623853135909078</v>
      </c>
      <c r="N85" s="53">
        <f>E7-L85/1000</f>
        <v>0</v>
      </c>
      <c r="P85" s="168"/>
    </row>
    <row r="86" spans="1:16">
      <c r="A86" s="116"/>
      <c r="C86" s="18" t="s">
        <v>47</v>
      </c>
      <c r="D86" s="158">
        <f>D34-D28</f>
        <v>-170.72202960069421</v>
      </c>
      <c r="E86" s="158">
        <f t="shared" ref="E86:K86" si="17">E34-E28</f>
        <v>-279.16101893509403</v>
      </c>
      <c r="F86" s="158">
        <f t="shared" si="17"/>
        <v>-200.43390985286715</v>
      </c>
      <c r="G86" s="158">
        <f t="shared" si="17"/>
        <v>-251.72957649047089</v>
      </c>
      <c r="H86" s="158">
        <f t="shared" si="17"/>
        <v>0</v>
      </c>
      <c r="I86" s="158">
        <f t="shared" si="17"/>
        <v>0</v>
      </c>
      <c r="J86" s="158">
        <f t="shared" si="17"/>
        <v>0</v>
      </c>
      <c r="K86" s="158">
        <f t="shared" si="17"/>
        <v>0</v>
      </c>
      <c r="L86" s="158">
        <f t="shared" si="16"/>
        <v>-902.04653487912628</v>
      </c>
      <c r="M86" s="53"/>
      <c r="N86" s="53"/>
      <c r="P86" s="168"/>
    </row>
    <row r="87" spans="1:16">
      <c r="C87" s="19" t="str">
        <f>C9</f>
        <v xml:space="preserve">TO Totex </v>
      </c>
      <c r="D87" s="167">
        <f>SUM(D81:D86)</f>
        <v>1355.4447883951227</v>
      </c>
      <c r="E87" s="167">
        <f t="shared" ref="E87:K87" si="18">SUM(E81:E86)</f>
        <v>1151.03200805608</v>
      </c>
      <c r="F87" s="167">
        <f t="shared" si="18"/>
        <v>1148.4443378513013</v>
      </c>
      <c r="G87" s="167">
        <f t="shared" si="18"/>
        <v>1130.8848673277967</v>
      </c>
      <c r="H87" s="167">
        <f t="shared" si="18"/>
        <v>1332.6601981049487</v>
      </c>
      <c r="I87" s="167">
        <f t="shared" si="18"/>
        <v>1396.3449789783001</v>
      </c>
      <c r="J87" s="167">
        <f t="shared" si="18"/>
        <v>1092.6171105620424</v>
      </c>
      <c r="K87" s="167">
        <f t="shared" si="18"/>
        <v>985.60720029780612</v>
      </c>
      <c r="L87" s="167">
        <f t="shared" si="16"/>
        <v>9593.0354895733963</v>
      </c>
      <c r="M87" s="53">
        <f>E9</f>
        <v>9.5930354895733974</v>
      </c>
      <c r="N87" s="53">
        <f>E9-L87/1000</f>
        <v>0</v>
      </c>
      <c r="P87" s="167"/>
    </row>
    <row r="88" spans="1:16">
      <c r="C88" s="18" t="str">
        <f>C10</f>
        <v xml:space="preserve">Non controllable opex </v>
      </c>
      <c r="D88" s="166">
        <f>'ET workings 18-19'!D26</f>
        <v>94.24723304227993</v>
      </c>
      <c r="E88" s="166">
        <f>'ET workings 18-19'!E26</f>
        <v>87.678224204681584</v>
      </c>
      <c r="F88" s="166">
        <f>'ET workings 18-19'!F26</f>
        <v>87.676243763178761</v>
      </c>
      <c r="G88" s="166">
        <f>'ET workings 18-19'!G26</f>
        <v>87.677481779017953</v>
      </c>
      <c r="H88" s="166">
        <f>'ET workings 18-19'!H26</f>
        <v>87.676244486345595</v>
      </c>
      <c r="I88" s="166">
        <f>'ET workings 18-19'!I26</f>
        <v>87.676244488148086</v>
      </c>
      <c r="J88" s="166">
        <f>'ET workings 18-19'!J26</f>
        <v>87.676244492723825</v>
      </c>
      <c r="K88" s="166">
        <f>'ET workings 18-19'!K26</f>
        <v>87.676244462267519</v>
      </c>
      <c r="L88" s="166">
        <f t="shared" si="16"/>
        <v>707.98416071864324</v>
      </c>
      <c r="M88" s="53">
        <f>E10</f>
        <v>0.70798416071864323</v>
      </c>
      <c r="N88" s="53">
        <f>E10-L88/1000</f>
        <v>0</v>
      </c>
      <c r="P88" s="165"/>
    </row>
    <row r="89" spans="1:16">
      <c r="C89" s="17"/>
      <c r="D89" s="168"/>
      <c r="E89" s="168"/>
      <c r="F89" s="168"/>
      <c r="G89" s="168"/>
      <c r="H89" s="168"/>
      <c r="I89" s="168"/>
      <c r="J89" s="168"/>
      <c r="K89" s="168"/>
      <c r="L89" s="165"/>
      <c r="M89" s="53"/>
      <c r="N89" s="53"/>
      <c r="P89" s="168"/>
    </row>
    <row r="90" spans="1:16">
      <c r="C90" s="18" t="str">
        <f>C12</f>
        <v xml:space="preserve">SO capex </v>
      </c>
      <c r="D90" s="158">
        <f>'ET workings 18-19'!D8</f>
        <v>39.405926089795059</v>
      </c>
      <c r="E90" s="158">
        <f>'ET workings 18-19'!E8</f>
        <v>35.962368284905509</v>
      </c>
      <c r="F90" s="158">
        <f>'ET workings 18-19'!F8</f>
        <v>29.877361132181548</v>
      </c>
      <c r="G90" s="158">
        <f>'ET workings 18-19'!G8</f>
        <v>28.846391499185597</v>
      </c>
      <c r="H90" s="158">
        <f>'ET workings 18-19'!H8</f>
        <v>29.621699211758404</v>
      </c>
      <c r="I90" s="158">
        <f>'ET workings 18-19'!I8</f>
        <v>20.406561078577621</v>
      </c>
      <c r="J90" s="158">
        <f>'ET workings 18-19'!J8</f>
        <v>25.457651204161817</v>
      </c>
      <c r="K90" s="158">
        <f>'ET workings 18-19'!K8</f>
        <v>25.43438563392731</v>
      </c>
      <c r="L90" s="158">
        <f t="shared" si="16"/>
        <v>235.01234413449285</v>
      </c>
      <c r="M90" s="53">
        <f>E12</f>
        <v>0.23501234413449285</v>
      </c>
      <c r="N90" s="53">
        <f>E12-L90/1000</f>
        <v>0</v>
      </c>
      <c r="P90" s="168"/>
    </row>
    <row r="91" spans="1:16">
      <c r="C91" s="17" t="str">
        <f>C13</f>
        <v xml:space="preserve">Controllable opex </v>
      </c>
      <c r="D91" s="165">
        <f>'ET workings 18-19'!D7</f>
        <v>74.117786922864468</v>
      </c>
      <c r="E91" s="165">
        <f>'ET workings 18-19'!E7</f>
        <v>75.746790961588118</v>
      </c>
      <c r="F91" s="165">
        <f>'ET workings 18-19'!F7</f>
        <v>79.100568175978466</v>
      </c>
      <c r="G91" s="165">
        <f>'ET workings 18-19'!G7</f>
        <v>82.158309016221935</v>
      </c>
      <c r="H91" s="165">
        <f>'ET workings 18-19'!H7</f>
        <v>82.471507363977764</v>
      </c>
      <c r="I91" s="165">
        <f>'ET workings 18-19'!I7</f>
        <v>82.912881974263144</v>
      </c>
      <c r="J91" s="165">
        <f>'ET workings 18-19'!J7</f>
        <v>84.047729960219527</v>
      </c>
      <c r="K91" s="165">
        <f>'ET workings 18-19'!K7</f>
        <v>85.772873632490885</v>
      </c>
      <c r="L91" s="165">
        <f t="shared" si="16"/>
        <v>646.32844800760438</v>
      </c>
      <c r="M91" s="53">
        <f>E13</f>
        <v>0.64632844800760436</v>
      </c>
      <c r="N91" s="53">
        <f>E13-L91/1000</f>
        <v>0</v>
      </c>
      <c r="P91" s="165"/>
    </row>
    <row r="92" spans="1:16">
      <c r="A92" s="116"/>
      <c r="C92" s="18" t="s">
        <v>47</v>
      </c>
      <c r="D92" s="158">
        <f>D130-D124</f>
        <v>-6.3316060111058619</v>
      </c>
      <c r="E92" s="158">
        <f t="shared" ref="E92:K92" si="19">E130-E124</f>
        <v>-0.42111614105857598</v>
      </c>
      <c r="F92" s="158">
        <f t="shared" si="19"/>
        <v>-0.51052411936296949</v>
      </c>
      <c r="G92" s="158">
        <f t="shared" si="19"/>
        <v>8.1125888943843449</v>
      </c>
      <c r="H92" s="158">
        <f t="shared" si="19"/>
        <v>0</v>
      </c>
      <c r="I92" s="158">
        <f t="shared" si="19"/>
        <v>0</v>
      </c>
      <c r="J92" s="158">
        <f t="shared" si="19"/>
        <v>0</v>
      </c>
      <c r="K92" s="158">
        <f t="shared" si="19"/>
        <v>0</v>
      </c>
      <c r="L92" s="158">
        <f t="shared" si="16"/>
        <v>0.84934262285693762</v>
      </c>
      <c r="M92" s="53"/>
      <c r="N92" s="53"/>
      <c r="P92" s="168"/>
    </row>
    <row r="93" spans="1:16" ht="13.8" thickBot="1">
      <c r="C93" s="23" t="str">
        <f>C15</f>
        <v xml:space="preserve">SO Totex </v>
      </c>
      <c r="D93" s="44">
        <f>SUM(D90:D92)</f>
        <v>107.19210700155367</v>
      </c>
      <c r="E93" s="44">
        <f t="shared" ref="E93:L93" si="20">SUM(E90:E92)</f>
        <v>111.28804310543505</v>
      </c>
      <c r="F93" s="44">
        <f t="shared" si="20"/>
        <v>108.46740518879704</v>
      </c>
      <c r="G93" s="44">
        <f t="shared" si="20"/>
        <v>119.11728940979188</v>
      </c>
      <c r="H93" s="44">
        <f t="shared" si="20"/>
        <v>112.09320657573616</v>
      </c>
      <c r="I93" s="44">
        <f t="shared" si="20"/>
        <v>103.31944305284077</v>
      </c>
      <c r="J93" s="44">
        <f t="shared" si="20"/>
        <v>109.50538116438135</v>
      </c>
      <c r="K93" s="44">
        <f t="shared" si="20"/>
        <v>111.20725926641819</v>
      </c>
      <c r="L93" s="44">
        <f t="shared" si="20"/>
        <v>882.19013476495422</v>
      </c>
      <c r="M93" s="53">
        <f>E15</f>
        <v>0.88219013476495423</v>
      </c>
      <c r="N93" s="53">
        <f>E15-L93/1000</f>
        <v>0</v>
      </c>
      <c r="P93" s="50"/>
    </row>
    <row r="94" spans="1:16">
      <c r="A94" s="38" t="s">
        <v>378</v>
      </c>
    </row>
    <row r="95" spans="1:16" ht="13.8" thickBot="1">
      <c r="C95" s="38" t="s">
        <v>140</v>
      </c>
    </row>
    <row r="96" spans="1:16" ht="13.8" thickBot="1">
      <c r="C96" s="7" t="s">
        <v>58</v>
      </c>
      <c r="D96" s="8" t="s">
        <v>59</v>
      </c>
      <c r="E96" s="8" t="s">
        <v>60</v>
      </c>
      <c r="F96" s="8" t="s">
        <v>61</v>
      </c>
      <c r="G96" s="8" t="s">
        <v>62</v>
      </c>
      <c r="H96" s="8" t="s">
        <v>63</v>
      </c>
      <c r="I96" s="8" t="s">
        <v>64</v>
      </c>
      <c r="J96" s="8" t="s">
        <v>65</v>
      </c>
      <c r="K96" s="8" t="s">
        <v>66</v>
      </c>
    </row>
    <row r="97" spans="1:11">
      <c r="C97" s="22" t="s">
        <v>91</v>
      </c>
      <c r="D97" s="41">
        <f>'ET workings 18-19'!D130+'ET workings 18-19'!D152</f>
        <v>8865.0145032674482</v>
      </c>
      <c r="E97" s="41">
        <f>'ET workings 18-19'!E130+'ET workings 18-19'!E152</f>
        <v>9292.223932912093</v>
      </c>
      <c r="F97" s="41">
        <f>'ET workings 18-19'!F130+'ET workings 18-19'!F152</f>
        <v>9690.9793608364507</v>
      </c>
      <c r="G97" s="41">
        <f>'ET workings 18-19'!G130+'ET workings 18-19'!G152</f>
        <v>10060.752369206379</v>
      </c>
      <c r="H97" s="41">
        <f>'ET workings 18-19'!H130+'ET workings 18-19'!H152</f>
        <v>10395.80765220383</v>
      </c>
      <c r="I97" s="41">
        <f>'ET workings 18-19'!I130+'ET workings 18-19'!I152</f>
        <v>10879.971307554119</v>
      </c>
      <c r="J97" s="41">
        <f>'ET workings 18-19'!J130+'ET workings 18-19'!J152</f>
        <v>11393.07721158311</v>
      </c>
      <c r="K97" s="41">
        <f>'ET workings 18-19'!K130+'ET workings 18-19'!K152</f>
        <v>11637.140700762186</v>
      </c>
    </row>
    <row r="98" spans="1:11">
      <c r="C98" s="10" t="s">
        <v>86</v>
      </c>
      <c r="D98" s="42">
        <f>'ET workings 18-19'!D131+'ET workings 18-19'!D153</f>
        <v>1011.7137468531289</v>
      </c>
      <c r="E98" s="42">
        <f>'ET workings 18-19'!E131+'ET workings 18-19'!E153</f>
        <v>1010.212283983093</v>
      </c>
      <c r="F98" s="42">
        <f>'ET workings 18-19'!F131+'ET workings 18-19'!F153</f>
        <v>1008.633053689708</v>
      </c>
      <c r="G98" s="42">
        <f>'ET workings 18-19'!G131+'ET workings 18-19'!G153</f>
        <v>996.16283074393368</v>
      </c>
      <c r="H98" s="42">
        <f>'ET workings 18-19'!H131+'ET workings 18-19'!H153</f>
        <v>1165.6300533645115</v>
      </c>
      <c r="I98" s="42">
        <f>'ET workings 18-19'!I131+'ET workings 18-19'!I153</f>
        <v>1217.2860921367844</v>
      </c>
      <c r="J98" s="42">
        <f>'ET workings 18-19'!J131+'ET workings 18-19'!J153</f>
        <v>960.83858989155374</v>
      </c>
      <c r="K98" s="42">
        <f>'ET workings 18-19'!K131+'ET workings 18-19'!K153</f>
        <v>870.29635485077858</v>
      </c>
    </row>
    <row r="99" spans="1:11">
      <c r="C99" s="11" t="s">
        <v>87</v>
      </c>
      <c r="D99" s="43">
        <f>'ET workings 18-19'!D132+'ET workings 18-19'!D154</f>
        <v>-584.50431720848701</v>
      </c>
      <c r="E99" s="43">
        <f>'ET workings 18-19'!E132+'ET workings 18-19'!E154</f>
        <v>-611.45685605873553</v>
      </c>
      <c r="F99" s="43">
        <f>'ET workings 18-19'!F132+'ET workings 18-19'!F154</f>
        <v>-638.86004531978165</v>
      </c>
      <c r="G99" s="43">
        <f>'ET workings 18-19'!G132+'ET workings 18-19'!G154</f>
        <v>-661.10754774648262</v>
      </c>
      <c r="H99" s="43">
        <f>'ET workings 18-19'!H132+'ET workings 18-19'!H154</f>
        <v>-681.4663980142227</v>
      </c>
      <c r="I99" s="43">
        <f>'ET workings 18-19'!I132+'ET workings 18-19'!I154</f>
        <v>-704.1801881077937</v>
      </c>
      <c r="J99" s="43">
        <f>'ET workings 18-19'!J132+'ET workings 18-19'!J154</f>
        <v>-716.77510071247707</v>
      </c>
      <c r="K99" s="43">
        <f>'ET workings 18-19'!K132+'ET workings 18-19'!K154</f>
        <v>-722.06261360292092</v>
      </c>
    </row>
    <row r="100" spans="1:11" ht="13.8" thickBot="1">
      <c r="C100" s="13" t="s">
        <v>94</v>
      </c>
      <c r="D100" s="52">
        <f>'ET workings 18-19'!D133+'ET workings 18-19'!D155</f>
        <v>9292.223932912093</v>
      </c>
      <c r="E100" s="52">
        <f>'ET workings 18-19'!E133+'ET workings 18-19'!E155</f>
        <v>9690.9793608364489</v>
      </c>
      <c r="F100" s="52">
        <f>'ET workings 18-19'!F133+'ET workings 18-19'!F155</f>
        <v>10060.752369206379</v>
      </c>
      <c r="G100" s="52">
        <f>'ET workings 18-19'!G133+'ET workings 18-19'!G155</f>
        <v>10395.80765220383</v>
      </c>
      <c r="H100" s="52">
        <f>'ET workings 18-19'!H133+'ET workings 18-19'!H155</f>
        <v>10879.971307554117</v>
      </c>
      <c r="I100" s="52">
        <f>'ET workings 18-19'!I133+'ET workings 18-19'!I155</f>
        <v>11393.07721158311</v>
      </c>
      <c r="J100" s="52">
        <f>'ET workings 18-19'!J133+'ET workings 18-19'!J155</f>
        <v>11637.140700762186</v>
      </c>
      <c r="K100" s="52">
        <f>'ET workings 18-19'!K133+'ET workings 18-19'!K155</f>
        <v>11785.374442010043</v>
      </c>
    </row>
    <row r="102" spans="1:11" ht="13.8" thickBot="1"/>
    <row r="103" spans="1:11" ht="13.8" thickBot="1">
      <c r="C103" s="7" t="s">
        <v>58</v>
      </c>
      <c r="D103" s="8" t="s">
        <v>59</v>
      </c>
      <c r="E103" s="8" t="s">
        <v>60</v>
      </c>
      <c r="F103" s="8" t="s">
        <v>61</v>
      </c>
      <c r="G103" s="8" t="s">
        <v>62</v>
      </c>
      <c r="H103" s="8" t="s">
        <v>63</v>
      </c>
      <c r="I103" s="8" t="s">
        <v>64</v>
      </c>
      <c r="J103" s="8" t="s">
        <v>65</v>
      </c>
      <c r="K103" s="8" t="s">
        <v>66</v>
      </c>
    </row>
    <row r="104" spans="1:11">
      <c r="C104" s="10" t="s">
        <v>370</v>
      </c>
      <c r="D104" s="169">
        <f>'ET workings 18-19'!D86</f>
        <v>13.751034124367685</v>
      </c>
      <c r="E104" s="169">
        <f>'ET workings 18-19'!E86</f>
        <v>13.274690050778315</v>
      </c>
      <c r="F104" s="169">
        <f>'ET workings 18-19'!F86</f>
        <v>12.798257977175346</v>
      </c>
      <c r="G104" s="169">
        <f>'ET workings 18-19'!G86</f>
        <v>0</v>
      </c>
      <c r="H104" s="169">
        <f>'ET workings 18-19'!H86</f>
        <v>0</v>
      </c>
      <c r="I104" s="169">
        <f>'ET workings 18-19'!I86</f>
        <v>0</v>
      </c>
      <c r="J104" s="169">
        <f>'ET workings 18-19'!J86</f>
        <v>0</v>
      </c>
      <c r="K104" s="169">
        <f>'ET workings 18-19'!K86</f>
        <v>0</v>
      </c>
    </row>
    <row r="105" spans="1:11">
      <c r="C105" s="170" t="s">
        <v>371</v>
      </c>
      <c r="D105" s="171">
        <v>0</v>
      </c>
      <c r="E105" s="171">
        <v>0</v>
      </c>
      <c r="F105" s="171">
        <v>0</v>
      </c>
      <c r="G105" s="171">
        <v>0</v>
      </c>
      <c r="H105" s="171">
        <v>0</v>
      </c>
      <c r="I105" s="171">
        <v>0</v>
      </c>
      <c r="J105" s="171">
        <v>0</v>
      </c>
      <c r="K105" s="171">
        <v>0</v>
      </c>
    </row>
    <row r="106" spans="1:11">
      <c r="C106" s="10"/>
      <c r="D106" s="169"/>
      <c r="E106" s="169"/>
      <c r="F106" s="169"/>
      <c r="G106" s="169"/>
      <c r="H106" s="169"/>
      <c r="I106" s="169"/>
      <c r="J106" s="169"/>
      <c r="K106" s="169"/>
    </row>
    <row r="107" spans="1:11">
      <c r="C107" s="11" t="s">
        <v>372</v>
      </c>
      <c r="D107" s="171">
        <f>'ET workings 18-19'!D88</f>
        <v>123</v>
      </c>
      <c r="E107" s="171">
        <f>'ET workings 18-19'!E88</f>
        <v>122.8</v>
      </c>
      <c r="F107" s="171">
        <f>'ET workings 18-19'!F88</f>
        <v>129.80000000000001</v>
      </c>
      <c r="G107" s="171">
        <f>'ET workings 18-19'!G88</f>
        <v>125.6</v>
      </c>
      <c r="H107" s="171">
        <f>'ET workings 18-19'!H88</f>
        <v>127.3</v>
      </c>
      <c r="I107" s="171">
        <f>'ET workings 18-19'!I88</f>
        <v>128.6</v>
      </c>
      <c r="J107" s="171">
        <f>'ET workings 18-19'!J88</f>
        <v>130.19999999999999</v>
      </c>
      <c r="K107" s="171">
        <f>'ET workings 18-19'!K88</f>
        <v>131.69999999999999</v>
      </c>
    </row>
    <row r="108" spans="1:11">
      <c r="C108" s="10" t="s">
        <v>373</v>
      </c>
      <c r="D108" s="169">
        <f>-D107</f>
        <v>-123</v>
      </c>
      <c r="E108" s="169">
        <f t="shared" ref="E108:K108" si="21">-E107</f>
        <v>-122.8</v>
      </c>
      <c r="F108" s="169">
        <f t="shared" si="21"/>
        <v>-129.80000000000001</v>
      </c>
      <c r="G108" s="169">
        <f t="shared" si="21"/>
        <v>-125.6</v>
      </c>
      <c r="H108" s="169">
        <f t="shared" si="21"/>
        <v>-127.3</v>
      </c>
      <c r="I108" s="169">
        <f t="shared" si="21"/>
        <v>-128.6</v>
      </c>
      <c r="J108" s="169">
        <f t="shared" si="21"/>
        <v>-130.19999999999999</v>
      </c>
      <c r="K108" s="169">
        <f t="shared" si="21"/>
        <v>-131.69999999999999</v>
      </c>
    </row>
    <row r="109" spans="1:11">
      <c r="C109" s="11"/>
      <c r="D109" s="171"/>
      <c r="E109" s="171"/>
      <c r="F109" s="171"/>
      <c r="G109" s="171"/>
      <c r="H109" s="171"/>
      <c r="I109" s="171"/>
      <c r="J109" s="171"/>
      <c r="K109" s="171"/>
    </row>
    <row r="110" spans="1:11" ht="13.8" thickBot="1">
      <c r="C110" s="40" t="s">
        <v>374</v>
      </c>
      <c r="D110" s="46">
        <f>SUM('ET workings 18-19'!D169:D170)</f>
        <v>53.1</v>
      </c>
      <c r="E110" s="46">
        <f>SUM('ET workings 18-19'!E169:E170)</f>
        <v>53.000000000000007</v>
      </c>
      <c r="F110" s="46">
        <f>SUM('ET workings 18-19'!F169:F170)</f>
        <v>50.999999999999993</v>
      </c>
      <c r="G110" s="46">
        <f>SUM('ET workings 18-19'!G169:G170)</f>
        <v>57.5</v>
      </c>
      <c r="H110" s="46">
        <f>SUM('ET workings 18-19'!H169:H170)</f>
        <v>49</v>
      </c>
      <c r="I110" s="46">
        <f>SUM('ET workings 18-19'!I169:I170)</f>
        <v>28.499999999999996</v>
      </c>
      <c r="J110" s="46">
        <f>SUM('ET workings 18-19'!J169:J170)</f>
        <v>3.6999999999999993</v>
      </c>
      <c r="K110" s="46">
        <f>SUM('ET workings 18-19'!K169:K170)</f>
        <v>0</v>
      </c>
    </row>
    <row r="111" spans="1:11">
      <c r="A111" s="38" t="s">
        <v>364</v>
      </c>
    </row>
    <row r="112" spans="1:11" ht="13.8" thickBot="1">
      <c r="C112" s="38" t="s">
        <v>122</v>
      </c>
    </row>
    <row r="113" spans="1:14" ht="13.8" thickBot="1">
      <c r="C113" s="7" t="s">
        <v>58</v>
      </c>
      <c r="D113" s="8" t="s">
        <v>59</v>
      </c>
      <c r="E113" s="8" t="s">
        <v>60</v>
      </c>
      <c r="F113" s="8" t="s">
        <v>61</v>
      </c>
      <c r="G113" s="8" t="s">
        <v>62</v>
      </c>
      <c r="H113" s="8" t="s">
        <v>63</v>
      </c>
      <c r="I113" s="8" t="s">
        <v>64</v>
      </c>
      <c r="J113" s="8" t="s">
        <v>65</v>
      </c>
      <c r="K113" s="8" t="s">
        <v>66</v>
      </c>
    </row>
    <row r="114" spans="1:14">
      <c r="C114" s="22" t="s">
        <v>91</v>
      </c>
      <c r="D114" s="41">
        <f>'ET workings 18-19'!D152</f>
        <v>74.160747515587701</v>
      </c>
      <c r="E114" s="41">
        <f>'ET workings 18-19'!E152</f>
        <v>94.867572674081416</v>
      </c>
      <c r="F114" s="41">
        <f>'ET workings 18-19'!F152</f>
        <v>107.32321132105858</v>
      </c>
      <c r="G114" s="41">
        <f>'ET workings 18-19'!G152</f>
        <v>117.25614636668001</v>
      </c>
      <c r="H114" s="41">
        <f>'ET workings 18-19'!H152</f>
        <v>126.83711588396275</v>
      </c>
      <c r="I114" s="41">
        <f>'ET workings 18-19'!I152</f>
        <v>130.85477652434648</v>
      </c>
      <c r="J114" s="41">
        <f>'ET workings 18-19'!J152</f>
        <v>130.20874357842737</v>
      </c>
      <c r="K114" s="41">
        <f>'ET workings 18-19'!K152</f>
        <v>129.79015438526633</v>
      </c>
    </row>
    <row r="115" spans="1:14">
      <c r="C115" s="10" t="s">
        <v>86</v>
      </c>
      <c r="D115" s="42">
        <f>'ET workings 18-19'!D153</f>
        <v>36.352146511857903</v>
      </c>
      <c r="E115" s="42">
        <f>'ET workings 18-19'!E153</f>
        <v>31.835077135425333</v>
      </c>
      <c r="F115" s="42">
        <f>'ET workings 18-19'!F153</f>
        <v>32.455366516102345</v>
      </c>
      <c r="G115" s="42">
        <f>'ET workings 18-19'!G153</f>
        <v>34.910693515306264</v>
      </c>
      <c r="H115" s="42">
        <f>'ET workings 18-19'!H153</f>
        <v>32.868884975305278</v>
      </c>
      <c r="I115" s="42">
        <f>'ET workings 18-19'!I153</f>
        <v>30.392860005229078</v>
      </c>
      <c r="J115" s="42">
        <f>'ET workings 18-19'!J153</f>
        <v>32.114045913817506</v>
      </c>
      <c r="K115" s="42">
        <f>'ET workings 18-19'!K153</f>
        <v>32.530234597643322</v>
      </c>
    </row>
    <row r="116" spans="1:14">
      <c r="C116" s="11" t="s">
        <v>87</v>
      </c>
      <c r="D116" s="43">
        <f>'ET workings 18-19'!D154</f>
        <v>-15.645321353364194</v>
      </c>
      <c r="E116" s="43">
        <f>'ET workings 18-19'!E154</f>
        <v>-19.379438488448173</v>
      </c>
      <c r="F116" s="43">
        <f>'ET workings 18-19'!F154</f>
        <v>-22.522431470480917</v>
      </c>
      <c r="G116" s="43">
        <f>'ET workings 18-19'!G154</f>
        <v>-25.329723998023518</v>
      </c>
      <c r="H116" s="43">
        <f>'ET workings 18-19'!H154</f>
        <v>-28.851224334921568</v>
      </c>
      <c r="I116" s="43">
        <f>'ET workings 18-19'!I154</f>
        <v>-31.038892951148178</v>
      </c>
      <c r="J116" s="43">
        <f>'ET workings 18-19'!J154</f>
        <v>-32.532635106978553</v>
      </c>
      <c r="K116" s="43">
        <f>'ET workings 18-19'!K154</f>
        <v>-32.989867796149099</v>
      </c>
    </row>
    <row r="117" spans="1:14" ht="13.8" thickBot="1">
      <c r="C117" s="13" t="s">
        <v>94</v>
      </c>
      <c r="D117" s="52">
        <f>'ET workings 18-19'!D155</f>
        <v>94.867572674081416</v>
      </c>
      <c r="E117" s="52">
        <f>'ET workings 18-19'!E155</f>
        <v>107.32321132105858</v>
      </c>
      <c r="F117" s="52">
        <f>'ET workings 18-19'!F155</f>
        <v>117.25614636668001</v>
      </c>
      <c r="G117" s="52">
        <f>'ET workings 18-19'!G155</f>
        <v>126.83711588396275</v>
      </c>
      <c r="H117" s="52">
        <f>'ET workings 18-19'!H155</f>
        <v>130.85477652434648</v>
      </c>
      <c r="I117" s="52">
        <f>'ET workings 18-19'!I155</f>
        <v>130.20874357842737</v>
      </c>
      <c r="J117" s="52">
        <f>'ET workings 18-19'!J155</f>
        <v>129.79015438526633</v>
      </c>
      <c r="K117" s="52">
        <f>'ET workings 18-19'!K155</f>
        <v>129.33052118676056</v>
      </c>
    </row>
    <row r="119" spans="1:14" ht="13.8" thickBot="1">
      <c r="C119" s="38" t="s">
        <v>395</v>
      </c>
    </row>
    <row r="120" spans="1:14" ht="13.8" thickBot="1">
      <c r="C120" s="14" t="s">
        <v>58</v>
      </c>
      <c r="D120" s="15" t="s">
        <v>59</v>
      </c>
      <c r="E120" s="15" t="s">
        <v>60</v>
      </c>
      <c r="F120" s="15" t="s">
        <v>61</v>
      </c>
      <c r="G120" s="15" t="s">
        <v>62</v>
      </c>
      <c r="H120" s="15" t="s">
        <v>63</v>
      </c>
      <c r="I120" s="15" t="s">
        <v>64</v>
      </c>
      <c r="J120" s="15" t="s">
        <v>65</v>
      </c>
      <c r="K120" s="15" t="s">
        <v>66</v>
      </c>
      <c r="L120" s="15" t="s">
        <v>118</v>
      </c>
    </row>
    <row r="121" spans="1:14">
      <c r="C121" s="16"/>
      <c r="D121" s="26"/>
      <c r="E121" s="26"/>
      <c r="F121" s="26"/>
      <c r="G121" s="26"/>
      <c r="H121" s="26"/>
      <c r="I121" s="26"/>
      <c r="J121" s="26"/>
      <c r="K121" s="26"/>
      <c r="L121" s="26"/>
    </row>
    <row r="122" spans="1:14">
      <c r="A122" t="s">
        <v>338</v>
      </c>
      <c r="C122" s="17" t="s">
        <v>119</v>
      </c>
      <c r="D122" s="27">
        <f>'ET workings 18-19'!D8+'ET workings 18-19'!D12</f>
        <v>52.005926089795061</v>
      </c>
      <c r="E122" s="27">
        <f>'ET workings 18-19'!E8+'ET workings 18-19'!E12</f>
        <v>36.494625552298665</v>
      </c>
      <c r="F122" s="27">
        <f>'ET workings 18-19'!F8+'ET workings 18-19'!F12</f>
        <v>31.362914997890812</v>
      </c>
      <c r="G122" s="27">
        <f>'ET workings 18-19'!G8+'ET workings 18-19'!G12</f>
        <v>29.982403278845624</v>
      </c>
      <c r="H122" s="27">
        <f>'ET workings 18-19'!H8+'ET workings 18-19'!H12</f>
        <v>30.702102023183325</v>
      </c>
      <c r="I122" s="27">
        <f>'ET workings 18-19'!I8+'ET workings 18-19'!I12</f>
        <v>21.467897958036218</v>
      </c>
      <c r="J122" s="27">
        <f>'ET workings 18-19'!J8+'ET workings 18-19'!J12</f>
        <v>26.515810428292696</v>
      </c>
      <c r="K122" s="27">
        <f>'ET workings 18-19'!K8+'ET workings 18-19'!K12</f>
        <v>26.452824166461681</v>
      </c>
      <c r="L122" s="28">
        <f>SUM(D122:K122)</f>
        <v>254.98450449480407</v>
      </c>
      <c r="N122" s="53"/>
    </row>
    <row r="123" spans="1:14">
      <c r="C123" s="18" t="s">
        <v>396</v>
      </c>
      <c r="D123" s="29">
        <f>'ET workings 18-19'!D7+'ET workings 18-19'!D13</f>
        <v>74.117786922864468</v>
      </c>
      <c r="E123" s="29">
        <f>'ET workings 18-19'!E7+'ET workings 18-19'!E13</f>
        <v>78.03070971214818</v>
      </c>
      <c r="F123" s="29">
        <f>'ET workings 18-19'!F7+'ET workings 18-19'!F13</f>
        <v>85.475087673810293</v>
      </c>
      <c r="G123" s="29">
        <f>'ET workings 18-19'!G7+'ET workings 18-19'!G13</f>
        <v>87.032941573387447</v>
      </c>
      <c r="H123" s="29">
        <f>'ET workings 18-19'!H7+'ET workings 18-19'!H13</f>
        <v>87.107521544219082</v>
      </c>
      <c r="I123" s="29">
        <f>'ET workings 18-19'!I7+'ET workings 18-19'!I13</f>
        <v>87.467084139559034</v>
      </c>
      <c r="J123" s="29">
        <f>'ET workings 18-19'!J7+'ET workings 18-19'!J13</f>
        <v>88.588296789691185</v>
      </c>
      <c r="K123" s="29">
        <f>'ET workings 18-19'!K7+'ET workings 18-19'!K13</f>
        <v>90.142998764159543</v>
      </c>
      <c r="L123" s="30">
        <f t="shared" ref="L123:L130" si="22">SUM(D123:K123)</f>
        <v>677.96242711983916</v>
      </c>
      <c r="N123" s="53"/>
    </row>
    <row r="124" spans="1:14">
      <c r="C124" s="19" t="s">
        <v>71</v>
      </c>
      <c r="D124" s="31">
        <f>SUM(D122:D123)</f>
        <v>126.12371301265952</v>
      </c>
      <c r="E124" s="31">
        <f t="shared" ref="E124:K124" si="23">SUM(E122:E123)</f>
        <v>114.52533526444685</v>
      </c>
      <c r="F124" s="31">
        <f t="shared" si="23"/>
        <v>116.8380026717011</v>
      </c>
      <c r="G124" s="31">
        <f t="shared" si="23"/>
        <v>117.01534485223307</v>
      </c>
      <c r="H124" s="31">
        <f t="shared" si="23"/>
        <v>117.80962356740241</v>
      </c>
      <c r="I124" s="31">
        <f t="shared" si="23"/>
        <v>108.93498209759525</v>
      </c>
      <c r="J124" s="31">
        <f t="shared" si="23"/>
        <v>115.10410721798388</v>
      </c>
      <c r="K124" s="31">
        <f t="shared" si="23"/>
        <v>116.59582293062122</v>
      </c>
      <c r="L124" s="28">
        <f t="shared" si="22"/>
        <v>932.94693161464318</v>
      </c>
    </row>
    <row r="125" spans="1:14">
      <c r="A125" t="s">
        <v>346</v>
      </c>
      <c r="C125" s="17" t="s">
        <v>121</v>
      </c>
      <c r="D125" s="27">
        <f>'ET workings 18-19'!D31+'ET workings 18-19'!D35</f>
        <v>32.211047115864652</v>
      </c>
      <c r="E125" s="27">
        <f>'ET workings 18-19'!E31+'ET workings 18-19'!E35</f>
        <v>34.407051612012893</v>
      </c>
      <c r="F125" s="27">
        <f>'ET workings 18-19'!F31+'ET workings 18-19'!F35</f>
        <v>33.431784730351914</v>
      </c>
      <c r="G125" s="27">
        <f>'ET workings 18-19'!G31+'ET workings 18-19'!G35</f>
        <v>45.046194512275676</v>
      </c>
      <c r="H125" s="27">
        <f>'ET workings 18-19'!H31+'ET workings 18-19'!H35</f>
        <v>30.702102023183325</v>
      </c>
      <c r="I125" s="27">
        <f>'ET workings 18-19'!I31+'ET workings 18-19'!I35</f>
        <v>21.467897958036218</v>
      </c>
      <c r="J125" s="27">
        <f>'ET workings 18-19'!J31+'ET workings 18-19'!J35</f>
        <v>26.515810428292696</v>
      </c>
      <c r="K125" s="27">
        <f>'ET workings 18-19'!K31+'ET workings 18-19'!K35</f>
        <v>26.452824166461681</v>
      </c>
      <c r="L125" s="28">
        <f t="shared" si="22"/>
        <v>250.23471254647905</v>
      </c>
      <c r="N125" s="53"/>
    </row>
    <row r="126" spans="1:14">
      <c r="C126" s="18" t="s">
        <v>387</v>
      </c>
      <c r="D126" s="29">
        <f>'ET workings 18-19'!D30+'ET workings 18-19'!D36</f>
        <v>81.99098257707</v>
      </c>
      <c r="E126" s="29">
        <f>'ET workings 18-19'!E30+'ET workings 18-19'!E36</f>
        <v>79.325370564392955</v>
      </c>
      <c r="F126" s="29">
        <f>'ET workings 18-19'!F30+'ET workings 18-19'!F36</f>
        <v>82.444959949703616</v>
      </c>
      <c r="G126" s="29">
        <f>'ET workings 18-19'!G30+'ET workings 18-19'!G36</f>
        <v>87.24421886638244</v>
      </c>
      <c r="H126" s="29">
        <f>'ET workings 18-19'!H30+'ET workings 18-19'!H36</f>
        <v>87.107521544219082</v>
      </c>
      <c r="I126" s="29">
        <f>'ET workings 18-19'!I30+'ET workings 18-19'!I36</f>
        <v>87.467084139559034</v>
      </c>
      <c r="J126" s="29">
        <f>'ET workings 18-19'!J30+'ET workings 18-19'!J36</f>
        <v>88.588296789691185</v>
      </c>
      <c r="K126" s="29">
        <f>'ET workings 18-19'!K30+'ET workings 18-19'!K36</f>
        <v>90.142998764159543</v>
      </c>
      <c r="L126" s="30">
        <f t="shared" si="22"/>
        <v>684.31143319517787</v>
      </c>
      <c r="N126" s="53"/>
    </row>
    <row r="127" spans="1:14">
      <c r="C127" s="19" t="s">
        <v>77</v>
      </c>
      <c r="D127" s="31">
        <f>SUM(D125:D126)</f>
        <v>114.20202969293464</v>
      </c>
      <c r="E127" s="31">
        <f t="shared" ref="E127:K127" si="24">SUM(E125:E126)</f>
        <v>113.73242217640585</v>
      </c>
      <c r="F127" s="31">
        <f t="shared" si="24"/>
        <v>115.87674468005554</v>
      </c>
      <c r="G127" s="31">
        <f t="shared" si="24"/>
        <v>132.29041337865812</v>
      </c>
      <c r="H127" s="31">
        <f t="shared" si="24"/>
        <v>117.80962356740241</v>
      </c>
      <c r="I127" s="31">
        <f t="shared" si="24"/>
        <v>108.93498209759525</v>
      </c>
      <c r="J127" s="31">
        <f t="shared" si="24"/>
        <v>115.10410721798388</v>
      </c>
      <c r="K127" s="31">
        <f t="shared" si="24"/>
        <v>116.59582293062122</v>
      </c>
      <c r="L127" s="28">
        <f t="shared" si="22"/>
        <v>934.54614574165691</v>
      </c>
    </row>
    <row r="128" spans="1:14">
      <c r="A128" t="s">
        <v>233</v>
      </c>
      <c r="C128" s="17" t="s">
        <v>388</v>
      </c>
      <c r="D128" s="27">
        <f>D122-(D122-D125)*$K$2</f>
        <v>41.492865866740622</v>
      </c>
      <c r="E128" s="27">
        <f t="shared" ref="E128:K129" si="25">E122-(E122-E125)*$K$2</f>
        <v>35.385915032612893</v>
      </c>
      <c r="F128" s="27">
        <f t="shared" si="25"/>
        <v>32.461691712800906</v>
      </c>
      <c r="G128" s="27">
        <f t="shared" si="25"/>
        <v>37.982782802920326</v>
      </c>
      <c r="H128" s="27">
        <f t="shared" si="25"/>
        <v>30.702102023183325</v>
      </c>
      <c r="I128" s="27">
        <f t="shared" si="25"/>
        <v>21.467897958036218</v>
      </c>
      <c r="J128" s="27">
        <f t="shared" si="25"/>
        <v>26.515810428292696</v>
      </c>
      <c r="K128" s="27">
        <f t="shared" si="25"/>
        <v>26.452824166461681</v>
      </c>
      <c r="L128" s="28">
        <f t="shared" si="22"/>
        <v>252.46188999104868</v>
      </c>
      <c r="N128" s="53"/>
    </row>
    <row r="129" spans="1:14">
      <c r="C129" s="18" t="s">
        <v>389</v>
      </c>
      <c r="D129" s="29">
        <f>D123-(D123-D126)*$K$2</f>
        <v>78.29924113481303</v>
      </c>
      <c r="E129" s="29">
        <f t="shared" si="25"/>
        <v>78.718304090775376</v>
      </c>
      <c r="F129" s="29">
        <f t="shared" si="25"/>
        <v>83.865786839537236</v>
      </c>
      <c r="G129" s="29">
        <f t="shared" si="25"/>
        <v>87.145150943697089</v>
      </c>
      <c r="H129" s="29">
        <f t="shared" si="25"/>
        <v>87.107521544219082</v>
      </c>
      <c r="I129" s="29">
        <f t="shared" si="25"/>
        <v>87.467084139559034</v>
      </c>
      <c r="J129" s="29">
        <f t="shared" si="25"/>
        <v>88.588296789691185</v>
      </c>
      <c r="K129" s="29">
        <f t="shared" si="25"/>
        <v>90.142998764159543</v>
      </c>
      <c r="L129" s="30">
        <f t="shared" si="22"/>
        <v>681.33438424645158</v>
      </c>
      <c r="N129" s="53"/>
    </row>
    <row r="130" spans="1:14">
      <c r="C130" s="19" t="s">
        <v>78</v>
      </c>
      <c r="D130" s="31">
        <f>SUM(D128:D129)</f>
        <v>119.79210700155366</v>
      </c>
      <c r="E130" s="31">
        <f t="shared" ref="E130:K130" si="26">SUM(E128:E129)</f>
        <v>114.10421912338828</v>
      </c>
      <c r="F130" s="31">
        <f t="shared" si="26"/>
        <v>116.32747855233814</v>
      </c>
      <c r="G130" s="31">
        <f t="shared" si="26"/>
        <v>125.12793374661742</v>
      </c>
      <c r="H130" s="31">
        <f t="shared" si="26"/>
        <v>117.80962356740241</v>
      </c>
      <c r="I130" s="31">
        <f t="shared" si="26"/>
        <v>108.93498209759525</v>
      </c>
      <c r="J130" s="31">
        <f t="shared" si="26"/>
        <v>115.10410721798388</v>
      </c>
      <c r="K130" s="31">
        <f t="shared" si="26"/>
        <v>116.59582293062122</v>
      </c>
      <c r="L130" s="28">
        <f t="shared" si="22"/>
        <v>933.79627423750037</v>
      </c>
    </row>
    <row r="131" spans="1:14">
      <c r="C131" s="20"/>
      <c r="D131" s="32"/>
      <c r="E131" s="32"/>
      <c r="F131" s="32"/>
      <c r="G131" s="32"/>
      <c r="H131" s="32"/>
      <c r="I131" s="32"/>
      <c r="J131" s="32"/>
      <c r="K131" s="32"/>
      <c r="L131" s="33"/>
    </row>
    <row r="132" spans="1:14">
      <c r="C132" s="17" t="s">
        <v>79</v>
      </c>
      <c r="D132" s="27">
        <f>'ET workings 18-19'!D175</f>
        <v>86.370109148120179</v>
      </c>
      <c r="E132" s="27">
        <f>'ET workings 18-19'!E175</f>
        <v>82.269141987962939</v>
      </c>
      <c r="F132" s="27">
        <f>'ET workings 18-19'!F175</f>
        <v>83.872112036235805</v>
      </c>
      <c r="G132" s="27">
        <f>'ET workings 18-19'!G175</f>
        <v>90.217240231311152</v>
      </c>
      <c r="H132" s="27">
        <f>'ET workings 18-19'!H175</f>
        <v>84.940738592097134</v>
      </c>
      <c r="I132" s="27">
        <f>'ET workings 18-19'!I175</f>
        <v>78.542122092366171</v>
      </c>
      <c r="J132" s="27">
        <f>'ET workings 18-19'!J175</f>
        <v>82.990061304166375</v>
      </c>
      <c r="K132" s="27">
        <f>'ET workings 18-19'!K175</f>
        <v>84.065588332977896</v>
      </c>
      <c r="L132" s="28">
        <f t="shared" ref="L132:L134" si="27">SUM(D132:K132)</f>
        <v>673.26711372523766</v>
      </c>
    </row>
    <row r="133" spans="1:14">
      <c r="C133" s="18" t="s">
        <v>80</v>
      </c>
      <c r="D133" s="29">
        <f>'ET workings 18-19'!D174</f>
        <v>33.421997853433467</v>
      </c>
      <c r="E133" s="29">
        <f>'ET workings 18-19'!E174</f>
        <v>31.835077135425333</v>
      </c>
      <c r="F133" s="29">
        <f>'ET workings 18-19'!F174</f>
        <v>32.455366516102345</v>
      </c>
      <c r="G133" s="29">
        <f>'ET workings 18-19'!G174</f>
        <v>34.910693515306264</v>
      </c>
      <c r="H133" s="29">
        <f>'ET workings 18-19'!H174</f>
        <v>32.868884975305278</v>
      </c>
      <c r="I133" s="29">
        <f>'ET workings 18-19'!I174</f>
        <v>30.392860005229078</v>
      </c>
      <c r="J133" s="29">
        <f>'ET workings 18-19'!J174</f>
        <v>32.114045913817506</v>
      </c>
      <c r="K133" s="29">
        <f>'ET workings 18-19'!K174</f>
        <v>32.530234597643322</v>
      </c>
      <c r="L133" s="30">
        <f t="shared" si="27"/>
        <v>260.52916051226254</v>
      </c>
    </row>
    <row r="134" spans="1:14" ht="13.8" thickBot="1">
      <c r="C134" s="21" t="s">
        <v>390</v>
      </c>
      <c r="D134" s="34">
        <f t="shared" ref="D134:K134" si="28">SUM(D132:D133)</f>
        <v>119.79210700155365</v>
      </c>
      <c r="E134" s="34">
        <f t="shared" si="28"/>
        <v>114.10421912338828</v>
      </c>
      <c r="F134" s="34">
        <f t="shared" si="28"/>
        <v>116.32747855233815</v>
      </c>
      <c r="G134" s="34">
        <f t="shared" si="28"/>
        <v>125.12793374661742</v>
      </c>
      <c r="H134" s="34">
        <f t="shared" si="28"/>
        <v>117.80962356740241</v>
      </c>
      <c r="I134" s="34">
        <f t="shared" si="28"/>
        <v>108.93498209759525</v>
      </c>
      <c r="J134" s="34">
        <f t="shared" si="28"/>
        <v>115.10410721798388</v>
      </c>
      <c r="K134" s="34">
        <f t="shared" si="28"/>
        <v>116.59582293062121</v>
      </c>
      <c r="L134" s="35">
        <f t="shared" si="27"/>
        <v>933.79627423750037</v>
      </c>
    </row>
    <row r="136" spans="1:14" ht="13.8" thickBot="1">
      <c r="A136" s="38" t="s">
        <v>375</v>
      </c>
    </row>
    <row r="137" spans="1:14" ht="13.8" thickBot="1">
      <c r="C137" s="7" t="s">
        <v>58</v>
      </c>
      <c r="D137" s="8" t="s">
        <v>59</v>
      </c>
      <c r="E137" s="8" t="s">
        <v>60</v>
      </c>
      <c r="F137" s="8" t="s">
        <v>61</v>
      </c>
      <c r="G137" s="8" t="s">
        <v>62</v>
      </c>
      <c r="H137" s="8" t="s">
        <v>63</v>
      </c>
      <c r="I137" s="8" t="s">
        <v>64</v>
      </c>
      <c r="J137" s="8" t="s">
        <v>65</v>
      </c>
      <c r="K137" s="8" t="s">
        <v>66</v>
      </c>
    </row>
    <row r="138" spans="1:14">
      <c r="C138" s="22" t="s">
        <v>79</v>
      </c>
      <c r="D138" s="41">
        <f>'ET workings 18-19'!D203</f>
        <v>86.370109148120179</v>
      </c>
      <c r="E138" s="41">
        <f>'ET workings 18-19'!E203</f>
        <v>82.269141987962939</v>
      </c>
      <c r="F138" s="41">
        <f>'ET workings 18-19'!F203</f>
        <v>83.872112036235805</v>
      </c>
      <c r="G138" s="41">
        <f>'ET workings 18-19'!G203</f>
        <v>90.217240231311152</v>
      </c>
      <c r="H138" s="41">
        <f>'ET workings 18-19'!H203</f>
        <v>84.940738592097134</v>
      </c>
      <c r="I138" s="41">
        <f>'ET workings 18-19'!I203</f>
        <v>78.542122092366171</v>
      </c>
      <c r="J138" s="41">
        <f>'ET workings 18-19'!J203</f>
        <v>82.990061304166375</v>
      </c>
      <c r="K138" s="41">
        <f>'ET workings 18-19'!K203</f>
        <v>84.065588332977896</v>
      </c>
      <c r="L138" s="28"/>
    </row>
    <row r="139" spans="1:14">
      <c r="C139" s="10" t="s">
        <v>98</v>
      </c>
      <c r="D139" s="42">
        <f>'ET workings 18-19'!D204</f>
        <v>0</v>
      </c>
      <c r="E139" s="42">
        <f>'ET workings 18-19'!E204</f>
        <v>0</v>
      </c>
      <c r="F139" s="42">
        <f>'ET workings 18-19'!F204</f>
        <v>0</v>
      </c>
      <c r="G139" s="42">
        <f>'ET workings 18-19'!G204</f>
        <v>0</v>
      </c>
      <c r="H139" s="42">
        <f>'ET workings 18-19'!H204</f>
        <v>0</v>
      </c>
      <c r="I139" s="42">
        <f>'ET workings 18-19'!I204</f>
        <v>0</v>
      </c>
      <c r="J139" s="42">
        <f>'ET workings 18-19'!J204</f>
        <v>0</v>
      </c>
      <c r="K139" s="42">
        <f>'ET workings 18-19'!K204</f>
        <v>0</v>
      </c>
      <c r="L139" s="28"/>
    </row>
    <row r="140" spans="1:14">
      <c r="C140" s="11" t="s">
        <v>99</v>
      </c>
      <c r="D140" s="43">
        <f>'ET workings 18-19'!D251</f>
        <v>10.271521977223172</v>
      </c>
      <c r="E140" s="43">
        <f>'ET workings 18-19'!E251</f>
        <v>10.214748985437437</v>
      </c>
      <c r="F140" s="43">
        <f>'ET workings 18-19'!F251</f>
        <v>11.357789408220997</v>
      </c>
      <c r="G140" s="43">
        <f>'ET workings 18-19'!G251</f>
        <v>11.50271907609619</v>
      </c>
      <c r="H140" s="43">
        <f>'ET workings 18-19'!H251</f>
        <v>11.448485075095853</v>
      </c>
      <c r="I140" s="43">
        <f>'ET workings 18-19'!I251</f>
        <v>10.074085894010073</v>
      </c>
      <c r="J140" s="43">
        <f>'ET workings 18-19'!J251</f>
        <v>10.222290137908479</v>
      </c>
      <c r="K140" s="43">
        <f>'ET workings 18-19'!K251</f>
        <v>10.172431228326722</v>
      </c>
      <c r="L140" s="28"/>
    </row>
    <row r="141" spans="1:14">
      <c r="C141" s="10" t="s">
        <v>100</v>
      </c>
      <c r="D141" s="42">
        <f>'ET workings 18-19'!D207</f>
        <v>0</v>
      </c>
      <c r="E141" s="42">
        <f>'ET workings 18-19'!E207</f>
        <v>0</v>
      </c>
      <c r="F141" s="42">
        <f>'ET workings 18-19'!F207</f>
        <v>0</v>
      </c>
      <c r="G141" s="42">
        <f>'ET workings 18-19'!G207</f>
        <v>0</v>
      </c>
      <c r="H141" s="42">
        <f>'ET workings 18-19'!H207</f>
        <v>0</v>
      </c>
      <c r="I141" s="42">
        <f>'ET workings 18-19'!I207</f>
        <v>0</v>
      </c>
      <c r="J141" s="42">
        <f>'ET workings 18-19'!J207</f>
        <v>0</v>
      </c>
      <c r="K141" s="42">
        <f>'ET workings 18-19'!K207</f>
        <v>0</v>
      </c>
      <c r="L141" s="28"/>
    </row>
    <row r="142" spans="1:14">
      <c r="C142" s="11" t="s">
        <v>101</v>
      </c>
      <c r="D142" s="43">
        <f>'ET workings 18-19'!D208</f>
        <v>0.93219394583370063</v>
      </c>
      <c r="E142" s="43">
        <f>'ET workings 18-19'!E208</f>
        <v>0.89969793099769957</v>
      </c>
      <c r="F142" s="43">
        <f>'ET workings 18-19'!F208</f>
        <v>0.87783267686821997</v>
      </c>
      <c r="G142" s="43">
        <f>'ET workings 18-19'!G208</f>
        <v>0.87232109317784756</v>
      </c>
      <c r="H142" s="43">
        <f>'ET workings 18-19'!H208</f>
        <v>0.89875958568159287</v>
      </c>
      <c r="I142" s="43">
        <f>'ET workings 18-19'!I208</f>
        <v>0.82801710222961222</v>
      </c>
      <c r="J142" s="43">
        <f>'ET workings 18-19'!J208</f>
        <v>0.88417658562860901</v>
      </c>
      <c r="K142" s="43">
        <f>'ET workings 18-19'!K208</f>
        <v>0.89982415652833247</v>
      </c>
      <c r="L142" s="28"/>
    </row>
    <row r="143" spans="1:14">
      <c r="C143" s="10" t="s">
        <v>102</v>
      </c>
      <c r="D143" s="42">
        <f>'ET workings 18-19'!D210</f>
        <v>1.4521360461839699</v>
      </c>
      <c r="E143" s="42">
        <f>'ET workings 18-19'!E210</f>
        <v>1.1036807868804244</v>
      </c>
      <c r="F143" s="42">
        <f>'ET workings 18-19'!F210</f>
        <v>0.98058307041899617</v>
      </c>
      <c r="G143" s="42">
        <f>'ET workings 18-19'!G210</f>
        <v>1.1629663939654993</v>
      </c>
      <c r="H143" s="42">
        <f>'ET workings 18-19'!H210</f>
        <v>0.60361916118799863</v>
      </c>
      <c r="I143" s="42">
        <f>'ET workings 18-19'!I210</f>
        <v>0</v>
      </c>
      <c r="J143" s="42">
        <f>'ET workings 18-19'!J210</f>
        <v>0.96374799482875384</v>
      </c>
      <c r="K143" s="42">
        <f>'ET workings 18-19'!K210</f>
        <v>1.0636689837693487</v>
      </c>
      <c r="L143" s="28"/>
    </row>
    <row r="144" spans="1:14">
      <c r="C144" s="11" t="s">
        <v>103</v>
      </c>
      <c r="D144" s="43">
        <f>'ET workings 18-19'!D205+'ET workings 18-19'!D206</f>
        <v>19.398398972540615</v>
      </c>
      <c r="E144" s="43">
        <f>'ET workings 18-19'!E205+'ET workings 18-19'!E206</f>
        <v>23.759054100831143</v>
      </c>
      <c r="F144" s="43">
        <f>'ET workings 18-19'!F205+'ET workings 18-19'!F206</f>
        <v>27.279215426942542</v>
      </c>
      <c r="G144" s="43">
        <f>'ET workings 18-19'!G205+'ET workings 18-19'!G206</f>
        <v>30.381087368515335</v>
      </c>
      <c r="H144" s="43">
        <f>'ET workings 18-19'!H205+'ET workings 18-19'!H206</f>
        <v>34.067864455227401</v>
      </c>
      <c r="I144" s="43">
        <f>'ET workings 18-19'!I205+'ET workings 18-19'!I206</f>
        <v>36.182612513457158</v>
      </c>
      <c r="J144" s="43">
        <f>'ET workings 18-19'!J205+'ET workings 18-19'!J206</f>
        <v>37.655291250423687</v>
      </c>
      <c r="K144" s="43">
        <f>'ET workings 18-19'!K205+'ET workings 18-19'!K206</f>
        <v>38.095237143245093</v>
      </c>
      <c r="L144" s="28"/>
    </row>
    <row r="145" spans="3:12">
      <c r="C145" s="11" t="s">
        <v>169</v>
      </c>
      <c r="D145" s="43">
        <f>'ET workings 18-19'!D253</f>
        <v>1.9673768800481106</v>
      </c>
      <c r="E145" s="43">
        <f>'ET workings 18-19'!E253</f>
        <v>2.0545710233718428</v>
      </c>
      <c r="F145" s="43">
        <f>'ET workings 18-19'!F253</f>
        <v>2.1435339486838436</v>
      </c>
      <c r="G145" s="43">
        <f>'ET workings 18-19'!G253</f>
        <v>2.2341625640341967</v>
      </c>
      <c r="H145" s="43">
        <f>'ET workings 18-19'!H253</f>
        <v>2.3264781611800895</v>
      </c>
      <c r="I145" s="43">
        <f>'ET workings 18-19'!I253</f>
        <v>2.4199560536963056</v>
      </c>
      <c r="J145" s="43">
        <f>'ET workings 18-19'!J253</f>
        <v>2.5171898879338235</v>
      </c>
      <c r="K145" s="43">
        <f>'ET workings 18-19'!K253</f>
        <v>2.6183305776310046</v>
      </c>
      <c r="L145" s="28"/>
    </row>
    <row r="146" spans="3:12" ht="13.8" thickBot="1">
      <c r="C146" s="13" t="s">
        <v>107</v>
      </c>
      <c r="D146" s="52">
        <f>SUM(D138:D145)</f>
        <v>120.39173696994975</v>
      </c>
      <c r="E146" s="52">
        <f t="shared" ref="E146:K146" si="29">SUM(E138:E145)</f>
        <v>120.3008948154815</v>
      </c>
      <c r="F146" s="52">
        <f t="shared" si="29"/>
        <v>126.51106656737041</v>
      </c>
      <c r="G146" s="52">
        <f t="shared" si="29"/>
        <v>136.3704967271002</v>
      </c>
      <c r="H146" s="52">
        <f t="shared" si="29"/>
        <v>134.28594503047006</v>
      </c>
      <c r="I146" s="52">
        <f t="shared" si="29"/>
        <v>128.0467936557593</v>
      </c>
      <c r="J146" s="52">
        <f t="shared" si="29"/>
        <v>135.23275716088972</v>
      </c>
      <c r="K146" s="52">
        <f t="shared" si="29"/>
        <v>136.91508042247841</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Y257"/>
  <sheetViews>
    <sheetView zoomScale="70" zoomScaleNormal="70" workbookViewId="0">
      <pane xSplit="2" ySplit="4" topLeftCell="C207" activePane="bottomRight" state="frozen"/>
      <selection pane="topRight" activeCell="H35" sqref="H35"/>
      <selection pane="bottomLeft" activeCell="H35" sqref="H35"/>
      <selection pane="bottomRight" activeCell="D253" sqref="D253"/>
    </sheetView>
  </sheetViews>
  <sheetFormatPr defaultRowHeight="13.2"/>
  <cols>
    <col min="1" max="1" width="3" customWidth="1"/>
    <col min="2" max="2" width="54.5546875" customWidth="1"/>
    <col min="3" max="3" width="1.88671875" customWidth="1"/>
    <col min="4" max="11" width="12.109375" customWidth="1"/>
    <col min="12" max="12" width="10.109375" customWidth="1"/>
    <col min="13" max="13" width="20.109375" bestFit="1" customWidth="1"/>
    <col min="22" max="22" width="10.109375" customWidth="1"/>
  </cols>
  <sheetData>
    <row r="1" spans="1:22">
      <c r="M1" t="s">
        <v>196</v>
      </c>
      <c r="N1" s="55">
        <f>RPI!E2</f>
        <v>1.167</v>
      </c>
      <c r="O1" s="55">
        <f>RPI!F2</f>
        <v>1.19</v>
      </c>
      <c r="P1" s="55">
        <f>RPI!G2</f>
        <v>1.202</v>
      </c>
      <c r="Q1" s="55">
        <f>RPI!H2</f>
        <v>1.228</v>
      </c>
      <c r="R1" s="55">
        <f>RPI!I2</f>
        <v>1.274</v>
      </c>
      <c r="S1" s="55">
        <f>RPI!J2</f>
        <v>1.3129999999999999</v>
      </c>
      <c r="T1" s="55">
        <f>RPI!K2</f>
        <v>1.349</v>
      </c>
      <c r="U1" s="55">
        <f>RPI!L2</f>
        <v>1.3879999999999999</v>
      </c>
    </row>
    <row r="2" spans="1: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1:22" ht="13.8" thickBot="1">
      <c r="M3" t="s">
        <v>198</v>
      </c>
      <c r="N3" s="55">
        <f>RPI!E4</f>
        <v>1.1495010041711728</v>
      </c>
      <c r="O3" s="55"/>
      <c r="P3" s="55"/>
      <c r="Q3" s="55"/>
      <c r="R3" s="55"/>
      <c r="S3" s="55"/>
      <c r="T3" s="55"/>
      <c r="U3" s="55"/>
    </row>
    <row r="4" spans="1: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5" spans="1:22">
      <c r="A5" t="s">
        <v>338</v>
      </c>
    </row>
    <row r="6" spans="1:22">
      <c r="B6" s="38" t="s">
        <v>339</v>
      </c>
    </row>
    <row r="7" spans="1:22">
      <c r="B7" t="s">
        <v>204</v>
      </c>
      <c r="D7" s="187">
        <v>74.117786922864468</v>
      </c>
      <c r="E7" s="187">
        <v>75.746790961588118</v>
      </c>
      <c r="F7" s="187">
        <v>79.100568175978466</v>
      </c>
      <c r="G7" s="187">
        <v>82.158309016221935</v>
      </c>
      <c r="H7" s="187">
        <v>82.471507363977764</v>
      </c>
      <c r="I7" s="187">
        <v>82.912881974263144</v>
      </c>
      <c r="J7" s="187">
        <v>84.047729960219527</v>
      </c>
      <c r="K7" s="187">
        <v>85.772873632490885</v>
      </c>
      <c r="L7" s="53">
        <f>SUM(D7:K7)</f>
        <v>646.32844800760438</v>
      </c>
      <c r="N7" s="53">
        <f>D7*N$1</f>
        <v>86.495457338982831</v>
      </c>
      <c r="O7" s="53">
        <f t="shared" ref="O7:U8" si="0">E7*O$1</f>
        <v>90.138681244289856</v>
      </c>
      <c r="P7" s="53">
        <f t="shared" si="0"/>
        <v>95.078882947526111</v>
      </c>
      <c r="Q7" s="53">
        <f t="shared" si="0"/>
        <v>100.89040347192054</v>
      </c>
      <c r="R7" s="53">
        <f t="shared" si="0"/>
        <v>105.06870038170767</v>
      </c>
      <c r="S7" s="53">
        <f t="shared" si="0"/>
        <v>108.8646140322075</v>
      </c>
      <c r="T7" s="53">
        <f t="shared" si="0"/>
        <v>113.38038771633614</v>
      </c>
      <c r="U7" s="53">
        <f t="shared" si="0"/>
        <v>119.05274860189733</v>
      </c>
      <c r="V7" s="53">
        <f>SUM(N7:U7)</f>
        <v>818.96987573486797</v>
      </c>
    </row>
    <row r="8" spans="1:22">
      <c r="B8" t="s">
        <v>206</v>
      </c>
      <c r="D8" s="187">
        <v>39.405926089795059</v>
      </c>
      <c r="E8" s="187">
        <v>35.962368284905509</v>
      </c>
      <c r="F8" s="187">
        <v>29.877361132181548</v>
      </c>
      <c r="G8" s="187">
        <v>28.846391499185597</v>
      </c>
      <c r="H8" s="187">
        <v>29.621699211758404</v>
      </c>
      <c r="I8" s="187">
        <v>20.406561078577621</v>
      </c>
      <c r="J8" s="187">
        <v>25.457651204161817</v>
      </c>
      <c r="K8" s="187">
        <v>25.43438563392731</v>
      </c>
      <c r="L8" s="53">
        <f>SUM(D8:K8)</f>
        <v>235.01234413449285</v>
      </c>
      <c r="N8" s="53">
        <f t="shared" ref="N8" si="1">D8*N$1</f>
        <v>45.986715746790836</v>
      </c>
      <c r="O8" s="53">
        <f t="shared" si="0"/>
        <v>42.795218259037554</v>
      </c>
      <c r="P8" s="53">
        <f t="shared" si="0"/>
        <v>35.912588080882216</v>
      </c>
      <c r="Q8" s="53">
        <f t="shared" si="0"/>
        <v>35.423368760999914</v>
      </c>
      <c r="R8" s="53">
        <f t="shared" si="0"/>
        <v>37.738044795780205</v>
      </c>
      <c r="S8" s="53">
        <f t="shared" si="0"/>
        <v>26.793814696172415</v>
      </c>
      <c r="T8" s="53">
        <f t="shared" si="0"/>
        <v>34.342371474414293</v>
      </c>
      <c r="U8" s="53">
        <f t="shared" si="0"/>
        <v>35.302927259891106</v>
      </c>
      <c r="V8" s="53">
        <f>SUM(N8:U8)</f>
        <v>294.29504907396858</v>
      </c>
    </row>
    <row r="9" spans="1:22">
      <c r="B9" s="38" t="s">
        <v>207</v>
      </c>
      <c r="D9" s="57">
        <f>SUM(D7:D8)</f>
        <v>113.52371301265953</v>
      </c>
      <c r="E9" s="57">
        <f t="shared" ref="E9:L9" si="2">SUM(E7:E8)</f>
        <v>111.70915924649363</v>
      </c>
      <c r="F9" s="57">
        <f t="shared" si="2"/>
        <v>108.97792930816001</v>
      </c>
      <c r="G9" s="57">
        <f t="shared" si="2"/>
        <v>111.00470051540754</v>
      </c>
      <c r="H9" s="57">
        <f t="shared" si="2"/>
        <v>112.09320657573616</v>
      </c>
      <c r="I9" s="57">
        <f t="shared" si="2"/>
        <v>103.31944305284077</v>
      </c>
      <c r="J9" s="57">
        <f t="shared" si="2"/>
        <v>109.50538116438135</v>
      </c>
      <c r="K9" s="57">
        <f t="shared" si="2"/>
        <v>111.20725926641819</v>
      </c>
      <c r="L9" s="57">
        <f t="shared" si="2"/>
        <v>881.34079214209726</v>
      </c>
      <c r="N9" s="57">
        <f>SUM(N7:N8)</f>
        <v>132.48217308577367</v>
      </c>
      <c r="O9" s="57">
        <f t="shared" ref="O9:V9" si="3">SUM(O7:O8)</f>
        <v>132.93389950332741</v>
      </c>
      <c r="P9" s="57">
        <f t="shared" si="3"/>
        <v>130.99147102840834</v>
      </c>
      <c r="Q9" s="57">
        <f t="shared" si="3"/>
        <v>136.31377223292046</v>
      </c>
      <c r="R9" s="57">
        <f t="shared" si="3"/>
        <v>142.80674517748787</v>
      </c>
      <c r="S9" s="57">
        <f t="shared" si="3"/>
        <v>135.6584287283799</v>
      </c>
      <c r="T9" s="57">
        <f t="shared" si="3"/>
        <v>147.72275919075042</v>
      </c>
      <c r="U9" s="57">
        <f t="shared" si="3"/>
        <v>154.35567586178843</v>
      </c>
      <c r="V9" s="57">
        <f t="shared" si="3"/>
        <v>1113.2649248088364</v>
      </c>
    </row>
    <row r="10" spans="1:22">
      <c r="D10" s="53"/>
      <c r="E10" s="53"/>
      <c r="F10" s="53"/>
      <c r="G10" s="53"/>
      <c r="H10" s="53"/>
      <c r="I10" s="53"/>
      <c r="J10" s="53"/>
      <c r="K10" s="53"/>
      <c r="N10" s="53"/>
      <c r="O10" s="53"/>
      <c r="P10" s="53"/>
      <c r="Q10" s="53"/>
      <c r="R10" s="53"/>
      <c r="S10" s="53"/>
      <c r="T10" s="53"/>
      <c r="U10" s="53"/>
      <c r="V10" s="53"/>
    </row>
    <row r="11" spans="1:22">
      <c r="B11" s="38" t="s">
        <v>340</v>
      </c>
      <c r="D11" s="53"/>
      <c r="E11" s="53"/>
      <c r="F11" s="53"/>
      <c r="G11" s="53"/>
      <c r="H11" s="53"/>
      <c r="I11" s="53"/>
      <c r="J11" s="53"/>
      <c r="K11" s="53"/>
      <c r="N11" s="53"/>
      <c r="O11" s="53"/>
      <c r="P11" s="53"/>
      <c r="Q11" s="53"/>
      <c r="R11" s="53"/>
      <c r="S11" s="53"/>
      <c r="T11" s="53"/>
      <c r="U11" s="53"/>
      <c r="V11" s="53"/>
    </row>
    <row r="12" spans="1:22">
      <c r="B12" t="s">
        <v>210</v>
      </c>
      <c r="D12" s="221">
        <v>12.6</v>
      </c>
      <c r="E12" s="221">
        <v>0.53225726739315926</v>
      </c>
      <c r="F12" s="221">
        <v>1.4855538657092655</v>
      </c>
      <c r="G12" s="221">
        <v>1.1360117796600266</v>
      </c>
      <c r="H12" s="221">
        <v>1.0804028114249202</v>
      </c>
      <c r="I12" s="221">
        <v>1.061336879458598</v>
      </c>
      <c r="J12" s="221">
        <v>1.0581592241308779</v>
      </c>
      <c r="K12" s="221">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1.3935353227291392</v>
      </c>
      <c r="T12" s="53">
        <f t="shared" si="4"/>
        <v>1.4274567933525544</v>
      </c>
      <c r="U12" s="53">
        <f t="shared" si="4"/>
        <v>1.4135926831577101</v>
      </c>
      <c r="V12" s="53">
        <f>SUM(N12:U12)</f>
        <v>24.129262341197663</v>
      </c>
    </row>
    <row r="13" spans="1:22">
      <c r="B13" t="s">
        <v>212</v>
      </c>
      <c r="D13" s="221">
        <v>0</v>
      </c>
      <c r="E13" s="221">
        <v>2.2839187505600642</v>
      </c>
      <c r="F13" s="221">
        <v>6.3745194978318223</v>
      </c>
      <c r="G13" s="221">
        <v>4.8746325571655111</v>
      </c>
      <c r="H13" s="221">
        <v>4.6360141802413253</v>
      </c>
      <c r="I13" s="221">
        <v>4.5542021652958891</v>
      </c>
      <c r="J13" s="221">
        <v>4.5405668294716515</v>
      </c>
      <c r="K13" s="221">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5.9796674430335024</v>
      </c>
      <c r="T13" s="53">
        <f t="shared" si="4"/>
        <v>6.1252246529572574</v>
      </c>
      <c r="U13" s="53">
        <f t="shared" si="4"/>
        <v>6.0657336827561021</v>
      </c>
      <c r="V13" s="53">
        <f>SUM(N13:U13)</f>
        <v>40.442992374133887</v>
      </c>
    </row>
    <row r="14" spans="1:22">
      <c r="B14" s="38" t="s">
        <v>341</v>
      </c>
      <c r="N14" s="53"/>
      <c r="O14" s="53"/>
      <c r="P14" s="53"/>
      <c r="Q14" s="53"/>
      <c r="R14" s="53"/>
      <c r="S14" s="53"/>
      <c r="T14" s="53"/>
      <c r="U14" s="53"/>
      <c r="V14" s="53"/>
    </row>
    <row r="15" spans="1:22">
      <c r="B15" t="s">
        <v>342</v>
      </c>
      <c r="D15" s="187">
        <v>226.54482674025229</v>
      </c>
      <c r="E15" s="187">
        <v>189.76583863604765</v>
      </c>
      <c r="F15" s="187">
        <v>179.38344990371465</v>
      </c>
      <c r="G15" s="187">
        <v>186.89947200056383</v>
      </c>
      <c r="H15" s="187">
        <v>142.34099424420381</v>
      </c>
      <c r="I15" s="187">
        <v>123.51757213647369</v>
      </c>
      <c r="J15" s="187">
        <v>-21.093349498298281</v>
      </c>
      <c r="K15" s="187">
        <v>-36.616451358880617</v>
      </c>
      <c r="L15" s="53">
        <f t="shared" ref="L15:L17" si="5">SUM(D15:K15)</f>
        <v>990.74235280407697</v>
      </c>
      <c r="N15" s="53">
        <f>D15*N$1</f>
        <v>264.37781280587444</v>
      </c>
      <c r="O15" s="53">
        <f t="shared" ref="O15:U17" si="6">E15*O$1</f>
        <v>225.8213479768967</v>
      </c>
      <c r="P15" s="53">
        <f t="shared" si="6"/>
        <v>215.61890678426499</v>
      </c>
      <c r="Q15" s="53">
        <f t="shared" si="6"/>
        <v>229.51255161669238</v>
      </c>
      <c r="R15" s="53">
        <f t="shared" si="6"/>
        <v>181.34242666711566</v>
      </c>
      <c r="S15" s="53">
        <f t="shared" si="6"/>
        <v>162.17857221518994</v>
      </c>
      <c r="T15" s="53">
        <f t="shared" si="6"/>
        <v>-28.454928473204379</v>
      </c>
      <c r="U15" s="53">
        <f t="shared" si="6"/>
        <v>-50.823634486126295</v>
      </c>
      <c r="V15" s="53">
        <f t="shared" ref="V15:V17" si="7">SUM(N15:U15)</f>
        <v>1199.5730551067034</v>
      </c>
    </row>
    <row r="16" spans="1:22">
      <c r="B16" t="s">
        <v>343</v>
      </c>
      <c r="D16" s="187">
        <v>506.11836500601339</v>
      </c>
      <c r="E16" s="187">
        <v>499.20409814951984</v>
      </c>
      <c r="F16" s="187">
        <v>485.07329761796098</v>
      </c>
      <c r="G16" s="187">
        <v>489.14143160750723</v>
      </c>
      <c r="H16" s="187">
        <v>622.61892466629627</v>
      </c>
      <c r="I16" s="187">
        <v>715.79753719305393</v>
      </c>
      <c r="J16" s="187">
        <v>609.25081046797004</v>
      </c>
      <c r="K16" s="187">
        <v>529.21301595565285</v>
      </c>
      <c r="L16" s="53">
        <f t="shared" si="5"/>
        <v>4456.4174806639749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821.87934332129157</v>
      </c>
      <c r="U16" s="53">
        <f t="shared" si="6"/>
        <v>734.54766614644609</v>
      </c>
      <c r="V16" s="53">
        <f t="shared" ref="V16" si="8">SUM(N16:U16)</f>
        <v>5657.9024763378329</v>
      </c>
    </row>
    <row r="17" spans="1:22">
      <c r="B17" t="s">
        <v>204</v>
      </c>
      <c r="D17" s="187">
        <v>192.21282629439594</v>
      </c>
      <c r="E17" s="187">
        <v>196.41204072355288</v>
      </c>
      <c r="F17" s="187">
        <v>203.04710659109347</v>
      </c>
      <c r="G17" s="187">
        <v>204.35171680440774</v>
      </c>
      <c r="H17" s="187">
        <v>205.72203973741003</v>
      </c>
      <c r="I17" s="187">
        <v>206.0644404839947</v>
      </c>
      <c r="J17" s="187">
        <v>207.83890997781467</v>
      </c>
      <c r="K17" s="187">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280.374689560072</v>
      </c>
      <c r="U17" s="53">
        <f t="shared" si="6"/>
        <v>288.98722875141522</v>
      </c>
      <c r="V17" s="53">
        <f t="shared" si="7"/>
        <v>2055.0636343973279</v>
      </c>
    </row>
    <row r="18" spans="1:22">
      <c r="N18" s="53"/>
      <c r="O18" s="53"/>
      <c r="P18" s="53"/>
      <c r="Q18" s="53"/>
      <c r="R18" s="53"/>
      <c r="S18" s="53"/>
      <c r="T18" s="53"/>
      <c r="U18" s="53"/>
      <c r="V18" s="53"/>
    </row>
    <row r="19" spans="1:22">
      <c r="B19" s="38" t="s">
        <v>344</v>
      </c>
      <c r="N19" s="53"/>
      <c r="O19" s="53"/>
      <c r="P19" s="53"/>
      <c r="Q19" s="53"/>
      <c r="R19" s="53"/>
      <c r="S19" s="53"/>
      <c r="T19" s="53"/>
      <c r="U19" s="53"/>
      <c r="V19" s="53"/>
    </row>
    <row r="20" spans="1:22">
      <c r="B20" t="s">
        <v>206</v>
      </c>
      <c r="D20" s="187">
        <v>600.20530321701335</v>
      </c>
      <c r="E20" s="187">
        <v>541.62361952854781</v>
      </c>
      <c r="F20" s="187">
        <v>472.58109045304445</v>
      </c>
      <c r="G20" s="187">
        <v>487.77271822167131</v>
      </c>
      <c r="H20" s="187">
        <v>316.99662224396468</v>
      </c>
      <c r="I20" s="187">
        <v>294.8499847844547</v>
      </c>
      <c r="J20" s="187">
        <v>262.92593137281381</v>
      </c>
      <c r="K20" s="187">
        <v>279.65004731913405</v>
      </c>
      <c r="L20" s="53">
        <f t="shared" ref="L20:L21" si="9">SUM(D20:K20)</f>
        <v>3256.6053171406443</v>
      </c>
      <c r="N20" s="53">
        <f>D20*N$1</f>
        <v>700.43958885425457</v>
      </c>
      <c r="O20" s="53">
        <f t="shared" ref="O20:U21" si="10">E20*O$1</f>
        <v>644.53210723897189</v>
      </c>
      <c r="P20" s="53">
        <f t="shared" si="10"/>
        <v>568.04247072455939</v>
      </c>
      <c r="Q20" s="53">
        <f t="shared" si="10"/>
        <v>598.98489797621232</v>
      </c>
      <c r="R20" s="53">
        <f t="shared" si="10"/>
        <v>403.85369673881098</v>
      </c>
      <c r="S20" s="53">
        <f t="shared" si="10"/>
        <v>387.13803002198904</v>
      </c>
      <c r="T20" s="53">
        <f t="shared" si="10"/>
        <v>354.68708142192582</v>
      </c>
      <c r="U20" s="53">
        <f t="shared" si="10"/>
        <v>388.15426567895804</v>
      </c>
      <c r="V20" s="53">
        <f t="shared" ref="V20:V21" si="11">SUM(N20:U20)</f>
        <v>4045.8321386556818</v>
      </c>
    </row>
    <row r="21" spans="1:22">
      <c r="B21" t="s">
        <v>204</v>
      </c>
      <c r="D21" s="187">
        <v>1.0854967381420191</v>
      </c>
      <c r="E21" s="187">
        <v>3.1874299535058723</v>
      </c>
      <c r="F21" s="187">
        <v>8.7933031383547409</v>
      </c>
      <c r="G21" s="187">
        <v>14.449105184117492</v>
      </c>
      <c r="H21" s="187">
        <v>44.98161721307374</v>
      </c>
      <c r="I21" s="187">
        <v>56.115444380322963</v>
      </c>
      <c r="J21" s="187">
        <v>33.694808241742152</v>
      </c>
      <c r="K21" s="187">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73.679578471364053</v>
      </c>
      <c r="T21" s="53">
        <f t="shared" si="10"/>
        <v>45.45429631811016</v>
      </c>
      <c r="U21" s="53">
        <f t="shared" si="10"/>
        <v>7.157267922661835</v>
      </c>
      <c r="V21" s="53">
        <f t="shared" si="11"/>
        <v>216.97059091807438</v>
      </c>
    </row>
    <row r="22" spans="1:22">
      <c r="N22" s="53"/>
      <c r="O22" s="53"/>
      <c r="P22" s="53"/>
      <c r="Q22" s="53"/>
      <c r="R22" s="53"/>
      <c r="S22" s="53"/>
      <c r="T22" s="53"/>
      <c r="U22" s="53"/>
      <c r="V22" s="53"/>
    </row>
    <row r="23" spans="1:22" ht="15.6">
      <c r="B23" s="59" t="s">
        <v>345</v>
      </c>
      <c r="C23" s="60"/>
      <c r="D23" s="61">
        <f>SUM(D15:D21)</f>
        <v>1526.1668179958169</v>
      </c>
      <c r="E23" s="61">
        <f t="shared" ref="E23:L23" si="12">SUM(E15:E21)</f>
        <v>1430.1930269911741</v>
      </c>
      <c r="F23" s="61">
        <f t="shared" si="12"/>
        <v>1348.8782477041684</v>
      </c>
      <c r="G23" s="61">
        <f t="shared" si="12"/>
        <v>1382.6144438182675</v>
      </c>
      <c r="H23" s="61">
        <f t="shared" si="12"/>
        <v>1332.6601981049487</v>
      </c>
      <c r="I23" s="61">
        <f t="shared" si="12"/>
        <v>1396.3449789782999</v>
      </c>
      <c r="J23" s="61">
        <f t="shared" si="12"/>
        <v>1092.6171105620424</v>
      </c>
      <c r="K23" s="61">
        <f t="shared" si="12"/>
        <v>985.60720029780612</v>
      </c>
      <c r="L23" s="61">
        <f t="shared" si="12"/>
        <v>10495.082024452524</v>
      </c>
      <c r="N23" s="61">
        <f>SUM(N15:N21)</f>
        <v>1781.0366766011184</v>
      </c>
      <c r="O23" s="61">
        <f t="shared" ref="O23:V23" si="13">SUM(O15:O21)</f>
        <v>1701.9297021194971</v>
      </c>
      <c r="P23" s="61">
        <f t="shared" si="13"/>
        <v>1621.3516537404105</v>
      </c>
      <c r="Q23" s="61">
        <f t="shared" si="13"/>
        <v>1697.8505370088324</v>
      </c>
      <c r="R23" s="61">
        <f t="shared" si="13"/>
        <v>1697.8090923857046</v>
      </c>
      <c r="S23" s="61">
        <f t="shared" si="13"/>
        <v>1833.4009573985077</v>
      </c>
      <c r="T23" s="61">
        <f t="shared" si="13"/>
        <v>1473.9404821481951</v>
      </c>
      <c r="U23" s="61">
        <f t="shared" si="13"/>
        <v>1368.0227940133548</v>
      </c>
      <c r="V23" s="61">
        <f t="shared" si="13"/>
        <v>13175.34189541562</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1">
        <v>94.24723304227993</v>
      </c>
      <c r="E26" s="191">
        <v>87.678224204681584</v>
      </c>
      <c r="F26" s="191">
        <v>87.676243763178761</v>
      </c>
      <c r="G26" s="191">
        <v>87.677481779017953</v>
      </c>
      <c r="H26" s="191">
        <v>87.676244486345595</v>
      </c>
      <c r="I26" s="191">
        <v>87.676244488148086</v>
      </c>
      <c r="J26" s="191">
        <v>87.676244492723825</v>
      </c>
      <c r="K26" s="191">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118.27525382068444</v>
      </c>
      <c r="U26" s="58">
        <f t="shared" si="15"/>
        <v>121.69462731362731</v>
      </c>
      <c r="V26" s="58">
        <f t="shared" ref="V26" si="16">SUM(N26:U26)</f>
        <v>894.16672601474102</v>
      </c>
    </row>
    <row r="27" spans="1:22">
      <c r="D27" s="191"/>
      <c r="E27" s="191"/>
      <c r="F27" s="191"/>
      <c r="G27" s="191"/>
      <c r="H27" s="191"/>
      <c r="I27" s="191"/>
      <c r="J27" s="191"/>
      <c r="K27" s="191"/>
      <c r="L27" s="58"/>
      <c r="N27" s="58"/>
      <c r="O27" s="58"/>
      <c r="P27" s="58"/>
      <c r="Q27" s="58"/>
      <c r="R27" s="58"/>
      <c r="S27" s="58"/>
      <c r="T27" s="58"/>
      <c r="U27" s="58"/>
      <c r="V27" s="58"/>
    </row>
    <row r="28" spans="1:22">
      <c r="A28" t="s">
        <v>346</v>
      </c>
      <c r="N28" s="53"/>
      <c r="O28" s="53"/>
      <c r="P28" s="53"/>
      <c r="Q28" s="53"/>
      <c r="R28" s="53"/>
      <c r="S28" s="53"/>
      <c r="T28" s="53"/>
      <c r="U28" s="53"/>
      <c r="V28" s="53"/>
    </row>
    <row r="29" spans="1:22">
      <c r="B29" s="38" t="s">
        <v>339</v>
      </c>
    </row>
    <row r="30" spans="1:22">
      <c r="B30" t="s">
        <v>204</v>
      </c>
      <c r="D30" s="223">
        <v>81.99098257707</v>
      </c>
      <c r="E30" s="223">
        <v>79.325370564392955</v>
      </c>
      <c r="F30" s="223">
        <v>82.444959949703616</v>
      </c>
      <c r="G30" s="223">
        <v>87.24421886638244</v>
      </c>
      <c r="H30" s="223">
        <v>87.107521544219082</v>
      </c>
      <c r="I30" s="223">
        <v>87.467084139559034</v>
      </c>
      <c r="J30" s="223">
        <v>88.588296789691185</v>
      </c>
      <c r="K30" s="223">
        <v>90.142998764159543</v>
      </c>
      <c r="L30" s="53">
        <f>SUM(D30:K30)</f>
        <v>684.31143319517787</v>
      </c>
      <c r="N30" s="53">
        <f>D30*N$1</f>
        <v>95.683476667440686</v>
      </c>
      <c r="O30" s="53">
        <f t="shared" ref="O30:U31" si="17">E30*O$1</f>
        <v>94.397190971627609</v>
      </c>
      <c r="P30" s="53">
        <f t="shared" si="17"/>
        <v>99.098841859543739</v>
      </c>
      <c r="Q30" s="53">
        <f t="shared" si="17"/>
        <v>107.13590076791763</v>
      </c>
      <c r="R30" s="53">
        <f t="shared" si="17"/>
        <v>110.97498244733511</v>
      </c>
      <c r="S30" s="53">
        <f t="shared" si="17"/>
        <v>114.844281475241</v>
      </c>
      <c r="T30" s="53">
        <f t="shared" si="17"/>
        <v>119.5056123692934</v>
      </c>
      <c r="U30" s="53">
        <f t="shared" si="17"/>
        <v>125.11848228465344</v>
      </c>
      <c r="V30" s="53">
        <f>SUM(N30:U30)</f>
        <v>866.75876884305251</v>
      </c>
    </row>
    <row r="31" spans="1:22">
      <c r="B31" t="s">
        <v>206</v>
      </c>
      <c r="D31" s="223">
        <v>32.211047115864652</v>
      </c>
      <c r="E31" s="223">
        <v>34.407051612012893</v>
      </c>
      <c r="F31" s="223">
        <v>33.431784730351914</v>
      </c>
      <c r="G31" s="223">
        <v>45.046194512275676</v>
      </c>
      <c r="H31" s="223">
        <v>30.702102023183325</v>
      </c>
      <c r="I31" s="223">
        <v>21.467897958036218</v>
      </c>
      <c r="J31" s="223">
        <v>26.515810428292696</v>
      </c>
      <c r="K31" s="223">
        <v>26.452824166461681</v>
      </c>
      <c r="L31" s="53">
        <f>SUM(D31:K31)</f>
        <v>250.23471254647905</v>
      </c>
      <c r="N31" s="53">
        <f t="shared" ref="N31" si="18">D31*N$1</f>
        <v>37.590291984214048</v>
      </c>
      <c r="O31" s="53">
        <f t="shared" si="17"/>
        <v>40.944391418295339</v>
      </c>
      <c r="P31" s="53">
        <f t="shared" si="17"/>
        <v>40.185005245882998</v>
      </c>
      <c r="Q31" s="53">
        <f t="shared" si="17"/>
        <v>55.316726861074528</v>
      </c>
      <c r="R31" s="53">
        <f t="shared" si="17"/>
        <v>39.114477977535557</v>
      </c>
      <c r="S31" s="53">
        <f t="shared" si="17"/>
        <v>28.187350018901554</v>
      </c>
      <c r="T31" s="53">
        <f t="shared" si="17"/>
        <v>35.769828267766847</v>
      </c>
      <c r="U31" s="53">
        <f t="shared" si="17"/>
        <v>36.716519943048809</v>
      </c>
      <c r="V31" s="53">
        <f>SUM(N31:U31)</f>
        <v>313.82459171671968</v>
      </c>
    </row>
    <row r="32" spans="1:22">
      <c r="B32" s="38" t="s">
        <v>207</v>
      </c>
      <c r="D32" s="57">
        <f>SUM(D30:D31)</f>
        <v>114.20202969293464</v>
      </c>
      <c r="E32" s="57">
        <f t="shared" ref="E32:L32" si="19">SUM(E30:E31)</f>
        <v>113.73242217640585</v>
      </c>
      <c r="F32" s="57">
        <f t="shared" si="19"/>
        <v>115.87674468005554</v>
      </c>
      <c r="G32" s="57">
        <f t="shared" si="19"/>
        <v>132.29041337865812</v>
      </c>
      <c r="H32" s="57">
        <f t="shared" si="19"/>
        <v>117.80962356740241</v>
      </c>
      <c r="I32" s="57">
        <f t="shared" si="19"/>
        <v>108.93498209759525</v>
      </c>
      <c r="J32" s="57">
        <f t="shared" si="19"/>
        <v>115.10410721798388</v>
      </c>
      <c r="K32" s="57">
        <f t="shared" si="19"/>
        <v>116.59582293062122</v>
      </c>
      <c r="L32" s="57">
        <f t="shared" si="19"/>
        <v>934.54614574165691</v>
      </c>
      <c r="N32" s="57">
        <f>SUM(N30:N31)</f>
        <v>133.27376865165473</v>
      </c>
      <c r="O32" s="57">
        <f t="shared" ref="O32:V32" si="20">SUM(O30:O31)</f>
        <v>135.34158238992296</v>
      </c>
      <c r="P32" s="57">
        <f t="shared" si="20"/>
        <v>139.28384710542673</v>
      </c>
      <c r="Q32" s="57">
        <f t="shared" si="20"/>
        <v>162.45262762899216</v>
      </c>
      <c r="R32" s="57">
        <f t="shared" si="20"/>
        <v>150.08946042487065</v>
      </c>
      <c r="S32" s="57">
        <f t="shared" si="20"/>
        <v>143.03163149414257</v>
      </c>
      <c r="T32" s="57">
        <f t="shared" si="20"/>
        <v>155.27544063706026</v>
      </c>
      <c r="U32" s="57">
        <f t="shared" si="20"/>
        <v>161.83500222770226</v>
      </c>
      <c r="V32" s="57">
        <f t="shared" si="20"/>
        <v>1180.5833605597722</v>
      </c>
    </row>
    <row r="33" spans="2:22">
      <c r="D33" s="53"/>
      <c r="E33" s="53"/>
      <c r="F33" s="53"/>
      <c r="G33" s="53"/>
      <c r="H33" s="53"/>
      <c r="I33" s="53"/>
      <c r="J33" s="53"/>
      <c r="K33" s="53"/>
      <c r="N33" s="53"/>
      <c r="O33" s="53"/>
      <c r="P33" s="53"/>
      <c r="Q33" s="53"/>
      <c r="R33" s="53"/>
      <c r="S33" s="53"/>
      <c r="T33" s="53"/>
      <c r="U33" s="53"/>
      <c r="V33" s="53"/>
    </row>
    <row r="34" spans="2:22">
      <c r="B34" s="38" t="s">
        <v>340</v>
      </c>
      <c r="D34" s="53"/>
      <c r="E34" s="53"/>
      <c r="F34" s="53"/>
      <c r="G34" s="53"/>
      <c r="H34" s="53"/>
      <c r="I34" s="53"/>
      <c r="J34" s="53"/>
      <c r="K34" s="53"/>
      <c r="N34" s="53"/>
      <c r="O34" s="53"/>
      <c r="P34" s="53"/>
      <c r="Q34" s="53"/>
      <c r="R34" s="53"/>
      <c r="S34" s="53"/>
      <c r="T34" s="53"/>
      <c r="U34" s="53"/>
      <c r="V34" s="53"/>
    </row>
    <row r="35" spans="2:22">
      <c r="B35" t="s">
        <v>210</v>
      </c>
      <c r="D35" s="222">
        <v>0</v>
      </c>
      <c r="E35" s="222">
        <v>0</v>
      </c>
      <c r="F35" s="222">
        <v>0</v>
      </c>
      <c r="G35" s="222">
        <v>0</v>
      </c>
      <c r="H35" s="222">
        <v>0</v>
      </c>
      <c r="I35" s="222">
        <v>0</v>
      </c>
      <c r="J35" s="222">
        <v>0</v>
      </c>
      <c r="K35" s="222">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212</v>
      </c>
      <c r="D36" s="222">
        <v>0</v>
      </c>
      <c r="E36" s="222">
        <v>0</v>
      </c>
      <c r="F36" s="222">
        <v>0</v>
      </c>
      <c r="G36" s="222">
        <v>0</v>
      </c>
      <c r="H36" s="222">
        <v>0</v>
      </c>
      <c r="I36" s="222">
        <v>0</v>
      </c>
      <c r="J36" s="222">
        <v>0</v>
      </c>
      <c r="K36" s="222">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c r="B37" s="38" t="s">
        <v>341</v>
      </c>
      <c r="N37" s="53"/>
      <c r="O37" s="53"/>
      <c r="P37" s="53"/>
      <c r="Q37" s="53"/>
      <c r="R37" s="53"/>
      <c r="S37" s="53"/>
      <c r="T37" s="53"/>
      <c r="U37" s="53"/>
      <c r="V37" s="53"/>
    </row>
    <row r="38" spans="2:22">
      <c r="B38" t="s">
        <v>342</v>
      </c>
      <c r="D38" s="223">
        <v>567.31107043976681</v>
      </c>
      <c r="E38" s="223">
        <v>437.45333836790229</v>
      </c>
      <c r="F38" s="223">
        <v>400.75604129775314</v>
      </c>
      <c r="G38" s="223">
        <v>298.52074101881811</v>
      </c>
      <c r="H38" s="223">
        <v>443.48999424420379</v>
      </c>
      <c r="I38" s="223">
        <v>398.7939734164737</v>
      </c>
      <c r="J38" s="223">
        <v>230.09218994170175</v>
      </c>
      <c r="K38" s="223">
        <v>241.23954246611936</v>
      </c>
      <c r="L38" s="53">
        <f t="shared" ref="L38:L40" si="22">SUM(D38:K38)</f>
        <v>3017.6568911927393</v>
      </c>
      <c r="N38" s="53">
        <f>D38*N$1</f>
        <v>662.05201920320792</v>
      </c>
      <c r="O38" s="53">
        <f t="shared" ref="O38:U40" si="23">E38*O$1</f>
        <v>520.56947265780366</v>
      </c>
      <c r="P38" s="53">
        <f t="shared" si="23"/>
        <v>481.70876163989925</v>
      </c>
      <c r="Q38" s="53">
        <f t="shared" si="23"/>
        <v>366.58346997110863</v>
      </c>
      <c r="R38" s="53">
        <f t="shared" si="23"/>
        <v>565.00625266711563</v>
      </c>
      <c r="S38" s="53">
        <f t="shared" si="23"/>
        <v>523.61648709582994</v>
      </c>
      <c r="T38" s="53">
        <f t="shared" si="23"/>
        <v>310.39436423135567</v>
      </c>
      <c r="U38" s="53">
        <f t="shared" si="23"/>
        <v>334.84048494297366</v>
      </c>
      <c r="V38" s="53">
        <f t="shared" ref="V38" si="24">SUM(N38:U38)</f>
        <v>3764.7713124092943</v>
      </c>
    </row>
    <row r="39" spans="2:22">
      <c r="B39" t="s">
        <v>343</v>
      </c>
      <c r="D39" s="223">
        <v>431.60851988600422</v>
      </c>
      <c r="E39" s="223">
        <v>241.5336135945667</v>
      </c>
      <c r="F39" s="223">
        <v>341.19532245278782</v>
      </c>
      <c r="G39" s="223">
        <v>399.5393406764876</v>
      </c>
      <c r="H39" s="223">
        <v>638.46654691026106</v>
      </c>
      <c r="I39" s="223">
        <v>735.37112069750867</v>
      </c>
      <c r="J39" s="223">
        <v>620.99120240078389</v>
      </c>
      <c r="K39" s="223">
        <v>531.00706944978697</v>
      </c>
      <c r="L39" s="53">
        <f t="shared" si="22"/>
        <v>3939.712736068187</v>
      </c>
      <c r="N39" s="53">
        <f>D39*N$1</f>
        <v>503.68714270696694</v>
      </c>
      <c r="O39" s="53">
        <f t="shared" si="23"/>
        <v>287.42500017753434</v>
      </c>
      <c r="P39" s="53">
        <f t="shared" si="23"/>
        <v>410.11677758825095</v>
      </c>
      <c r="Q39" s="53">
        <f t="shared" si="23"/>
        <v>490.63431035072676</v>
      </c>
      <c r="R39" s="53">
        <f t="shared" si="23"/>
        <v>813.40638076367259</v>
      </c>
      <c r="S39" s="53">
        <f t="shared" si="23"/>
        <v>965.54228147582887</v>
      </c>
      <c r="T39" s="53">
        <f t="shared" si="23"/>
        <v>837.7171320386575</v>
      </c>
      <c r="U39" s="53">
        <f t="shared" si="23"/>
        <v>737.03781239630428</v>
      </c>
      <c r="V39" s="53">
        <f t="shared" ref="V39" si="25">SUM(N39:U39)</f>
        <v>5045.5668374979423</v>
      </c>
    </row>
    <row r="40" spans="2:22">
      <c r="B40" t="s">
        <v>204</v>
      </c>
      <c r="D40" s="223">
        <v>205.79735080939017</v>
      </c>
      <c r="E40" s="223">
        <v>225.57809736895311</v>
      </c>
      <c r="F40" s="223">
        <v>229.53296594785201</v>
      </c>
      <c r="G40" s="223">
        <v>210.57662442672623</v>
      </c>
      <c r="H40" s="223">
        <v>250.70365695048378</v>
      </c>
      <c r="I40" s="223">
        <v>262.17988486431767</v>
      </c>
      <c r="J40" s="223">
        <v>241.53371821955682</v>
      </c>
      <c r="K40" s="223">
        <v>213.3605883818999</v>
      </c>
      <c r="L40" s="53">
        <f t="shared" si="22"/>
        <v>1839.2628869691798</v>
      </c>
      <c r="N40" s="53">
        <f>D40*N$1</f>
        <v>240.16550839455834</v>
      </c>
      <c r="O40" s="53">
        <f t="shared" si="23"/>
        <v>268.43793586905417</v>
      </c>
      <c r="P40" s="53">
        <f t="shared" si="23"/>
        <v>275.89862506931809</v>
      </c>
      <c r="Q40" s="53">
        <f t="shared" si="23"/>
        <v>258.58809479601979</v>
      </c>
      <c r="R40" s="53">
        <f t="shared" si="23"/>
        <v>319.39645895491634</v>
      </c>
      <c r="S40" s="53">
        <f t="shared" si="23"/>
        <v>344.24218882684909</v>
      </c>
      <c r="T40" s="53">
        <f t="shared" si="23"/>
        <v>325.82898587818215</v>
      </c>
      <c r="U40" s="53">
        <f t="shared" si="23"/>
        <v>296.14449667407706</v>
      </c>
      <c r="V40" s="53">
        <f t="shared" ref="V40" si="26">SUM(N40:U40)</f>
        <v>2328.7022944629748</v>
      </c>
    </row>
    <row r="41" spans="2:22">
      <c r="N41" s="53"/>
      <c r="O41" s="53"/>
      <c r="P41" s="53"/>
      <c r="Q41" s="53"/>
      <c r="R41" s="53"/>
      <c r="S41" s="53"/>
      <c r="T41" s="53"/>
      <c r="U41" s="53"/>
      <c r="V41" s="53"/>
    </row>
    <row r="42" spans="2:22">
      <c r="B42" s="38" t="s">
        <v>344</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204</v>
      </c>
      <c r="D44" s="223">
        <v>0</v>
      </c>
      <c r="E44" s="223">
        <v>0</v>
      </c>
      <c r="F44" s="223">
        <v>0</v>
      </c>
      <c r="G44" s="223">
        <v>0</v>
      </c>
      <c r="H44" s="223">
        <v>0</v>
      </c>
      <c r="I44" s="223">
        <v>0</v>
      </c>
      <c r="J44" s="223">
        <v>0</v>
      </c>
      <c r="K44" s="223">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6">
      <c r="B46" s="59" t="s">
        <v>345</v>
      </c>
      <c r="C46" s="60"/>
      <c r="D46" s="61">
        <f>SUM(D38:D44)</f>
        <v>1204.7169411351611</v>
      </c>
      <c r="E46" s="61">
        <f t="shared" ref="E46:L46" si="30">SUM(E38:E44)</f>
        <v>904.56504933142207</v>
      </c>
      <c r="F46" s="61">
        <f t="shared" si="30"/>
        <v>971.48432969839291</v>
      </c>
      <c r="G46" s="61">
        <f t="shared" si="30"/>
        <v>908.63670612203191</v>
      </c>
      <c r="H46" s="61">
        <f t="shared" si="30"/>
        <v>1332.6601981049487</v>
      </c>
      <c r="I46" s="61">
        <f t="shared" si="30"/>
        <v>1396.3449789783001</v>
      </c>
      <c r="J46" s="61">
        <f t="shared" si="30"/>
        <v>1092.6171105620424</v>
      </c>
      <c r="K46" s="61">
        <f t="shared" si="30"/>
        <v>985.60720029780623</v>
      </c>
      <c r="L46" s="61">
        <f t="shared" si="30"/>
        <v>8796.6325142301066</v>
      </c>
      <c r="N46" s="61">
        <f>SUM(N38:N44)</f>
        <v>1405.9046703047334</v>
      </c>
      <c r="O46" s="61">
        <f t="shared" ref="O46:V46" si="31">SUM(O38:O44)</f>
        <v>1076.4324087043922</v>
      </c>
      <c r="P46" s="61">
        <f t="shared" si="31"/>
        <v>1167.7241642974682</v>
      </c>
      <c r="Q46" s="61">
        <f t="shared" si="31"/>
        <v>1115.8058751178551</v>
      </c>
      <c r="R46" s="61">
        <f t="shared" si="31"/>
        <v>1697.8090923857046</v>
      </c>
      <c r="S46" s="61">
        <f t="shared" si="31"/>
        <v>1833.4009573985079</v>
      </c>
      <c r="T46" s="61">
        <f t="shared" si="31"/>
        <v>1473.9404821481953</v>
      </c>
      <c r="U46" s="61">
        <f t="shared" si="31"/>
        <v>1368.022794013355</v>
      </c>
      <c r="V46" s="61">
        <f t="shared" si="31"/>
        <v>11139.040444370212</v>
      </c>
    </row>
    <row r="47" spans="2:22">
      <c r="N47" s="53"/>
      <c r="O47" s="53"/>
      <c r="P47" s="53"/>
      <c r="Q47" s="53"/>
      <c r="R47" s="53"/>
      <c r="S47" s="53"/>
      <c r="T47" s="53"/>
      <c r="U47" s="53"/>
      <c r="V47" s="53"/>
    </row>
    <row r="49" spans="1:12" s="188" customFormat="1"/>
    <row r="50" spans="1:12" ht="13.8" thickBot="1"/>
    <row r="51" spans="1:12" ht="16.8">
      <c r="A51" s="68"/>
      <c r="B51" s="69" t="s">
        <v>237</v>
      </c>
      <c r="D51" s="70">
        <v>41729</v>
      </c>
      <c r="E51" s="71">
        <v>42094</v>
      </c>
      <c r="F51" s="71">
        <v>42460</v>
      </c>
      <c r="G51" s="71">
        <v>42825</v>
      </c>
      <c r="H51" s="71">
        <v>43190</v>
      </c>
      <c r="I51" s="71">
        <v>43555</v>
      </c>
      <c r="J51" s="71">
        <v>43921</v>
      </c>
      <c r="K51" s="72">
        <v>44286</v>
      </c>
      <c r="L51" s="73" t="s">
        <v>238</v>
      </c>
    </row>
    <row r="52" spans="1:12" ht="16.8">
      <c r="A52" s="74"/>
      <c r="B52" s="75" t="s">
        <v>239</v>
      </c>
      <c r="D52" s="76" t="s">
        <v>240</v>
      </c>
      <c r="E52" s="77" t="s">
        <v>240</v>
      </c>
      <c r="F52" s="77" t="s">
        <v>240</v>
      </c>
      <c r="G52" s="77" t="s">
        <v>240</v>
      </c>
      <c r="H52" s="77" t="s">
        <v>240</v>
      </c>
      <c r="I52" s="77" t="s">
        <v>240</v>
      </c>
      <c r="J52" s="77" t="s">
        <v>240</v>
      </c>
      <c r="K52" s="78" t="s">
        <v>240</v>
      </c>
      <c r="L52" s="79" t="s">
        <v>240</v>
      </c>
    </row>
    <row r="53" spans="1:12" ht="16.8">
      <c r="A53" s="80"/>
      <c r="B53" s="81" t="s">
        <v>207</v>
      </c>
      <c r="D53" s="82"/>
      <c r="E53" s="83"/>
      <c r="F53" s="83"/>
      <c r="G53" s="83"/>
      <c r="H53" s="83"/>
      <c r="I53" s="83"/>
      <c r="J53" s="83"/>
      <c r="K53" s="84"/>
      <c r="L53" s="85"/>
    </row>
    <row r="54" spans="1:12" ht="16.8">
      <c r="A54" s="86">
        <v>1</v>
      </c>
      <c r="B54" s="75" t="s">
        <v>241</v>
      </c>
      <c r="D54" s="87">
        <v>1152.1280701358544</v>
      </c>
      <c r="E54" s="88">
        <v>978.37720684766771</v>
      </c>
      <c r="F54" s="88">
        <v>976.1776871736057</v>
      </c>
      <c r="G54" s="88">
        <v>961.25213722862748</v>
      </c>
      <c r="H54" s="88">
        <v>1132.7611683892062</v>
      </c>
      <c r="I54" s="88">
        <v>1186.8932321315554</v>
      </c>
      <c r="J54" s="88">
        <v>928.72454397773618</v>
      </c>
      <c r="K54" s="89">
        <v>837.76612025313523</v>
      </c>
      <c r="L54" s="90">
        <v>8154.080166137388</v>
      </c>
    </row>
    <row r="55" spans="1:12" ht="16.8">
      <c r="A55" s="86">
        <v>2</v>
      </c>
      <c r="B55" s="75" t="s">
        <v>242</v>
      </c>
      <c r="D55" s="87">
        <v>203.31671825926844</v>
      </c>
      <c r="E55" s="88">
        <v>172.65480120841212</v>
      </c>
      <c r="F55" s="88">
        <v>172.26665067769514</v>
      </c>
      <c r="G55" s="88">
        <v>169.63273009916944</v>
      </c>
      <c r="H55" s="88">
        <v>199.8990297157423</v>
      </c>
      <c r="I55" s="88">
        <v>209.45174684674492</v>
      </c>
      <c r="J55" s="88">
        <v>163.89256658430642</v>
      </c>
      <c r="K55" s="89">
        <v>147.84108004467095</v>
      </c>
      <c r="L55" s="90">
        <v>1438.9553234360096</v>
      </c>
    </row>
    <row r="56" spans="1:12" ht="16.8">
      <c r="A56" s="86">
        <v>3</v>
      </c>
      <c r="B56" s="75" t="s">
        <v>243</v>
      </c>
      <c r="D56" s="87">
        <v>1355.4447883951227</v>
      </c>
      <c r="E56" s="88">
        <v>1151.0320080560798</v>
      </c>
      <c r="F56" s="88">
        <v>1148.4443378513008</v>
      </c>
      <c r="G56" s="88">
        <v>1130.8848673277969</v>
      </c>
      <c r="H56" s="88">
        <v>1332.6601981049484</v>
      </c>
      <c r="I56" s="88">
        <v>1396.3449789783003</v>
      </c>
      <c r="J56" s="88">
        <v>1092.6171105620426</v>
      </c>
      <c r="K56" s="89">
        <v>985.60720029780623</v>
      </c>
      <c r="L56" s="90">
        <v>9593.0354895733981</v>
      </c>
    </row>
    <row r="57" spans="1:12" ht="16.8">
      <c r="A57" s="80"/>
      <c r="B57" s="81" t="s">
        <v>244</v>
      </c>
      <c r="D57" s="82">
        <v>0</v>
      </c>
      <c r="E57" s="83">
        <v>0</v>
      </c>
      <c r="F57" s="83">
        <v>0</v>
      </c>
      <c r="G57" s="83">
        <v>0</v>
      </c>
      <c r="H57" s="83">
        <v>0</v>
      </c>
      <c r="I57" s="83">
        <v>0</v>
      </c>
      <c r="J57" s="83">
        <v>0</v>
      </c>
      <c r="K57" s="84">
        <v>0</v>
      </c>
      <c r="L57" s="85">
        <v>0</v>
      </c>
    </row>
    <row r="58" spans="1:12" ht="16.8">
      <c r="A58" s="86">
        <v>4</v>
      </c>
      <c r="B58" s="75" t="s">
        <v>245</v>
      </c>
      <c r="D58" s="87">
        <v>8691.0913006079008</v>
      </c>
      <c r="E58" s="88">
        <v>9102.7058354218952</v>
      </c>
      <c r="F58" s="88">
        <v>9495.1365728703386</v>
      </c>
      <c r="G58" s="88">
        <v>9861.1075943657052</v>
      </c>
      <c r="H58" s="88">
        <v>10268.970536319866</v>
      </c>
      <c r="I58" s="88">
        <v>10749.116531029773</v>
      </c>
      <c r="J58" s="88">
        <v>11262.868468004683</v>
      </c>
      <c r="K58" s="89">
        <v>11507.35054637692</v>
      </c>
      <c r="L58" s="90">
        <v>0</v>
      </c>
    </row>
    <row r="59" spans="1:12" ht="16.8">
      <c r="A59" s="86">
        <v>5</v>
      </c>
      <c r="B59" s="75" t="s">
        <v>246</v>
      </c>
      <c r="D59" s="87">
        <v>0</v>
      </c>
      <c r="E59" s="88">
        <v>0</v>
      </c>
      <c r="F59" s="88">
        <v>0</v>
      </c>
      <c r="G59" s="88">
        <v>82.388628473992952</v>
      </c>
      <c r="H59" s="88">
        <v>0</v>
      </c>
      <c r="I59" s="88">
        <v>0</v>
      </c>
      <c r="J59" s="88">
        <v>0</v>
      </c>
      <c r="K59" s="89">
        <v>0</v>
      </c>
      <c r="L59" s="90">
        <v>82.388628473992952</v>
      </c>
    </row>
    <row r="60" spans="1:12" ht="16.8">
      <c r="A60" s="86">
        <v>6</v>
      </c>
      <c r="B60" s="75" t="s">
        <v>247</v>
      </c>
      <c r="D60" s="87">
        <v>8691.0913006079008</v>
      </c>
      <c r="E60" s="88">
        <v>9102.7058354218952</v>
      </c>
      <c r="F60" s="88">
        <v>9495.1365728703386</v>
      </c>
      <c r="G60" s="88">
        <v>9943.496222839698</v>
      </c>
      <c r="H60" s="88">
        <v>10268.970536319866</v>
      </c>
      <c r="I60" s="88">
        <v>10749.116531029773</v>
      </c>
      <c r="J60" s="88">
        <v>11262.868468004683</v>
      </c>
      <c r="K60" s="89">
        <v>11507.35054637692</v>
      </c>
      <c r="L60" s="90">
        <v>0</v>
      </c>
    </row>
    <row r="61" spans="1:12" ht="16.8">
      <c r="A61" s="86">
        <v>7</v>
      </c>
      <c r="B61" s="75" t="s">
        <v>248</v>
      </c>
      <c r="D61" s="87">
        <v>975.36160034127101</v>
      </c>
      <c r="E61" s="88">
        <v>978.37720684766771</v>
      </c>
      <c r="F61" s="88">
        <v>976.1776871736057</v>
      </c>
      <c r="G61" s="88">
        <v>961.25213722862748</v>
      </c>
      <c r="H61" s="88">
        <v>1132.7611683892062</v>
      </c>
      <c r="I61" s="88">
        <v>1186.8932321315554</v>
      </c>
      <c r="J61" s="88">
        <v>928.72454397773618</v>
      </c>
      <c r="K61" s="89">
        <v>837.76612025313523</v>
      </c>
      <c r="L61" s="90">
        <v>7977.3136963428042</v>
      </c>
    </row>
    <row r="62" spans="1:12" ht="16.8">
      <c r="A62" s="86">
        <v>8</v>
      </c>
      <c r="B62" s="75" t="s">
        <v>249</v>
      </c>
      <c r="D62" s="87">
        <v>-563.74706552727753</v>
      </c>
      <c r="E62" s="88">
        <v>-585.94646939922586</v>
      </c>
      <c r="F62" s="88">
        <v>-610.20666567823923</v>
      </c>
      <c r="G62" s="88">
        <v>-635.77782374845913</v>
      </c>
      <c r="H62" s="88">
        <v>-652.61517367930117</v>
      </c>
      <c r="I62" s="88">
        <v>-673.14129515664547</v>
      </c>
      <c r="J62" s="88">
        <v>-684.24246560549852</v>
      </c>
      <c r="K62" s="89">
        <v>-689.07274580677188</v>
      </c>
      <c r="L62" s="90">
        <v>-5094.7497046014187</v>
      </c>
    </row>
    <row r="63" spans="1:12" ht="16.8">
      <c r="A63" s="86">
        <v>9</v>
      </c>
      <c r="B63" s="75" t="s">
        <v>250</v>
      </c>
      <c r="D63" s="87">
        <v>9102.7058354218952</v>
      </c>
      <c r="E63" s="88">
        <v>9495.1365728703386</v>
      </c>
      <c r="F63" s="88">
        <v>9861.1075943657052</v>
      </c>
      <c r="G63" s="88">
        <v>10268.970536319866</v>
      </c>
      <c r="H63" s="88">
        <v>10749.116531029771</v>
      </c>
      <c r="I63" s="88">
        <v>11262.868468004683</v>
      </c>
      <c r="J63" s="88">
        <v>11507.35054637692</v>
      </c>
      <c r="K63" s="89">
        <v>11656.043920823282</v>
      </c>
      <c r="L63" s="90">
        <v>0</v>
      </c>
    </row>
    <row r="64" spans="1:12" ht="16.8">
      <c r="A64" s="80"/>
      <c r="B64" s="81" t="s">
        <v>251</v>
      </c>
      <c r="D64" s="91">
        <v>0</v>
      </c>
      <c r="E64" s="92">
        <v>0</v>
      </c>
      <c r="F64" s="92">
        <v>0</v>
      </c>
      <c r="G64" s="92">
        <v>0</v>
      </c>
      <c r="H64" s="92">
        <v>0</v>
      </c>
      <c r="I64" s="92">
        <v>0</v>
      </c>
      <c r="J64" s="92">
        <v>0</v>
      </c>
      <c r="K64" s="93">
        <v>0</v>
      </c>
      <c r="L64" s="94">
        <v>0</v>
      </c>
    </row>
    <row r="65" spans="1:12" ht="16.8">
      <c r="A65" s="86">
        <v>10</v>
      </c>
      <c r="B65" s="75" t="s">
        <v>252</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253</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254</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255</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256</v>
      </c>
      <c r="D69" s="87">
        <v>0</v>
      </c>
      <c r="E69" s="88">
        <v>16.036529091209541</v>
      </c>
      <c r="F69" s="88">
        <v>0</v>
      </c>
      <c r="G69" s="88">
        <v>22.217944632295964</v>
      </c>
      <c r="H69" s="88">
        <v>0</v>
      </c>
      <c r="I69" s="88">
        <v>0</v>
      </c>
      <c r="J69" s="88">
        <v>0</v>
      </c>
      <c r="K69" s="89">
        <v>0</v>
      </c>
      <c r="L69" s="90">
        <v>38.254473723505505</v>
      </c>
    </row>
    <row r="70" spans="1:12" ht="16.8">
      <c r="A70" s="86">
        <v>15</v>
      </c>
      <c r="B70" s="75" t="s">
        <v>257</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258</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259</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260</v>
      </c>
      <c r="D73" s="91">
        <v>0</v>
      </c>
      <c r="E73" s="92">
        <v>0</v>
      </c>
      <c r="F73" s="92">
        <v>0</v>
      </c>
      <c r="G73" s="92">
        <v>0</v>
      </c>
      <c r="H73" s="92">
        <v>0</v>
      </c>
      <c r="I73" s="92">
        <v>0</v>
      </c>
      <c r="J73" s="92">
        <v>0</v>
      </c>
      <c r="K73" s="93">
        <v>0</v>
      </c>
      <c r="L73" s="94">
        <v>0</v>
      </c>
    </row>
    <row r="74" spans="1:12" ht="16.8">
      <c r="A74" s="86">
        <v>18</v>
      </c>
      <c r="B74" s="75" t="s">
        <v>252</v>
      </c>
      <c r="D74" s="87">
        <v>203.31671825926844</v>
      </c>
      <c r="E74" s="88">
        <v>172.65480120841212</v>
      </c>
      <c r="F74" s="88">
        <v>172.26665067769514</v>
      </c>
      <c r="G74" s="88">
        <v>169.63273009916944</v>
      </c>
      <c r="H74" s="88">
        <v>199.8990297157423</v>
      </c>
      <c r="I74" s="88">
        <v>209.45174684674492</v>
      </c>
      <c r="J74" s="88">
        <v>163.89256658430642</v>
      </c>
      <c r="K74" s="89">
        <v>147.84108004467095</v>
      </c>
      <c r="L74" s="90">
        <v>1438.9553234360096</v>
      </c>
    </row>
    <row r="75" spans="1:12" ht="16.8">
      <c r="A75" s="86">
        <v>19</v>
      </c>
      <c r="B75" s="75" t="s">
        <v>253</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254</v>
      </c>
      <c r="D76" s="87">
        <v>563.74706552727753</v>
      </c>
      <c r="E76" s="88">
        <v>585.94646939922586</v>
      </c>
      <c r="F76" s="88">
        <v>610.20666567823923</v>
      </c>
      <c r="G76" s="88">
        <v>635.77782374845913</v>
      </c>
      <c r="H76" s="88">
        <v>652.61517367930117</v>
      </c>
      <c r="I76" s="88">
        <v>673.14129515664547</v>
      </c>
      <c r="J76" s="88">
        <v>684.24246560549852</v>
      </c>
      <c r="K76" s="89">
        <v>689.07274580677188</v>
      </c>
      <c r="L76" s="90">
        <v>5094.7497046014187</v>
      </c>
    </row>
    <row r="77" spans="1:12" ht="16.8">
      <c r="A77" s="86">
        <v>21</v>
      </c>
      <c r="B77" s="75" t="s">
        <v>255</v>
      </c>
      <c r="D77" s="87">
        <v>395.96669535722111</v>
      </c>
      <c r="E77" s="88">
        <v>403.19848243176972</v>
      </c>
      <c r="F77" s="88">
        <v>410.20210344600292</v>
      </c>
      <c r="G77" s="88">
        <v>418.48547056243075</v>
      </c>
      <c r="H77" s="88">
        <v>425.42158338642139</v>
      </c>
      <c r="I77" s="88">
        <v>433.48039726791251</v>
      </c>
      <c r="J77" s="88">
        <v>448.52359195982325</v>
      </c>
      <c r="K77" s="89">
        <v>456.30709552785697</v>
      </c>
      <c r="L77" s="90">
        <v>3391.585419939438</v>
      </c>
    </row>
    <row r="78" spans="1:12" ht="16.8">
      <c r="A78" s="86">
        <v>22</v>
      </c>
      <c r="B78" s="75" t="s">
        <v>256</v>
      </c>
      <c r="D78" s="87">
        <v>0</v>
      </c>
      <c r="E78" s="88">
        <v>0</v>
      </c>
      <c r="F78" s="88">
        <v>0</v>
      </c>
      <c r="G78" s="88">
        <v>0</v>
      </c>
      <c r="H78" s="88">
        <v>0</v>
      </c>
      <c r="I78" s="88">
        <v>0</v>
      </c>
      <c r="J78" s="88">
        <v>0</v>
      </c>
      <c r="K78" s="89">
        <v>0</v>
      </c>
      <c r="L78" s="90">
        <v>0</v>
      </c>
    </row>
    <row r="79" spans="1:12" ht="16.8">
      <c r="A79" s="86">
        <v>23</v>
      </c>
      <c r="B79" s="75" t="s">
        <v>257</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258</v>
      </c>
      <c r="D80" s="87">
        <v>-45.715157548655313</v>
      </c>
      <c r="E80" s="88">
        <v>-45.098014380446855</v>
      </c>
      <c r="F80" s="88">
        <v>-47.31166807558472</v>
      </c>
      <c r="G80" s="88">
        <v>-43.301588881117283</v>
      </c>
      <c r="H80" s="88">
        <v>-43.349648930046129</v>
      </c>
      <c r="I80" s="88">
        <v>-47.715113074411462</v>
      </c>
      <c r="J80" s="88">
        <v>-47.231455265495441</v>
      </c>
      <c r="K80" s="89">
        <v>-46.968379845817182</v>
      </c>
      <c r="L80" s="90">
        <v>-366.69102600157436</v>
      </c>
    </row>
    <row r="81" spans="1:12" ht="16.8">
      <c r="A81" s="86">
        <v>25</v>
      </c>
      <c r="B81" s="75" t="s">
        <v>259</v>
      </c>
      <c r="D81" s="87">
        <v>81.998273467834636</v>
      </c>
      <c r="E81" s="88">
        <v>66.375777597272602</v>
      </c>
      <c r="F81" s="88">
        <v>72.958625217389994</v>
      </c>
      <c r="G81" s="88">
        <v>85.671676871074524</v>
      </c>
      <c r="H81" s="88">
        <v>78.069319386527397</v>
      </c>
      <c r="I81" s="88">
        <v>76.386482280793544</v>
      </c>
      <c r="J81" s="88">
        <v>75.513506255144293</v>
      </c>
      <c r="K81" s="89">
        <v>81.333319342518976</v>
      </c>
      <c r="L81" s="90">
        <v>618.3069804185559</v>
      </c>
    </row>
    <row r="82" spans="1:12" ht="16.8">
      <c r="A82" s="80"/>
      <c r="B82" s="81" t="s">
        <v>261</v>
      </c>
      <c r="D82" s="91">
        <v>0</v>
      </c>
      <c r="E82" s="92">
        <v>0</v>
      </c>
      <c r="F82" s="92">
        <v>0</v>
      </c>
      <c r="G82" s="92">
        <v>0</v>
      </c>
      <c r="H82" s="92">
        <v>0</v>
      </c>
      <c r="I82" s="92">
        <v>0</v>
      </c>
      <c r="J82" s="92">
        <v>0</v>
      </c>
      <c r="K82" s="93">
        <v>0</v>
      </c>
      <c r="L82" s="95">
        <v>0</v>
      </c>
    </row>
    <row r="83" spans="1:12" ht="16.8">
      <c r="A83" s="86">
        <v>26</v>
      </c>
      <c r="B83" s="75" t="s">
        <v>262</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263</v>
      </c>
      <c r="D84" s="87">
        <v>0</v>
      </c>
      <c r="E84" s="88">
        <v>-5.4472436134815325</v>
      </c>
      <c r="F84" s="88">
        <v>-114.38240781754212</v>
      </c>
      <c r="G84" s="88">
        <v>-185.40168515778055</v>
      </c>
      <c r="H84" s="88">
        <v>-253.26047854710714</v>
      </c>
      <c r="I84" s="88">
        <v>-310.24084085461686</v>
      </c>
      <c r="J84" s="88">
        <v>0</v>
      </c>
      <c r="K84" s="89">
        <v>0</v>
      </c>
      <c r="L84" s="90">
        <v>-868.7326559905282</v>
      </c>
    </row>
    <row r="85" spans="1:12" ht="16.8">
      <c r="A85" s="86">
        <v>28</v>
      </c>
      <c r="B85" s="75" t="s">
        <v>264</v>
      </c>
      <c r="D85" s="96">
        <v>1342.2812908140818</v>
      </c>
      <c r="E85" s="88">
        <v>1438.3822181213663</v>
      </c>
      <c r="F85" s="88">
        <v>1361.2101654120604</v>
      </c>
      <c r="G85" s="88">
        <v>1385.9851245350922</v>
      </c>
      <c r="H85" s="88">
        <v>1301.6816636924907</v>
      </c>
      <c r="I85" s="88">
        <v>1277.3865799692537</v>
      </c>
      <c r="J85" s="88">
        <v>1585.2281224827718</v>
      </c>
      <c r="K85" s="89">
        <v>1571.5841090397205</v>
      </c>
      <c r="L85" s="90">
        <v>11263.739274066837</v>
      </c>
    </row>
    <row r="86" spans="1:12" ht="16.8">
      <c r="A86" s="86">
        <v>29</v>
      </c>
      <c r="B86" s="75" t="s">
        <v>168</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265</v>
      </c>
      <c r="D87" s="96">
        <v>0</v>
      </c>
      <c r="E87" s="88">
        <v>0</v>
      </c>
      <c r="F87" s="88">
        <v>0</v>
      </c>
      <c r="G87" s="88">
        <v>0</v>
      </c>
      <c r="H87" s="88">
        <v>0</v>
      </c>
      <c r="I87" s="88">
        <v>0</v>
      </c>
      <c r="J87" s="88">
        <v>0</v>
      </c>
      <c r="K87" s="89">
        <v>0</v>
      </c>
      <c r="L87" s="90">
        <v>0</v>
      </c>
    </row>
    <row r="88" spans="1:12" ht="16.8">
      <c r="A88" s="86">
        <v>31</v>
      </c>
      <c r="B88" s="75" t="s">
        <v>266</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267</v>
      </c>
      <c r="D89" s="96">
        <v>1479.0323249384494</v>
      </c>
      <c r="E89" s="88">
        <v>1574.4569081721447</v>
      </c>
      <c r="F89" s="88">
        <v>1503.8084233892357</v>
      </c>
      <c r="G89" s="88">
        <v>1511.5851245350921</v>
      </c>
      <c r="H89" s="88">
        <v>1428.9816636924907</v>
      </c>
      <c r="I89" s="88">
        <v>1405.9865799692536</v>
      </c>
      <c r="J89" s="88">
        <v>1715.4281224827719</v>
      </c>
      <c r="K89" s="89">
        <v>1703.2841090397205</v>
      </c>
      <c r="L89" s="90">
        <v>12322.56325621916</v>
      </c>
    </row>
    <row r="90" spans="1:12" ht="16.8">
      <c r="A90" s="80"/>
      <c r="B90" s="81" t="s">
        <v>268</v>
      </c>
      <c r="D90" s="91">
        <v>0</v>
      </c>
      <c r="E90" s="92">
        <v>0</v>
      </c>
      <c r="F90" s="92">
        <v>0</v>
      </c>
      <c r="G90" s="92">
        <v>0</v>
      </c>
      <c r="H90" s="92">
        <v>0</v>
      </c>
      <c r="I90" s="97">
        <v>0</v>
      </c>
      <c r="J90" s="92">
        <v>0</v>
      </c>
      <c r="K90" s="93">
        <v>0</v>
      </c>
      <c r="L90" s="95">
        <v>0</v>
      </c>
    </row>
    <row r="91" spans="1:12" ht="16.8">
      <c r="A91" s="86">
        <v>33</v>
      </c>
      <c r="B91" s="75" t="s">
        <v>268</v>
      </c>
      <c r="D91" s="87">
        <v>1308.7290743937444</v>
      </c>
      <c r="E91" s="88">
        <v>1287.0308504668881</v>
      </c>
      <c r="F91" s="88">
        <v>1321.6133236113992</v>
      </c>
      <c r="G91" s="88">
        <v>1368.8552685387717</v>
      </c>
      <c r="H91" s="88">
        <v>1413.3651174821453</v>
      </c>
      <c r="I91" s="88">
        <v>1444.977120731663</v>
      </c>
      <c r="J91" s="88">
        <v>1423.9020205383406</v>
      </c>
      <c r="K91" s="89">
        <v>1425.0889232802176</v>
      </c>
      <c r="L91" s="90">
        <v>10993.56169904317</v>
      </c>
    </row>
    <row r="92" spans="1:12" ht="16.8">
      <c r="A92" s="86">
        <v>34</v>
      </c>
      <c r="B92" s="75" t="s">
        <v>269</v>
      </c>
      <c r="D92" s="87">
        <v>1318.6363284613724</v>
      </c>
      <c r="E92" s="88">
        <v>1306.4720309915479</v>
      </c>
      <c r="F92" s="88">
        <v>1347.2820676486554</v>
      </c>
      <c r="G92" s="88">
        <v>1440.1193513858889</v>
      </c>
      <c r="H92" s="88">
        <v>1438.2756465630735</v>
      </c>
      <c r="I92" s="88">
        <v>1477.89520728143</v>
      </c>
      <c r="J92" s="88">
        <v>1478.2110765100506</v>
      </c>
      <c r="K92" s="89">
        <v>1469.3642364009108</v>
      </c>
      <c r="L92" s="90">
        <v>11276.25594524293</v>
      </c>
    </row>
    <row r="93" spans="1:12" ht="16.8">
      <c r="A93" s="80"/>
      <c r="B93" s="81" t="s">
        <v>270</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8">
      <c r="A98" s="86">
        <v>39</v>
      </c>
      <c r="B98" s="98">
        <v>43190</v>
      </c>
      <c r="D98" s="96">
        <v>1318.6363284613724</v>
      </c>
      <c r="E98" s="88">
        <v>1306.4720309915479</v>
      </c>
      <c r="F98" s="88">
        <v>1347.2820676486554</v>
      </c>
      <c r="G98" s="88">
        <v>1440.1193513858889</v>
      </c>
      <c r="H98" s="88">
        <v>1438.2756465630735</v>
      </c>
      <c r="I98" s="88">
        <v>1477.89520728143</v>
      </c>
      <c r="J98" s="88">
        <v>1478.2110765100506</v>
      </c>
      <c r="K98" s="89">
        <v>1469.3642364009108</v>
      </c>
      <c r="L98" s="90">
        <v>11276.25594524293</v>
      </c>
    </row>
    <row r="99" spans="1:12" ht="16.8">
      <c r="A99" s="86">
        <v>40</v>
      </c>
      <c r="B99" s="98">
        <v>43555</v>
      </c>
      <c r="D99" s="96">
        <v>1308.7290743937444</v>
      </c>
      <c r="E99" s="88">
        <v>1287.0308504668881</v>
      </c>
      <c r="F99" s="88">
        <v>1321.6133236113992</v>
      </c>
      <c r="G99" s="88">
        <v>1368.8552685387717</v>
      </c>
      <c r="H99" s="88">
        <v>1413.3651174821453</v>
      </c>
      <c r="I99" s="88">
        <v>1444.977120731663</v>
      </c>
      <c r="J99" s="88">
        <v>1423.9020205383406</v>
      </c>
      <c r="K99" s="89">
        <v>1425.0889232802176</v>
      </c>
      <c r="L99" s="90">
        <v>10993.56169904317</v>
      </c>
    </row>
    <row r="100" spans="1:12" ht="16.8">
      <c r="A100" s="86">
        <v>41</v>
      </c>
      <c r="B100" s="98">
        <v>43921</v>
      </c>
      <c r="D100" s="96" t="s">
        <v>455</v>
      </c>
      <c r="E100" s="88" t="s">
        <v>455</v>
      </c>
      <c r="F100" s="88" t="s">
        <v>455</v>
      </c>
      <c r="G100" s="88" t="s">
        <v>455</v>
      </c>
      <c r="H100" s="88" t="s">
        <v>455</v>
      </c>
      <c r="I100" s="88" t="s">
        <v>455</v>
      </c>
      <c r="J100" s="88" t="s">
        <v>455</v>
      </c>
      <c r="K100" s="89" t="s">
        <v>455</v>
      </c>
      <c r="L100" s="90">
        <v>0</v>
      </c>
    </row>
    <row r="101" spans="1:12" ht="16.8">
      <c r="A101" s="86">
        <v>42</v>
      </c>
      <c r="B101" s="98">
        <v>44286</v>
      </c>
      <c r="D101" s="96" t="s">
        <v>455</v>
      </c>
      <c r="E101" s="88" t="s">
        <v>455</v>
      </c>
      <c r="F101" s="88" t="s">
        <v>455</v>
      </c>
      <c r="G101" s="88" t="s">
        <v>455</v>
      </c>
      <c r="H101" s="88" t="s">
        <v>455</v>
      </c>
      <c r="I101" s="88" t="s">
        <v>455</v>
      </c>
      <c r="J101" s="88" t="s">
        <v>455</v>
      </c>
      <c r="K101" s="89" t="s">
        <v>455</v>
      </c>
      <c r="L101" s="90">
        <v>0</v>
      </c>
    </row>
    <row r="102" spans="1:12" ht="16.8">
      <c r="A102" s="80"/>
      <c r="B102" s="81" t="s">
        <v>271</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8">
      <c r="A107" s="86">
        <v>47</v>
      </c>
      <c r="B107" s="98">
        <v>43190</v>
      </c>
      <c r="D107" s="96">
        <v>0</v>
      </c>
      <c r="E107" s="88">
        <v>-5.4472436134815325</v>
      </c>
      <c r="F107" s="88">
        <v>-114.38240781754212</v>
      </c>
      <c r="G107" s="88">
        <v>-185.40168515778055</v>
      </c>
      <c r="H107" s="88">
        <v>-253.26047854710714</v>
      </c>
      <c r="I107" s="88">
        <v>0</v>
      </c>
      <c r="J107" s="88">
        <v>0</v>
      </c>
      <c r="K107" s="89">
        <v>0</v>
      </c>
      <c r="L107" s="90">
        <v>-558.49181513591134</v>
      </c>
    </row>
    <row r="108" spans="1:12" ht="16.8">
      <c r="A108" s="86">
        <v>48</v>
      </c>
      <c r="B108" s="98">
        <v>43555</v>
      </c>
      <c r="D108" s="96">
        <v>0</v>
      </c>
      <c r="E108" s="88">
        <v>-5.4472436134815325</v>
      </c>
      <c r="F108" s="88">
        <v>-114.38240781754212</v>
      </c>
      <c r="G108" s="88">
        <v>-185.40168515778055</v>
      </c>
      <c r="H108" s="88">
        <v>-253.26047854710714</v>
      </c>
      <c r="I108" s="88">
        <v>-310.24084085461686</v>
      </c>
      <c r="J108" s="88">
        <v>0</v>
      </c>
      <c r="K108" s="89">
        <v>0</v>
      </c>
      <c r="L108" s="90">
        <v>-868.7326559905282</v>
      </c>
    </row>
    <row r="109" spans="1:12" ht="16.8">
      <c r="A109" s="86">
        <v>49</v>
      </c>
      <c r="B109" s="98">
        <v>43921</v>
      </c>
      <c r="D109" s="96" t="s">
        <v>455</v>
      </c>
      <c r="E109" s="88" t="s">
        <v>455</v>
      </c>
      <c r="F109" s="88" t="s">
        <v>455</v>
      </c>
      <c r="G109" s="88" t="s">
        <v>455</v>
      </c>
      <c r="H109" s="88" t="s">
        <v>455</v>
      </c>
      <c r="I109" s="88" t="s">
        <v>455</v>
      </c>
      <c r="J109" s="88" t="s">
        <v>455</v>
      </c>
      <c r="K109" s="89" t="s">
        <v>455</v>
      </c>
      <c r="L109" s="90">
        <v>0</v>
      </c>
    </row>
    <row r="110" spans="1:12" ht="16.8">
      <c r="A110" s="86">
        <v>50</v>
      </c>
      <c r="B110" s="98">
        <v>44286</v>
      </c>
      <c r="D110" s="96" t="s">
        <v>455</v>
      </c>
      <c r="E110" s="88" t="s">
        <v>455</v>
      </c>
      <c r="F110" s="88" t="s">
        <v>455</v>
      </c>
      <c r="G110" s="88" t="s">
        <v>455</v>
      </c>
      <c r="H110" s="88" t="s">
        <v>455</v>
      </c>
      <c r="I110" s="88" t="s">
        <v>455</v>
      </c>
      <c r="J110" s="88" t="s">
        <v>455</v>
      </c>
      <c r="K110" s="89" t="s">
        <v>455</v>
      </c>
      <c r="L110" s="90">
        <v>0</v>
      </c>
    </row>
    <row r="111" spans="1:12" ht="16.8">
      <c r="A111" s="80"/>
      <c r="B111" s="81" t="s">
        <v>272</v>
      </c>
      <c r="D111" s="91">
        <v>0</v>
      </c>
      <c r="E111" s="92">
        <v>0</v>
      </c>
      <c r="F111" s="92">
        <v>0</v>
      </c>
      <c r="G111" s="92">
        <v>0</v>
      </c>
      <c r="H111" s="92">
        <v>0</v>
      </c>
      <c r="I111" s="97">
        <v>0</v>
      </c>
      <c r="J111" s="92">
        <v>0</v>
      </c>
      <c r="K111" s="93">
        <v>0</v>
      </c>
      <c r="L111" s="95">
        <v>0</v>
      </c>
    </row>
    <row r="112" spans="1:12" ht="16.8">
      <c r="A112" s="86">
        <v>51</v>
      </c>
      <c r="B112" s="75" t="s">
        <v>273</v>
      </c>
      <c r="D112" s="87">
        <v>8698.7411106595137</v>
      </c>
      <c r="E112" s="88">
        <v>9097.4386830272961</v>
      </c>
      <c r="F112" s="88">
        <v>9473.4896869746626</v>
      </c>
      <c r="G112" s="88">
        <v>9897.9534191681814</v>
      </c>
      <c r="H112" s="88">
        <v>10295.778881568765</v>
      </c>
      <c r="I112" s="88">
        <v>10788.461853357703</v>
      </c>
      <c r="J112" s="88">
        <v>11162.856942753191</v>
      </c>
      <c r="K112" s="89">
        <v>11356.572810548954</v>
      </c>
      <c r="L112" s="90">
        <v>80771.293388058271</v>
      </c>
    </row>
    <row r="113" spans="1:12" ht="16.8">
      <c r="A113" s="86">
        <v>52</v>
      </c>
      <c r="B113" s="75" t="s">
        <v>26</v>
      </c>
      <c r="D113" s="99">
        <v>0.6</v>
      </c>
      <c r="E113" s="100">
        <v>0.6</v>
      </c>
      <c r="F113" s="100">
        <v>0.6</v>
      </c>
      <c r="G113" s="100">
        <v>0.6</v>
      </c>
      <c r="H113" s="100">
        <v>0.6</v>
      </c>
      <c r="I113" s="100">
        <v>0.6</v>
      </c>
      <c r="J113" s="100">
        <v>0.6</v>
      </c>
      <c r="K113" s="101">
        <v>0.6</v>
      </c>
      <c r="L113" s="102">
        <v>0.6</v>
      </c>
    </row>
    <row r="114" spans="1:12" ht="16.8">
      <c r="A114" s="86">
        <v>53</v>
      </c>
      <c r="B114" s="75" t="s">
        <v>274</v>
      </c>
      <c r="D114" s="87">
        <v>3479.4964442638056</v>
      </c>
      <c r="E114" s="88">
        <v>3638.9754732109186</v>
      </c>
      <c r="F114" s="88">
        <v>3789.395874789865</v>
      </c>
      <c r="G114" s="88">
        <v>3959.1813676672728</v>
      </c>
      <c r="H114" s="88">
        <v>4118.311552627506</v>
      </c>
      <c r="I114" s="88">
        <v>4315.3847413430813</v>
      </c>
      <c r="J114" s="88">
        <v>4465.1427771012768</v>
      </c>
      <c r="K114" s="89">
        <v>4542.6291242195821</v>
      </c>
      <c r="L114" s="90">
        <v>32308.51735522331</v>
      </c>
    </row>
    <row r="115" spans="1:12" ht="16.8">
      <c r="A115" s="86">
        <v>54</v>
      </c>
      <c r="B115" s="75" t="s">
        <v>275</v>
      </c>
      <c r="D115" s="87">
        <v>152.40194425875467</v>
      </c>
      <c r="E115" s="88">
        <v>148.47019930700546</v>
      </c>
      <c r="F115" s="88">
        <v>144.94439221071232</v>
      </c>
      <c r="G115" s="88">
        <v>141.34277482572165</v>
      </c>
      <c r="H115" s="88">
        <v>137.13977470249597</v>
      </c>
      <c r="I115" s="88">
        <v>131.40346537389681</v>
      </c>
      <c r="J115" s="88">
        <v>135.96359756273384</v>
      </c>
      <c r="K115" s="89">
        <v>138.32305683248626</v>
      </c>
      <c r="L115" s="90">
        <v>1129.9892050738069</v>
      </c>
    </row>
    <row r="116" spans="1:12" ht="17.399999999999999" thickBot="1">
      <c r="A116" s="103">
        <v>55</v>
      </c>
      <c r="B116" s="104" t="s">
        <v>276</v>
      </c>
      <c r="D116" s="105">
        <v>243.56475109846645</v>
      </c>
      <c r="E116" s="106">
        <v>254.72828312476426</v>
      </c>
      <c r="F116" s="106">
        <v>265.25771123529057</v>
      </c>
      <c r="G116" s="106">
        <v>277.14269573670913</v>
      </c>
      <c r="H116" s="106">
        <v>288.28180868392542</v>
      </c>
      <c r="I116" s="106">
        <v>302.07693189401573</v>
      </c>
      <c r="J116" s="106">
        <v>312.55999439708944</v>
      </c>
      <c r="K116" s="107">
        <v>317.98403869537071</v>
      </c>
      <c r="L116" s="108">
        <v>2261.5962148656317</v>
      </c>
    </row>
    <row r="120" spans="1:12">
      <c r="B120" t="s">
        <v>348</v>
      </c>
      <c r="D120" s="53">
        <v>-176.76646979458337</v>
      </c>
    </row>
    <row r="123" spans="1:12">
      <c r="D123" s="53"/>
      <c r="E123" s="53"/>
    </row>
    <row r="124" spans="1:12">
      <c r="D124" s="53">
        <f>D131+D128-D127</f>
        <v>1070.0121251573871</v>
      </c>
      <c r="E124" s="53">
        <f t="shared" ref="E124:K124" si="32">E131+E128-E127</f>
        <v>1066.8967834927221</v>
      </c>
      <c r="F124" s="53">
        <f t="shared" si="32"/>
        <v>1058.5663156475985</v>
      </c>
      <c r="G124" s="53">
        <f t="shared" si="32"/>
        <v>961.25213722862748</v>
      </c>
      <c r="H124" s="53">
        <f t="shared" si="32"/>
        <v>1132.7611683892062</v>
      </c>
      <c r="I124" s="53">
        <f t="shared" si="32"/>
        <v>1186.8932321315554</v>
      </c>
      <c r="J124" s="53">
        <f t="shared" si="32"/>
        <v>928.72454397773618</v>
      </c>
      <c r="K124" s="53">
        <f t="shared" si="32"/>
        <v>837.76612025313523</v>
      </c>
    </row>
    <row r="127" spans="1:12" ht="16.8">
      <c r="B127" s="110" t="s">
        <v>287</v>
      </c>
      <c r="D127" s="187">
        <v>5.1119303278452115</v>
      </c>
      <c r="E127" s="187">
        <v>6.1309481710615064</v>
      </c>
      <c r="F127" s="187">
        <v>6.1309481710615064</v>
      </c>
      <c r="G127" s="187">
        <v>0</v>
      </c>
      <c r="H127" s="187">
        <v>0</v>
      </c>
      <c r="I127" s="187">
        <v>0</v>
      </c>
      <c r="J127" s="187">
        <v>0</v>
      </c>
      <c r="K127" s="187">
        <v>0</v>
      </c>
    </row>
    <row r="128" spans="1:12" ht="16.8">
      <c r="B128" s="110" t="s">
        <v>288</v>
      </c>
      <c r="D128" s="187">
        <v>99.762455143961176</v>
      </c>
      <c r="E128" s="187">
        <v>94.650524816115961</v>
      </c>
      <c r="F128" s="187">
        <v>88.519576645054457</v>
      </c>
      <c r="G128" s="187">
        <v>0</v>
      </c>
      <c r="H128" s="187">
        <v>0</v>
      </c>
      <c r="I128" s="187">
        <v>0</v>
      </c>
      <c r="J128" s="187">
        <v>0</v>
      </c>
      <c r="K128" s="187">
        <v>0</v>
      </c>
    </row>
    <row r="129" spans="2:25">
      <c r="D129" s="53"/>
      <c r="E129" s="53"/>
      <c r="F129" s="53"/>
      <c r="G129" s="53"/>
      <c r="H129" s="53"/>
      <c r="I129" s="53"/>
      <c r="J129" s="53"/>
      <c r="K129" s="53"/>
    </row>
    <row r="130" spans="2:25">
      <c r="B130" t="s">
        <v>289</v>
      </c>
      <c r="D130" s="53">
        <f>D128+D60</f>
        <v>8790.8537557518612</v>
      </c>
      <c r="E130" s="53">
        <f t="shared" ref="E130:K130" si="33">E128+E60</f>
        <v>9197.3563602380109</v>
      </c>
      <c r="F130" s="53">
        <f t="shared" si="33"/>
        <v>9583.6561495153928</v>
      </c>
      <c r="G130" s="53">
        <f t="shared" si="33"/>
        <v>9943.496222839698</v>
      </c>
      <c r="H130" s="53">
        <f t="shared" si="33"/>
        <v>10268.970536319866</v>
      </c>
      <c r="I130" s="53">
        <f t="shared" si="33"/>
        <v>10749.116531029773</v>
      </c>
      <c r="J130" s="53">
        <f t="shared" si="33"/>
        <v>11262.868468004683</v>
      </c>
      <c r="K130" s="53">
        <f t="shared" si="33"/>
        <v>11507.35054637692</v>
      </c>
      <c r="L130" s="53"/>
      <c r="N130" s="53">
        <f>D130*N$1</f>
        <v>10258.926332962423</v>
      </c>
      <c r="O130" s="53">
        <f t="shared" ref="O130:U130" si="34">E130*O$1</f>
        <v>10944.854068683233</v>
      </c>
      <c r="P130" s="53">
        <f t="shared" si="34"/>
        <v>11519.554691717502</v>
      </c>
      <c r="Q130" s="53">
        <f t="shared" si="34"/>
        <v>12210.613361647149</v>
      </c>
      <c r="R130" s="53">
        <f t="shared" si="34"/>
        <v>13082.66846327151</v>
      </c>
      <c r="S130" s="53">
        <f t="shared" si="34"/>
        <v>14113.590005242091</v>
      </c>
      <c r="T130" s="53">
        <f t="shared" si="34"/>
        <v>15193.609563338317</v>
      </c>
      <c r="U130" s="53">
        <f t="shared" si="34"/>
        <v>15972.202558371164</v>
      </c>
    </row>
    <row r="131" spans="2:25">
      <c r="B131" t="str">
        <f>B61</f>
        <v>RAV additions (after disposals)</v>
      </c>
      <c r="D131" s="53">
        <f>D61</f>
        <v>975.36160034127101</v>
      </c>
      <c r="E131" s="53">
        <f t="shared" ref="E131:K131" si="35">E61</f>
        <v>978.37720684766771</v>
      </c>
      <c r="F131" s="53">
        <f t="shared" si="35"/>
        <v>976.1776871736057</v>
      </c>
      <c r="G131" s="53">
        <f t="shared" si="35"/>
        <v>961.25213722862748</v>
      </c>
      <c r="H131" s="53">
        <f t="shared" si="35"/>
        <v>1132.7611683892062</v>
      </c>
      <c r="I131" s="53">
        <f t="shared" si="35"/>
        <v>1186.8932321315554</v>
      </c>
      <c r="J131" s="53">
        <f t="shared" si="35"/>
        <v>928.72454397773618</v>
      </c>
      <c r="K131" s="53">
        <f t="shared" si="35"/>
        <v>837.76612025313523</v>
      </c>
    </row>
    <row r="132" spans="2:25">
      <c r="B132" t="str">
        <f t="shared" ref="B132:B133" si="36">B62</f>
        <v>Depreciation</v>
      </c>
      <c r="D132" s="53">
        <f>D62-D127</f>
        <v>-568.85899585512277</v>
      </c>
      <c r="E132" s="53">
        <f t="shared" ref="E132:K132" si="37">E62-E127</f>
        <v>-592.07741757028737</v>
      </c>
      <c r="F132" s="53">
        <f t="shared" si="37"/>
        <v>-616.33761384930074</v>
      </c>
      <c r="G132" s="53">
        <f t="shared" si="37"/>
        <v>-635.77782374845913</v>
      </c>
      <c r="H132" s="53">
        <f t="shared" si="37"/>
        <v>-652.61517367930117</v>
      </c>
      <c r="I132" s="53">
        <f t="shared" si="37"/>
        <v>-673.14129515664547</v>
      </c>
      <c r="J132" s="53">
        <f t="shared" si="37"/>
        <v>-684.24246560549852</v>
      </c>
      <c r="K132" s="53">
        <f t="shared" si="37"/>
        <v>-689.07274580677188</v>
      </c>
    </row>
    <row r="133" spans="2:25">
      <c r="B133" t="str">
        <f t="shared" si="36"/>
        <v>Closing asset value</v>
      </c>
      <c r="D133" s="53">
        <f>SUM(D130:D132)</f>
        <v>9197.3563602380109</v>
      </c>
      <c r="E133" s="53">
        <f t="shared" ref="E133:K133" si="38">SUM(E130:E132)</f>
        <v>9583.656149515391</v>
      </c>
      <c r="F133" s="53">
        <f t="shared" si="38"/>
        <v>9943.496222839698</v>
      </c>
      <c r="G133" s="53">
        <f t="shared" si="38"/>
        <v>10268.970536319866</v>
      </c>
      <c r="H133" s="53">
        <f t="shared" si="38"/>
        <v>10749.116531029771</v>
      </c>
      <c r="I133" s="53">
        <f t="shared" si="38"/>
        <v>11262.868468004683</v>
      </c>
      <c r="J133" s="53">
        <f t="shared" si="38"/>
        <v>11507.35054637692</v>
      </c>
      <c r="K133" s="53">
        <f t="shared" si="38"/>
        <v>11656.043920823282</v>
      </c>
      <c r="N133" s="53">
        <f>D133*N$1</f>
        <v>10733.314872397759</v>
      </c>
      <c r="O133" s="53">
        <f t="shared" ref="O133:U133" si="39">E133*O$1</f>
        <v>11404.550817923315</v>
      </c>
      <c r="P133" s="53">
        <f t="shared" si="39"/>
        <v>11952.082459853316</v>
      </c>
      <c r="Q133" s="53">
        <f t="shared" si="39"/>
        <v>12610.295818600796</v>
      </c>
      <c r="R133" s="53">
        <f t="shared" si="39"/>
        <v>13694.374460531928</v>
      </c>
      <c r="S133" s="53">
        <f t="shared" si="39"/>
        <v>14788.146298490148</v>
      </c>
      <c r="T133" s="53">
        <f t="shared" si="39"/>
        <v>15523.415887062465</v>
      </c>
      <c r="U133" s="53">
        <f t="shared" si="39"/>
        <v>16178.588962102715</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290</v>
      </c>
      <c r="D136" s="187">
        <v>1.5</v>
      </c>
      <c r="E136" s="187">
        <v>1.3</v>
      </c>
      <c r="F136" s="187">
        <v>1.3</v>
      </c>
      <c r="G136" s="187">
        <v>1.5</v>
      </c>
      <c r="H136" s="187">
        <v>1.3</v>
      </c>
      <c r="I136" s="187">
        <v>1.3</v>
      </c>
      <c r="J136" s="187">
        <v>1.5</v>
      </c>
      <c r="K136" s="187">
        <v>1.3</v>
      </c>
    </row>
    <row r="137" spans="2:25">
      <c r="B137" t="s">
        <v>291</v>
      </c>
      <c r="D137" s="187">
        <v>28.929052554944597</v>
      </c>
      <c r="E137" s="187">
        <v>28.929052554944597</v>
      </c>
      <c r="F137" s="187">
        <v>32.585753058109198</v>
      </c>
      <c r="G137" s="187">
        <v>32.585753058109198</v>
      </c>
      <c r="H137" s="187">
        <v>32.585753058109198</v>
      </c>
      <c r="I137" s="187">
        <v>27.850019605627921</v>
      </c>
      <c r="J137" s="187">
        <v>27.850019605627921</v>
      </c>
      <c r="K137" s="187">
        <v>27.850019605627921</v>
      </c>
    </row>
    <row r="138" spans="2:25">
      <c r="B138" t="s">
        <v>292</v>
      </c>
      <c r="D138" s="187">
        <v>30.429052554944597</v>
      </c>
      <c r="E138" s="187">
        <v>30.229052554944598</v>
      </c>
      <c r="F138" s="187">
        <v>33.885753058109195</v>
      </c>
      <c r="G138" s="187">
        <v>34.085753058109198</v>
      </c>
      <c r="H138" s="187">
        <v>33.885753058109195</v>
      </c>
      <c r="I138" s="187">
        <v>29.150019605627921</v>
      </c>
      <c r="J138" s="187">
        <v>29.350019605627921</v>
      </c>
      <c r="K138" s="187">
        <v>29.150019605627921</v>
      </c>
    </row>
    <row r="139" spans="2:25">
      <c r="B139" t="s">
        <v>293</v>
      </c>
      <c r="D139" s="187">
        <v>1.6281727480620216</v>
      </c>
      <c r="E139" s="187">
        <v>1.7003333642561302</v>
      </c>
      <c r="F139" s="187">
        <v>1.7739577989284205</v>
      </c>
      <c r="G139" s="187">
        <v>1.8489607346671144</v>
      </c>
      <c r="H139" s="187">
        <v>1.9253597922235597</v>
      </c>
      <c r="I139" s="187">
        <v>2.0027207486751024</v>
      </c>
      <c r="J139" s="187">
        <v>2.0831900683568683</v>
      </c>
      <c r="K139" s="187">
        <v>2.1668926453034474</v>
      </c>
    </row>
    <row r="140" spans="2:25">
      <c r="B140" s="38" t="s">
        <v>294</v>
      </c>
      <c r="C140" s="38"/>
      <c r="D140" s="58">
        <f>D138+D139</f>
        <v>32.057225303006618</v>
      </c>
      <c r="E140" s="58">
        <f t="shared" ref="E140:K140" si="40">E138+E139</f>
        <v>31.92938591920073</v>
      </c>
      <c r="F140" s="58">
        <f t="shared" si="40"/>
        <v>35.659710857037616</v>
      </c>
      <c r="G140" s="58">
        <f t="shared" si="40"/>
        <v>35.934713792776314</v>
      </c>
      <c r="H140" s="58">
        <f t="shared" si="40"/>
        <v>35.811112850332755</v>
      </c>
      <c r="I140" s="58">
        <f t="shared" si="40"/>
        <v>31.152740354303024</v>
      </c>
      <c r="J140" s="58">
        <f t="shared" si="40"/>
        <v>31.433209673984788</v>
      </c>
      <c r="K140" s="58">
        <f t="shared" si="40"/>
        <v>31.31691225093137</v>
      </c>
    </row>
    <row r="141" spans="2:25">
      <c r="D141" s="53"/>
      <c r="E141" s="53"/>
      <c r="F141" s="53"/>
      <c r="G141" s="53"/>
      <c r="H141" s="53"/>
      <c r="I141" s="53"/>
      <c r="J141" s="53"/>
      <c r="K141" s="53"/>
    </row>
    <row r="142" spans="2:25">
      <c r="B142" t="s">
        <v>350</v>
      </c>
      <c r="D142" s="187">
        <v>19.092223163426969</v>
      </c>
      <c r="E142" s="187">
        <v>19.938390494030049</v>
      </c>
      <c r="F142" s="187">
        <v>20.801722802421548</v>
      </c>
      <c r="G142" s="187">
        <v>21.681219642507934</v>
      </c>
      <c r="H142" s="187">
        <v>22.577087638136362</v>
      </c>
      <c r="I142" s="187">
        <v>23.484235019436685</v>
      </c>
      <c r="J142" s="187">
        <v>24.427831582517655</v>
      </c>
      <c r="K142" s="187">
        <v>25.409341855503218</v>
      </c>
    </row>
    <row r="143" spans="2:25">
      <c r="B143" t="s">
        <v>296</v>
      </c>
      <c r="D143" s="187">
        <v>18.768393984911107</v>
      </c>
      <c r="E143" s="187">
        <v>19.600209206322365</v>
      </c>
      <c r="F143" s="187">
        <v>20.448898264956121</v>
      </c>
      <c r="G143" s="187">
        <v>21.313477683598467</v>
      </c>
      <c r="H143" s="187">
        <v>22.194150581484756</v>
      </c>
      <c r="I143" s="187">
        <v>23.085911551848817</v>
      </c>
      <c r="J143" s="187">
        <v>24.013503478002107</v>
      </c>
      <c r="K143" s="187">
        <v>24.978366047748235</v>
      </c>
    </row>
    <row r="144" spans="2:25" ht="16.8">
      <c r="B144" s="179" t="s">
        <v>266</v>
      </c>
      <c r="D144" s="187">
        <f>-D88</f>
        <v>-123</v>
      </c>
      <c r="E144" s="187">
        <f t="shared" ref="E144:K144" si="41">-E88</f>
        <v>-122.8</v>
      </c>
      <c r="F144" s="187">
        <f t="shared" si="41"/>
        <v>-129.80000000000001</v>
      </c>
      <c r="G144" s="187">
        <f t="shared" si="41"/>
        <v>-125.6</v>
      </c>
      <c r="H144" s="187">
        <f t="shared" si="41"/>
        <v>-127.3</v>
      </c>
      <c r="I144" s="187">
        <f t="shared" si="41"/>
        <v>-128.6</v>
      </c>
      <c r="J144" s="187">
        <f t="shared" si="41"/>
        <v>-130.19999999999999</v>
      </c>
      <c r="K144" s="187">
        <f t="shared" si="41"/>
        <v>-131.69999999999999</v>
      </c>
    </row>
    <row r="145" spans="2:21" ht="16.8">
      <c r="B145" s="179" t="s">
        <v>351</v>
      </c>
      <c r="D145" s="187">
        <v>7.367</v>
      </c>
      <c r="E145" s="187">
        <v>6.234</v>
      </c>
      <c r="F145" s="187">
        <v>5.5780000000000003</v>
      </c>
      <c r="G145" s="187">
        <v>3.3689999999999998</v>
      </c>
      <c r="H145" s="187">
        <v>3.3680000000000003</v>
      </c>
      <c r="I145" s="187">
        <v>3.1619999999999999</v>
      </c>
      <c r="J145" s="187">
        <v>3.0940000000000003</v>
      </c>
      <c r="K145" s="187">
        <v>3.0270000000000001</v>
      </c>
    </row>
    <row r="146" spans="2:21">
      <c r="B146" s="38" t="s">
        <v>298</v>
      </c>
      <c r="D146" s="58">
        <f>SUM(D140:D145)</f>
        <v>-45.71515754865532</v>
      </c>
      <c r="E146" s="58">
        <f t="shared" ref="E146:K146" si="42">SUM(E140:E145)</f>
        <v>-45.098014380446848</v>
      </c>
      <c r="F146" s="58">
        <f t="shared" si="42"/>
        <v>-47.31166807558472</v>
      </c>
      <c r="G146" s="58">
        <f t="shared" si="42"/>
        <v>-43.301588881117283</v>
      </c>
      <c r="H146" s="58">
        <f t="shared" si="42"/>
        <v>-43.349648930046122</v>
      </c>
      <c r="I146" s="58">
        <f t="shared" si="42"/>
        <v>-47.71511307441147</v>
      </c>
      <c r="J146" s="58">
        <f t="shared" si="42"/>
        <v>-47.231455265495434</v>
      </c>
      <c r="K146" s="58">
        <f t="shared" si="42"/>
        <v>-46.968379845817168</v>
      </c>
    </row>
    <row r="147" spans="2:21">
      <c r="B147" t="s">
        <v>299</v>
      </c>
      <c r="D147" s="187">
        <v>13.751034124367685</v>
      </c>
      <c r="E147" s="187">
        <v>13.274690050778315</v>
      </c>
      <c r="F147" s="187">
        <v>12.798257977175346</v>
      </c>
      <c r="G147" s="187">
        <v>0</v>
      </c>
      <c r="H147" s="187">
        <v>0</v>
      </c>
      <c r="I147" s="187">
        <v>0</v>
      </c>
      <c r="J147" s="187">
        <v>0</v>
      </c>
      <c r="K147" s="187">
        <v>0</v>
      </c>
    </row>
    <row r="148" spans="2:21">
      <c r="D148" s="53"/>
      <c r="E148" s="53"/>
      <c r="F148" s="53"/>
      <c r="G148" s="53"/>
      <c r="H148" s="53"/>
      <c r="I148" s="53"/>
      <c r="J148" s="53"/>
      <c r="K148" s="53"/>
    </row>
    <row r="149" spans="2:21">
      <c r="B149" t="s">
        <v>300</v>
      </c>
      <c r="D149" s="53">
        <f>SUM(D142:D145,D147)</f>
        <v>-64.021348727294225</v>
      </c>
      <c r="E149" s="53">
        <f t="shared" ref="E149:K149" si="43">SUM(E142:E145,E147)</f>
        <v>-63.752710248869278</v>
      </c>
      <c r="F149" s="53">
        <f t="shared" si="43"/>
        <v>-70.17312095544699</v>
      </c>
      <c r="G149" s="53">
        <f t="shared" si="43"/>
        <v>-79.23630267389359</v>
      </c>
      <c r="H149" s="53">
        <f t="shared" si="43"/>
        <v>-79.160761780378891</v>
      </c>
      <c r="I149" s="53">
        <f t="shared" si="43"/>
        <v>-78.867853428714483</v>
      </c>
      <c r="J149" s="53">
        <f t="shared" si="43"/>
        <v>-78.664664939480232</v>
      </c>
      <c r="K149" s="53">
        <f t="shared" si="43"/>
        <v>-78.285292096748535</v>
      </c>
    </row>
    <row r="152" spans="2:21" ht="16.8">
      <c r="B152" s="75" t="s">
        <v>247</v>
      </c>
      <c r="D152" s="87">
        <f>D189</f>
        <v>74.160747515587701</v>
      </c>
      <c r="E152" s="88">
        <f t="shared" ref="E152:K155" si="44">E189</f>
        <v>94.867572674081416</v>
      </c>
      <c r="F152" s="88">
        <f t="shared" si="44"/>
        <v>107.32321132105858</v>
      </c>
      <c r="G152" s="88">
        <f t="shared" si="44"/>
        <v>117.25614636668001</v>
      </c>
      <c r="H152" s="88">
        <f t="shared" si="44"/>
        <v>126.83711588396275</v>
      </c>
      <c r="I152" s="88">
        <f t="shared" si="44"/>
        <v>130.85477652434648</v>
      </c>
      <c r="J152" s="88">
        <f t="shared" si="44"/>
        <v>130.20874357842737</v>
      </c>
      <c r="K152" s="89">
        <f t="shared" si="44"/>
        <v>129.79015438526633</v>
      </c>
    </row>
    <row r="153" spans="2:21" ht="16.8">
      <c r="B153" s="75" t="s">
        <v>248</v>
      </c>
      <c r="D153" s="87">
        <f>D190</f>
        <v>36.352146511857903</v>
      </c>
      <c r="E153" s="88">
        <f t="shared" si="44"/>
        <v>31.835077135425333</v>
      </c>
      <c r="F153" s="88">
        <f t="shared" si="44"/>
        <v>32.455366516102345</v>
      </c>
      <c r="G153" s="88">
        <f t="shared" si="44"/>
        <v>34.910693515306264</v>
      </c>
      <c r="H153" s="88">
        <f t="shared" si="44"/>
        <v>32.868884975305278</v>
      </c>
      <c r="I153" s="88">
        <f t="shared" si="44"/>
        <v>30.392860005229078</v>
      </c>
      <c r="J153" s="88">
        <f t="shared" si="44"/>
        <v>32.114045913817506</v>
      </c>
      <c r="K153" s="89">
        <f t="shared" si="44"/>
        <v>32.530234597643322</v>
      </c>
    </row>
    <row r="154" spans="2:21" ht="16.8">
      <c r="B154" s="75" t="s">
        <v>249</v>
      </c>
      <c r="D154" s="87">
        <f>D191</f>
        <v>-15.645321353364194</v>
      </c>
      <c r="E154" s="88">
        <f t="shared" si="44"/>
        <v>-19.379438488448173</v>
      </c>
      <c r="F154" s="88">
        <f t="shared" si="44"/>
        <v>-22.522431470480917</v>
      </c>
      <c r="G154" s="88">
        <f t="shared" si="44"/>
        <v>-25.329723998023518</v>
      </c>
      <c r="H154" s="88">
        <f t="shared" si="44"/>
        <v>-28.851224334921568</v>
      </c>
      <c r="I154" s="88">
        <f t="shared" si="44"/>
        <v>-31.038892951148178</v>
      </c>
      <c r="J154" s="88">
        <f t="shared" si="44"/>
        <v>-32.532635106978553</v>
      </c>
      <c r="K154" s="89">
        <f t="shared" si="44"/>
        <v>-32.989867796149099</v>
      </c>
    </row>
    <row r="155" spans="2:21" ht="16.8">
      <c r="B155" s="75" t="s">
        <v>250</v>
      </c>
      <c r="D155" s="87">
        <f>D192</f>
        <v>94.867572674081416</v>
      </c>
      <c r="E155" s="88">
        <f t="shared" si="44"/>
        <v>107.32321132105858</v>
      </c>
      <c r="F155" s="88">
        <f t="shared" si="44"/>
        <v>117.25614636668001</v>
      </c>
      <c r="G155" s="88">
        <f t="shared" si="44"/>
        <v>126.83711588396275</v>
      </c>
      <c r="H155" s="88">
        <f t="shared" si="44"/>
        <v>130.85477652434648</v>
      </c>
      <c r="I155" s="88">
        <f t="shared" si="44"/>
        <v>130.20874357842737</v>
      </c>
      <c r="J155" s="88">
        <f t="shared" si="44"/>
        <v>129.79015438526633</v>
      </c>
      <c r="K155" s="89">
        <f t="shared" si="44"/>
        <v>129.33052118676056</v>
      </c>
    </row>
    <row r="157" spans="2:21" ht="15.6">
      <c r="L157" s="119" t="s">
        <v>301</v>
      </c>
    </row>
    <row r="158" spans="2:21" ht="15.6">
      <c r="B158" t="s">
        <v>289</v>
      </c>
      <c r="D158" s="122">
        <f>D130+D152</f>
        <v>8865.0145032674482</v>
      </c>
      <c r="E158" s="122">
        <f t="shared" ref="E158:K158" si="45">E130+E152</f>
        <v>9292.223932912093</v>
      </c>
      <c r="F158" s="122">
        <f t="shared" si="45"/>
        <v>9690.9793608364507</v>
      </c>
      <c r="G158" s="122">
        <f t="shared" si="45"/>
        <v>10060.752369206379</v>
      </c>
      <c r="H158" s="122">
        <f t="shared" si="45"/>
        <v>10395.80765220383</v>
      </c>
      <c r="I158" s="122">
        <f t="shared" si="45"/>
        <v>10879.971307554119</v>
      </c>
      <c r="J158" s="122">
        <f t="shared" si="45"/>
        <v>11393.07721158311</v>
      </c>
      <c r="K158" s="122">
        <f t="shared" si="45"/>
        <v>11637.140700762186</v>
      </c>
      <c r="L158" s="120">
        <f>(K158/D158)^(1/7)-1</f>
        <v>3.9635202317495732E-2</v>
      </c>
      <c r="M158" t="s">
        <v>302</v>
      </c>
      <c r="N158" s="114">
        <f t="shared" ref="N158:U159" si="46">D158*N$1</f>
        <v>10345.471925313112</v>
      </c>
      <c r="O158" s="109">
        <f t="shared" si="46"/>
        <v>11057.74648016539</v>
      </c>
      <c r="P158" s="109">
        <f t="shared" si="46"/>
        <v>11648.557191725413</v>
      </c>
      <c r="Q158" s="109">
        <f t="shared" si="46"/>
        <v>12354.603909385432</v>
      </c>
      <c r="R158" s="109">
        <f t="shared" si="46"/>
        <v>13244.25894890768</v>
      </c>
      <c r="S158" s="109">
        <f t="shared" si="46"/>
        <v>14285.402326818557</v>
      </c>
      <c r="T158" s="109">
        <f t="shared" si="46"/>
        <v>15369.261158425614</v>
      </c>
      <c r="U158" s="109">
        <f t="shared" si="46"/>
        <v>16152.351292657913</v>
      </c>
    </row>
    <row r="159" spans="2:21" ht="15.6">
      <c r="B159" t="s">
        <v>250</v>
      </c>
      <c r="D159" s="122">
        <f>D133+D155</f>
        <v>9292.223932912093</v>
      </c>
      <c r="E159" s="122">
        <f t="shared" ref="E159:K159" si="47">E133+E155</f>
        <v>9690.9793608364489</v>
      </c>
      <c r="F159" s="122">
        <f t="shared" si="47"/>
        <v>10060.752369206379</v>
      </c>
      <c r="G159" s="122">
        <f t="shared" si="47"/>
        <v>10395.80765220383</v>
      </c>
      <c r="H159" s="122">
        <f t="shared" si="47"/>
        <v>10879.971307554117</v>
      </c>
      <c r="I159" s="122">
        <f t="shared" si="47"/>
        <v>11393.07721158311</v>
      </c>
      <c r="J159" s="122">
        <f t="shared" si="47"/>
        <v>11637.140700762186</v>
      </c>
      <c r="K159" s="122">
        <f t="shared" si="47"/>
        <v>11785.374442010043</v>
      </c>
      <c r="L159" s="121">
        <f>(K159/D159)^(1/7)-1</f>
        <v>3.4537518605965545E-2</v>
      </c>
      <c r="N159" s="109">
        <f t="shared" si="46"/>
        <v>10844.025329708413</v>
      </c>
      <c r="O159" s="109">
        <f t="shared" si="46"/>
        <v>11532.265439395374</v>
      </c>
      <c r="P159" s="109">
        <f t="shared" si="46"/>
        <v>12093.024347786068</v>
      </c>
      <c r="Q159" s="109">
        <f t="shared" si="46"/>
        <v>12766.051796906304</v>
      </c>
      <c r="R159" s="109">
        <f t="shared" si="46"/>
        <v>13861.083445823944</v>
      </c>
      <c r="S159" s="109">
        <f t="shared" si="46"/>
        <v>14959.110378808622</v>
      </c>
      <c r="T159" s="109">
        <f t="shared" si="46"/>
        <v>15698.502805328188</v>
      </c>
      <c r="U159" s="114">
        <f t="shared" si="46"/>
        <v>16358.099725509939</v>
      </c>
    </row>
    <row r="160" spans="2:21">
      <c r="N160" s="109"/>
      <c r="O160" s="109"/>
      <c r="P160" s="109"/>
      <c r="Q160" s="109"/>
      <c r="R160" s="109"/>
      <c r="S160" s="109"/>
      <c r="T160" s="109"/>
      <c r="U160" s="109"/>
    </row>
    <row r="161" spans="1:21">
      <c r="B161" t="s">
        <v>289</v>
      </c>
      <c r="D161" s="53"/>
      <c r="M161" t="s">
        <v>303</v>
      </c>
      <c r="N161" s="115">
        <f>D158*N$3</f>
        <v>10190.343073497943</v>
      </c>
      <c r="O161" s="109">
        <f t="shared" ref="O161:U161" si="48">E158*O$2</f>
        <v>11072.288458914105</v>
      </c>
      <c r="P161" s="109">
        <f t="shared" si="48"/>
        <v>11727.08810959863</v>
      </c>
      <c r="Q161" s="109">
        <f t="shared" si="48"/>
        <v>12556.900724674548</v>
      </c>
      <c r="R161" s="109">
        <f t="shared" si="48"/>
        <v>13408.712820678171</v>
      </c>
      <c r="S161" s="109">
        <f t="shared" si="48"/>
        <v>14376.084442068655</v>
      </c>
      <c r="T161" s="109">
        <f t="shared" si="48"/>
        <v>15508.172920015264</v>
      </c>
      <c r="U161" s="109">
        <f t="shared" si="48"/>
        <v>16315.008784090352</v>
      </c>
    </row>
    <row r="162" spans="1:21">
      <c r="B162" t="s">
        <v>250</v>
      </c>
      <c r="D162" s="53"/>
      <c r="E162" s="53"/>
      <c r="F162" s="53"/>
      <c r="G162" s="53"/>
      <c r="H162" s="53"/>
      <c r="I162" s="53"/>
      <c r="J162" s="53"/>
      <c r="K162" s="53"/>
      <c r="N162" s="109">
        <f t="shared" ref="N162:U162" si="49">D159*N$2</f>
        <v>10973.236481257542</v>
      </c>
      <c r="O162" s="109">
        <f t="shared" si="49"/>
        <v>11547.431455296084</v>
      </c>
      <c r="P162" s="109">
        <f t="shared" si="49"/>
        <v>12174.551723774692</v>
      </c>
      <c r="Q162" s="109">
        <f t="shared" si="49"/>
        <v>12975.085744191991</v>
      </c>
      <c r="R162" s="109">
        <f t="shared" si="49"/>
        <v>14033.19642310665</v>
      </c>
      <c r="S162" s="109">
        <f t="shared" si="49"/>
        <v>15054.069116432931</v>
      </c>
      <c r="T162" s="109">
        <f t="shared" si="49"/>
        <v>15840.390346734997</v>
      </c>
      <c r="U162" s="115">
        <f t="shared" si="49"/>
        <v>16522.829145873806</v>
      </c>
    </row>
    <row r="163" spans="1:21">
      <c r="D163" s="189"/>
      <c r="E163" s="189"/>
      <c r="F163" s="189"/>
      <c r="G163" s="189"/>
      <c r="H163" s="189"/>
      <c r="I163" s="189"/>
      <c r="J163" s="189"/>
      <c r="K163" s="189"/>
    </row>
    <row r="164" spans="1:21">
      <c r="D164" s="53"/>
    </row>
    <row r="165" spans="1:21">
      <c r="B165" t="s">
        <v>304</v>
      </c>
      <c r="D165" s="190">
        <f t="shared" ref="D165" si="50">D62-D127-D166</f>
        <v>-568.85899585512277</v>
      </c>
      <c r="E165" s="190">
        <f>E62-E127-E166</f>
        <v>-549.89961863661074</v>
      </c>
      <c r="F165" s="190">
        <f t="shared" ref="F165:K165" si="51">F62-F127-F166</f>
        <v>-536.88830227380822</v>
      </c>
      <c r="G165" s="190">
        <f t="shared" si="51"/>
        <v>-523.09693133301414</v>
      </c>
      <c r="H165" s="190">
        <f t="shared" si="51"/>
        <v>-510.35729242605225</v>
      </c>
      <c r="I165" s="190">
        <f t="shared" si="51"/>
        <v>-499.08660917668197</v>
      </c>
      <c r="J165" s="190">
        <f t="shared" si="51"/>
        <v>-479.55827686084973</v>
      </c>
      <c r="K165" s="190">
        <f t="shared" si="51"/>
        <v>-462.2100604895204</v>
      </c>
    </row>
    <row r="166" spans="1:21">
      <c r="B166" t="s">
        <v>305</v>
      </c>
      <c r="D166" s="193">
        <v>0</v>
      </c>
      <c r="E166" s="193">
        <v>-42.177798933676584</v>
      </c>
      <c r="F166" s="193">
        <v>-79.449311575492487</v>
      </c>
      <c r="G166" s="193">
        <v>-112.68089241544502</v>
      </c>
      <c r="H166" s="193">
        <v>-142.25788125324894</v>
      </c>
      <c r="I166" s="193">
        <v>-174.05468597996349</v>
      </c>
      <c r="J166" s="193">
        <v>-204.68418874464879</v>
      </c>
      <c r="K166" s="193">
        <v>-226.86268531725145</v>
      </c>
    </row>
    <row r="167" spans="1:21">
      <c r="D167" s="53"/>
      <c r="E167" s="53"/>
      <c r="F167" s="53"/>
      <c r="G167" s="53"/>
      <c r="H167" s="53"/>
      <c r="I167" s="53"/>
      <c r="J167" s="53"/>
      <c r="K167" s="53"/>
    </row>
    <row r="169" spans="1:21">
      <c r="B169" t="s">
        <v>352</v>
      </c>
      <c r="D169" s="192">
        <v>98.2</v>
      </c>
      <c r="E169" s="192">
        <v>86.4</v>
      </c>
      <c r="F169" s="192">
        <v>80.599999999999994</v>
      </c>
      <c r="G169" s="192">
        <v>94.8</v>
      </c>
      <c r="H169" s="192">
        <v>80.2</v>
      </c>
      <c r="I169" s="192">
        <v>54.8</v>
      </c>
      <c r="J169" s="192">
        <v>15.6</v>
      </c>
      <c r="K169" s="192">
        <v>1.4</v>
      </c>
    </row>
    <row r="170" spans="1:21">
      <c r="B170" t="s">
        <v>353</v>
      </c>
      <c r="D170" s="192">
        <v>-45.1</v>
      </c>
      <c r="E170" s="192">
        <v>-33.4</v>
      </c>
      <c r="F170" s="192">
        <v>-29.6</v>
      </c>
      <c r="G170" s="192">
        <v>-37.299999999999997</v>
      </c>
      <c r="H170" s="192">
        <v>-31.2</v>
      </c>
      <c r="I170" s="192">
        <v>-26.3</v>
      </c>
      <c r="J170" s="192">
        <v>-11.9</v>
      </c>
      <c r="K170" s="192">
        <v>-1.4</v>
      </c>
    </row>
    <row r="171" spans="1:21">
      <c r="D171" s="192"/>
      <c r="E171" s="192"/>
      <c r="F171" s="192"/>
      <c r="G171" s="192"/>
      <c r="H171" s="192"/>
      <c r="I171" s="192"/>
      <c r="J171" s="192"/>
      <c r="K171" s="192"/>
    </row>
    <row r="172" spans="1:21" s="188" customFormat="1">
      <c r="D172" s="194"/>
      <c r="E172" s="194"/>
      <c r="F172" s="194"/>
      <c r="G172" s="194"/>
      <c r="H172" s="194"/>
      <c r="I172" s="194"/>
      <c r="J172" s="194"/>
      <c r="K172" s="194"/>
    </row>
    <row r="174" spans="1:21" ht="16.8">
      <c r="A174" s="86">
        <v>1</v>
      </c>
      <c r="B174" s="75" t="s">
        <v>241</v>
      </c>
      <c r="D174" s="87">
        <f>D183</f>
        <v>33.421997853433467</v>
      </c>
      <c r="E174" s="88">
        <f t="shared" ref="E174:K174" si="52">E183</f>
        <v>31.835077135425333</v>
      </c>
      <c r="F174" s="88">
        <f t="shared" si="52"/>
        <v>32.455366516102345</v>
      </c>
      <c r="G174" s="88">
        <f t="shared" si="52"/>
        <v>34.910693515306264</v>
      </c>
      <c r="H174" s="88">
        <f t="shared" si="52"/>
        <v>32.868884975305278</v>
      </c>
      <c r="I174" s="88">
        <f t="shared" si="52"/>
        <v>30.392860005229078</v>
      </c>
      <c r="J174" s="88">
        <f t="shared" si="52"/>
        <v>32.114045913817506</v>
      </c>
      <c r="K174" s="89">
        <f t="shared" si="52"/>
        <v>32.530234597643322</v>
      </c>
      <c r="L174" s="172">
        <v>243.40743312371282</v>
      </c>
    </row>
    <row r="175" spans="1:21" ht="16.8">
      <c r="A175" s="86">
        <v>2</v>
      </c>
      <c r="B175" s="75" t="s">
        <v>242</v>
      </c>
      <c r="D175" s="87">
        <f t="shared" ref="D175:K176" si="53">D184</f>
        <v>86.370109148120179</v>
      </c>
      <c r="E175" s="88">
        <f t="shared" si="53"/>
        <v>82.269141987962939</v>
      </c>
      <c r="F175" s="88">
        <f t="shared" si="53"/>
        <v>83.872112036235805</v>
      </c>
      <c r="G175" s="88">
        <f t="shared" si="53"/>
        <v>90.217240231311152</v>
      </c>
      <c r="H175" s="88">
        <f t="shared" si="53"/>
        <v>84.940738592097134</v>
      </c>
      <c r="I175" s="88">
        <f t="shared" si="53"/>
        <v>78.542122092366171</v>
      </c>
      <c r="J175" s="88">
        <f t="shared" si="53"/>
        <v>82.990061304166375</v>
      </c>
      <c r="K175" s="89">
        <f t="shared" si="53"/>
        <v>84.065588332977896</v>
      </c>
      <c r="L175" s="172">
        <v>629.02064258851954</v>
      </c>
    </row>
    <row r="176" spans="1:21" ht="16.8">
      <c r="A176" s="86">
        <v>3</v>
      </c>
      <c r="B176" s="75" t="s">
        <v>243</v>
      </c>
      <c r="D176" s="87">
        <f t="shared" si="53"/>
        <v>119.79210700155365</v>
      </c>
      <c r="E176" s="88">
        <f t="shared" si="53"/>
        <v>114.10421912338828</v>
      </c>
      <c r="F176" s="88">
        <f t="shared" si="53"/>
        <v>116.32747855233815</v>
      </c>
      <c r="G176" s="88">
        <f t="shared" si="53"/>
        <v>125.12793374661742</v>
      </c>
      <c r="H176" s="88">
        <f t="shared" si="53"/>
        <v>117.80962356740241</v>
      </c>
      <c r="I176" s="88">
        <f t="shared" si="53"/>
        <v>108.93498209759525</v>
      </c>
      <c r="J176" s="88">
        <f t="shared" si="53"/>
        <v>115.10410721798388</v>
      </c>
      <c r="K176" s="89">
        <f t="shared" si="53"/>
        <v>116.59582293062122</v>
      </c>
      <c r="L176" s="172">
        <v>872.42807571223227</v>
      </c>
    </row>
    <row r="179" spans="1:13" ht="17.399999999999999" thickBot="1">
      <c r="B179" s="185" t="s">
        <v>354</v>
      </c>
    </row>
    <row r="180" spans="1:13" ht="16.8">
      <c r="A180" s="68"/>
      <c r="B180" s="69" t="s">
        <v>237</v>
      </c>
      <c r="D180" s="70">
        <v>41729</v>
      </c>
      <c r="E180" s="71">
        <v>42094</v>
      </c>
      <c r="F180" s="71">
        <v>42460</v>
      </c>
      <c r="G180" s="71">
        <v>42825</v>
      </c>
      <c r="H180" s="71">
        <v>43190</v>
      </c>
      <c r="I180" s="71">
        <v>43555</v>
      </c>
      <c r="J180" s="71">
        <v>43921</v>
      </c>
      <c r="K180" s="72">
        <v>44286</v>
      </c>
      <c r="L180" s="180" t="s">
        <v>238</v>
      </c>
      <c r="M180" s="181" t="s">
        <v>310</v>
      </c>
    </row>
    <row r="181" spans="1:13" ht="16.8">
      <c r="A181" s="74"/>
      <c r="B181" s="75" t="s">
        <v>239</v>
      </c>
      <c r="D181" s="76" t="s">
        <v>240</v>
      </c>
      <c r="E181" s="77" t="s">
        <v>240</v>
      </c>
      <c r="F181" s="77" t="s">
        <v>240</v>
      </c>
      <c r="G181" s="77" t="s">
        <v>240</v>
      </c>
      <c r="H181" s="77" t="s">
        <v>240</v>
      </c>
      <c r="I181" s="77" t="s">
        <v>240</v>
      </c>
      <c r="J181" s="77" t="s">
        <v>240</v>
      </c>
      <c r="K181" s="78" t="s">
        <v>240</v>
      </c>
      <c r="L181" s="182" t="s">
        <v>240</v>
      </c>
      <c r="M181" s="79" t="s">
        <v>240</v>
      </c>
    </row>
    <row r="182" spans="1:13" ht="16.8">
      <c r="A182" s="80"/>
      <c r="B182" s="81" t="s">
        <v>207</v>
      </c>
      <c r="D182" s="82"/>
      <c r="E182" s="83"/>
      <c r="F182" s="83"/>
      <c r="G182" s="83"/>
      <c r="H182" s="83"/>
      <c r="I182" s="83"/>
      <c r="J182" s="83"/>
      <c r="K182" s="84"/>
      <c r="L182" s="183"/>
      <c r="M182" s="85"/>
    </row>
    <row r="183" spans="1:13" ht="16.8">
      <c r="A183" s="86">
        <v>1</v>
      </c>
      <c r="B183" s="75" t="s">
        <v>241</v>
      </c>
      <c r="D183" s="87">
        <v>33.421997853433467</v>
      </c>
      <c r="E183" s="88">
        <v>31.835077135425333</v>
      </c>
      <c r="F183" s="88">
        <v>32.455366516102345</v>
      </c>
      <c r="G183" s="88">
        <v>34.910693515306264</v>
      </c>
      <c r="H183" s="88">
        <v>32.868884975305278</v>
      </c>
      <c r="I183" s="88">
        <v>30.392860005229078</v>
      </c>
      <c r="J183" s="88">
        <v>32.114045913817506</v>
      </c>
      <c r="K183" s="89">
        <v>32.530234597643322</v>
      </c>
      <c r="L183" s="172">
        <v>260.52916051226254</v>
      </c>
      <c r="M183" s="90">
        <v>32.566145064032817</v>
      </c>
    </row>
    <row r="184" spans="1:13" ht="16.8">
      <c r="A184" s="86">
        <v>2</v>
      </c>
      <c r="B184" s="75" t="s">
        <v>242</v>
      </c>
      <c r="D184" s="87">
        <v>86.370109148120179</v>
      </c>
      <c r="E184" s="88">
        <v>82.269141987962939</v>
      </c>
      <c r="F184" s="88">
        <v>83.872112036235805</v>
      </c>
      <c r="G184" s="88">
        <v>90.217240231311152</v>
      </c>
      <c r="H184" s="88">
        <v>84.940738592097134</v>
      </c>
      <c r="I184" s="88">
        <v>78.542122092366171</v>
      </c>
      <c r="J184" s="88">
        <v>82.990061304166375</v>
      </c>
      <c r="K184" s="89">
        <v>84.065588332977896</v>
      </c>
      <c r="L184" s="172">
        <v>673.26711372523766</v>
      </c>
      <c r="M184" s="90">
        <v>84.158389215654708</v>
      </c>
    </row>
    <row r="185" spans="1:13" ht="16.8">
      <c r="A185" s="86">
        <v>3</v>
      </c>
      <c r="B185" s="75" t="s">
        <v>243</v>
      </c>
      <c r="D185" s="87">
        <v>119.79210700155365</v>
      </c>
      <c r="E185" s="88">
        <v>114.10421912338828</v>
      </c>
      <c r="F185" s="88">
        <v>116.32747855233815</v>
      </c>
      <c r="G185" s="88">
        <v>125.12793374661742</v>
      </c>
      <c r="H185" s="88">
        <v>117.80962356740241</v>
      </c>
      <c r="I185" s="88">
        <v>108.93498209759525</v>
      </c>
      <c r="J185" s="88">
        <v>115.10410721798388</v>
      </c>
      <c r="K185" s="89">
        <v>116.59582293062122</v>
      </c>
      <c r="L185" s="172">
        <v>933.79627423750037</v>
      </c>
      <c r="M185" s="90">
        <v>116.72453427968755</v>
      </c>
    </row>
    <row r="186" spans="1:13" ht="16.8">
      <c r="A186" s="80"/>
      <c r="B186" s="81" t="s">
        <v>244</v>
      </c>
      <c r="D186" s="82">
        <v>0</v>
      </c>
      <c r="E186" s="83">
        <v>0</v>
      </c>
      <c r="F186" s="83">
        <v>0</v>
      </c>
      <c r="G186" s="83">
        <v>0</v>
      </c>
      <c r="H186" s="83">
        <v>0</v>
      </c>
      <c r="I186" s="83">
        <v>0</v>
      </c>
      <c r="J186" s="83">
        <v>0</v>
      </c>
      <c r="K186" s="84">
        <v>0</v>
      </c>
      <c r="L186" s="183">
        <v>0</v>
      </c>
      <c r="M186" s="85">
        <v>0</v>
      </c>
    </row>
    <row r="187" spans="1:13" ht="16.8">
      <c r="A187" s="86">
        <v>4</v>
      </c>
      <c r="B187" s="75" t="s">
        <v>311</v>
      </c>
      <c r="D187" s="87">
        <v>74.160747515587701</v>
      </c>
      <c r="E187" s="88">
        <v>94.867572674081416</v>
      </c>
      <c r="F187" s="88">
        <v>107.32321132105858</v>
      </c>
      <c r="G187" s="88">
        <v>117.25614636668001</v>
      </c>
      <c r="H187" s="88">
        <v>126.83711588396275</v>
      </c>
      <c r="I187" s="88">
        <v>130.85477652434648</v>
      </c>
      <c r="J187" s="88">
        <v>130.20874357842737</v>
      </c>
      <c r="K187" s="89">
        <v>129.79015438526633</v>
      </c>
      <c r="L187" s="172">
        <v>0</v>
      </c>
      <c r="M187" s="90">
        <v>113.91230853117632</v>
      </c>
    </row>
    <row r="188" spans="1:13" ht="16.8">
      <c r="A188" s="86">
        <v>5</v>
      </c>
      <c r="B188" s="75" t="s">
        <v>246</v>
      </c>
      <c r="D188" s="87">
        <v>0</v>
      </c>
      <c r="E188" s="88">
        <v>0</v>
      </c>
      <c r="F188" s="88">
        <v>0</v>
      </c>
      <c r="G188" s="88">
        <v>0</v>
      </c>
      <c r="H188" s="88">
        <v>0</v>
      </c>
      <c r="I188" s="88">
        <v>0</v>
      </c>
      <c r="J188" s="88">
        <v>0</v>
      </c>
      <c r="K188" s="89">
        <v>0</v>
      </c>
      <c r="L188" s="172">
        <v>0</v>
      </c>
      <c r="M188" s="90">
        <v>0</v>
      </c>
    </row>
    <row r="189" spans="1:13" ht="16.8">
      <c r="A189" s="86">
        <v>6</v>
      </c>
      <c r="B189" s="75" t="s">
        <v>247</v>
      </c>
      <c r="D189" s="87">
        <v>74.160747515587701</v>
      </c>
      <c r="E189" s="88">
        <v>94.867572674081416</v>
      </c>
      <c r="F189" s="88">
        <v>107.32321132105858</v>
      </c>
      <c r="G189" s="88">
        <v>117.25614636668001</v>
      </c>
      <c r="H189" s="88">
        <v>126.83711588396275</v>
      </c>
      <c r="I189" s="88">
        <v>130.85477652434648</v>
      </c>
      <c r="J189" s="88">
        <v>130.20874357842737</v>
      </c>
      <c r="K189" s="89">
        <v>129.79015438526633</v>
      </c>
      <c r="L189" s="172">
        <v>0</v>
      </c>
      <c r="M189" s="90">
        <v>113.91230853117632</v>
      </c>
    </row>
    <row r="190" spans="1:13" ht="16.8">
      <c r="A190" s="86">
        <v>7</v>
      </c>
      <c r="B190" s="75" t="s">
        <v>248</v>
      </c>
      <c r="D190" s="87">
        <v>36.352146511857903</v>
      </c>
      <c r="E190" s="88">
        <v>31.835077135425333</v>
      </c>
      <c r="F190" s="88">
        <v>32.455366516102345</v>
      </c>
      <c r="G190" s="88">
        <v>34.910693515306264</v>
      </c>
      <c r="H190" s="88">
        <v>32.868884975305278</v>
      </c>
      <c r="I190" s="88">
        <v>30.392860005229078</v>
      </c>
      <c r="J190" s="88">
        <v>32.114045913817506</v>
      </c>
      <c r="K190" s="89">
        <v>32.530234597643322</v>
      </c>
      <c r="L190" s="172">
        <v>263.45930917068699</v>
      </c>
      <c r="M190" s="90">
        <v>32.932413646335874</v>
      </c>
    </row>
    <row r="191" spans="1:13" ht="16.8">
      <c r="A191" s="86">
        <v>8</v>
      </c>
      <c r="B191" s="75" t="s">
        <v>249</v>
      </c>
      <c r="D191" s="87">
        <v>-15.645321353364194</v>
      </c>
      <c r="E191" s="88">
        <v>-19.379438488448173</v>
      </c>
      <c r="F191" s="88">
        <v>-22.522431470480917</v>
      </c>
      <c r="G191" s="88">
        <v>-25.329723998023518</v>
      </c>
      <c r="H191" s="88">
        <v>-28.851224334921568</v>
      </c>
      <c r="I191" s="88">
        <v>-31.038892951148178</v>
      </c>
      <c r="J191" s="88">
        <v>-32.532635106978553</v>
      </c>
      <c r="K191" s="89">
        <v>-32.989867796149099</v>
      </c>
      <c r="L191" s="172">
        <v>-208.28953549951419</v>
      </c>
      <c r="M191" s="90">
        <v>-26.036191937439273</v>
      </c>
    </row>
    <row r="192" spans="1:13" ht="16.8">
      <c r="A192" s="86">
        <v>9</v>
      </c>
      <c r="B192" s="75" t="s">
        <v>250</v>
      </c>
      <c r="D192" s="87">
        <v>94.867572674081416</v>
      </c>
      <c r="E192" s="88">
        <v>107.32321132105858</v>
      </c>
      <c r="F192" s="88">
        <v>117.25614636668001</v>
      </c>
      <c r="G192" s="88">
        <v>126.83711588396275</v>
      </c>
      <c r="H192" s="88">
        <v>130.85477652434648</v>
      </c>
      <c r="I192" s="88">
        <v>130.20874357842737</v>
      </c>
      <c r="J192" s="88">
        <v>129.79015438526633</v>
      </c>
      <c r="K192" s="89">
        <v>129.33052118676056</v>
      </c>
      <c r="L192" s="172">
        <v>0</v>
      </c>
      <c r="M192" s="90">
        <v>120.80853024007294</v>
      </c>
    </row>
    <row r="193" spans="1:13" ht="16.8">
      <c r="A193" s="80"/>
      <c r="B193" s="81" t="s">
        <v>251</v>
      </c>
      <c r="D193" s="91">
        <v>0</v>
      </c>
      <c r="E193" s="92">
        <v>0</v>
      </c>
      <c r="F193" s="92">
        <v>0</v>
      </c>
      <c r="G193" s="92">
        <v>0</v>
      </c>
      <c r="H193" s="92">
        <v>0</v>
      </c>
      <c r="I193" s="92">
        <v>0</v>
      </c>
      <c r="J193" s="92">
        <v>0</v>
      </c>
      <c r="K193" s="93">
        <v>0</v>
      </c>
      <c r="L193" s="184">
        <v>0</v>
      </c>
      <c r="M193" s="94">
        <v>0</v>
      </c>
    </row>
    <row r="194" spans="1:13" ht="16.8">
      <c r="A194" s="86">
        <v>10</v>
      </c>
      <c r="B194" s="75" t="s">
        <v>252</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72">
        <v>619.93604258851951</v>
      </c>
      <c r="M194" s="90">
        <v>77.492005323564939</v>
      </c>
    </row>
    <row r="195" spans="1:13" ht="16.8">
      <c r="A195" s="86">
        <v>11</v>
      </c>
      <c r="B195" s="75" t="s">
        <v>253</v>
      </c>
      <c r="D195" s="87">
        <v>0</v>
      </c>
      <c r="E195" s="88">
        <v>0</v>
      </c>
      <c r="F195" s="88">
        <v>0</v>
      </c>
      <c r="G195" s="88">
        <v>0</v>
      </c>
      <c r="H195" s="88">
        <v>0</v>
      </c>
      <c r="I195" s="88">
        <v>0</v>
      </c>
      <c r="J195" s="88">
        <v>0</v>
      </c>
      <c r="K195" s="89">
        <v>0</v>
      </c>
      <c r="L195" s="172">
        <v>0</v>
      </c>
      <c r="M195" s="90">
        <v>0</v>
      </c>
    </row>
    <row r="196" spans="1:13" ht="16.8">
      <c r="A196" s="86">
        <v>12</v>
      </c>
      <c r="B196" s="75" t="s">
        <v>254</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72">
        <v>195.13882051652158</v>
      </c>
      <c r="M196" s="90">
        <v>24.392352564565197</v>
      </c>
    </row>
    <row r="197" spans="1:13" ht="16.8">
      <c r="A197" s="86">
        <v>13</v>
      </c>
      <c r="B197" s="75" t="s">
        <v>255</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72">
        <v>38.677549126287644</v>
      </c>
      <c r="M197" s="90">
        <v>4.8346936407859555</v>
      </c>
    </row>
    <row r="198" spans="1:13" ht="16.8">
      <c r="A198" s="86">
        <v>14</v>
      </c>
      <c r="B198" s="75" t="s">
        <v>256</v>
      </c>
      <c r="D198" s="87">
        <v>0</v>
      </c>
      <c r="E198" s="88">
        <v>0</v>
      </c>
      <c r="F198" s="88">
        <v>0</v>
      </c>
      <c r="G198" s="88">
        <v>0</v>
      </c>
      <c r="H198" s="88">
        <v>0</v>
      </c>
      <c r="I198" s="88">
        <v>0</v>
      </c>
      <c r="J198" s="88">
        <v>0</v>
      </c>
      <c r="K198" s="89">
        <v>0</v>
      </c>
      <c r="L198" s="172">
        <v>0</v>
      </c>
      <c r="M198" s="90">
        <v>0</v>
      </c>
    </row>
    <row r="199" spans="1:13" ht="16.8">
      <c r="A199" s="86">
        <v>15</v>
      </c>
      <c r="B199" s="75" t="s">
        <v>257</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72">
        <v>7.0928230769456135</v>
      </c>
      <c r="M199" s="90">
        <v>0.88660288461820169</v>
      </c>
    </row>
    <row r="200" spans="1:13" ht="16.8">
      <c r="A200" s="86">
        <v>16</v>
      </c>
      <c r="B200" s="75" t="s">
        <v>258</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72">
        <v>83.035157295435894</v>
      </c>
      <c r="M200" s="90">
        <v>10.379394661929487</v>
      </c>
    </row>
    <row r="201" spans="1:13" ht="16.8">
      <c r="A201" s="86">
        <v>17</v>
      </c>
      <c r="B201" s="75" t="s">
        <v>259</v>
      </c>
      <c r="D201" s="87">
        <v>2.0016092127672556</v>
      </c>
      <c r="E201" s="88">
        <v>0.82522992535408668</v>
      </c>
      <c r="F201" s="88">
        <v>0.15069905537749376</v>
      </c>
      <c r="G201" s="88">
        <v>0.12384729257669767</v>
      </c>
      <c r="H201" s="88">
        <v>1.0117778450783115</v>
      </c>
      <c r="I201" s="88">
        <v>0</v>
      </c>
      <c r="J201" s="88">
        <v>0.94578803093084196</v>
      </c>
      <c r="K201" s="89">
        <v>0.90950595778206589</v>
      </c>
      <c r="L201" s="172">
        <v>5.9684573198667525</v>
      </c>
      <c r="M201" s="90">
        <v>0.74605716498334407</v>
      </c>
    </row>
    <row r="202" spans="1:13" ht="16.8">
      <c r="A202" s="80"/>
      <c r="B202" s="81" t="s">
        <v>260</v>
      </c>
      <c r="D202" s="91">
        <v>0</v>
      </c>
      <c r="E202" s="92">
        <v>0</v>
      </c>
      <c r="F202" s="92">
        <v>0</v>
      </c>
      <c r="G202" s="92">
        <v>0</v>
      </c>
      <c r="H202" s="92">
        <v>0</v>
      </c>
      <c r="I202" s="92">
        <v>0</v>
      </c>
      <c r="J202" s="92">
        <v>0</v>
      </c>
      <c r="K202" s="93">
        <v>0</v>
      </c>
      <c r="L202" s="184">
        <v>0</v>
      </c>
      <c r="M202" s="94">
        <v>0</v>
      </c>
    </row>
    <row r="203" spans="1:13" ht="16.8">
      <c r="A203" s="86">
        <v>18</v>
      </c>
      <c r="B203" s="75" t="s">
        <v>252</v>
      </c>
      <c r="D203" s="87">
        <v>86.370109148120179</v>
      </c>
      <c r="E203" s="88">
        <v>82.269141987962939</v>
      </c>
      <c r="F203" s="88">
        <v>83.872112036235805</v>
      </c>
      <c r="G203" s="88">
        <v>90.217240231311152</v>
      </c>
      <c r="H203" s="88">
        <v>84.940738592097134</v>
      </c>
      <c r="I203" s="88">
        <v>78.542122092366171</v>
      </c>
      <c r="J203" s="88">
        <v>82.990061304166375</v>
      </c>
      <c r="K203" s="89">
        <v>84.065588332977896</v>
      </c>
      <c r="L203" s="172">
        <v>673.26711372523766</v>
      </c>
      <c r="M203" s="90">
        <v>84.158389215654708</v>
      </c>
    </row>
    <row r="204" spans="1:13" ht="16.8">
      <c r="A204" s="86">
        <v>19</v>
      </c>
      <c r="B204" s="75" t="s">
        <v>253</v>
      </c>
      <c r="D204" s="87">
        <v>0</v>
      </c>
      <c r="E204" s="88">
        <v>0</v>
      </c>
      <c r="F204" s="88">
        <v>0</v>
      </c>
      <c r="G204" s="88">
        <v>0</v>
      </c>
      <c r="H204" s="88">
        <v>0</v>
      </c>
      <c r="I204" s="88">
        <v>0</v>
      </c>
      <c r="J204" s="88">
        <v>0</v>
      </c>
      <c r="K204" s="89">
        <v>0</v>
      </c>
      <c r="L204" s="172">
        <v>0</v>
      </c>
      <c r="M204" s="90">
        <v>0</v>
      </c>
    </row>
    <row r="205" spans="1:13" ht="16.8">
      <c r="A205" s="86">
        <v>20</v>
      </c>
      <c r="B205" s="75" t="s">
        <v>254</v>
      </c>
      <c r="D205" s="87">
        <v>15.645321353364194</v>
      </c>
      <c r="E205" s="88">
        <v>19.379438488448173</v>
      </c>
      <c r="F205" s="88">
        <v>22.522431470480917</v>
      </c>
      <c r="G205" s="88">
        <v>25.329723998023518</v>
      </c>
      <c r="H205" s="88">
        <v>28.851224334921568</v>
      </c>
      <c r="I205" s="88">
        <v>31.038892951148178</v>
      </c>
      <c r="J205" s="88">
        <v>32.532635106978553</v>
      </c>
      <c r="K205" s="89">
        <v>32.989867796149099</v>
      </c>
      <c r="L205" s="172">
        <v>208.28953549951419</v>
      </c>
      <c r="M205" s="90">
        <v>26.036191937439273</v>
      </c>
    </row>
    <row r="206" spans="1:13" ht="16.8">
      <c r="A206" s="86">
        <v>21</v>
      </c>
      <c r="B206" s="75" t="s">
        <v>255</v>
      </c>
      <c r="D206" s="87">
        <v>3.7530776191764206</v>
      </c>
      <c r="E206" s="88">
        <v>4.3796156123829721</v>
      </c>
      <c r="F206" s="88">
        <v>4.7567839564616232</v>
      </c>
      <c r="G206" s="88">
        <v>5.0513633704918162</v>
      </c>
      <c r="H206" s="88">
        <v>5.2166401203058337</v>
      </c>
      <c r="I206" s="88">
        <v>5.1437195623089842</v>
      </c>
      <c r="J206" s="88">
        <v>5.1226561434451332</v>
      </c>
      <c r="K206" s="89">
        <v>5.1053693470959916</v>
      </c>
      <c r="L206" s="172">
        <v>38.529225731668774</v>
      </c>
      <c r="M206" s="90">
        <v>4.8161532164585967</v>
      </c>
    </row>
    <row r="207" spans="1:13" ht="16.8">
      <c r="A207" s="86">
        <v>22</v>
      </c>
      <c r="B207" s="75" t="s">
        <v>256</v>
      </c>
      <c r="D207" s="87">
        <v>0</v>
      </c>
      <c r="E207" s="88">
        <v>0</v>
      </c>
      <c r="F207" s="88">
        <v>0</v>
      </c>
      <c r="G207" s="88">
        <v>0</v>
      </c>
      <c r="H207" s="88">
        <v>0</v>
      </c>
      <c r="I207" s="88">
        <v>0</v>
      </c>
      <c r="J207" s="88">
        <v>0</v>
      </c>
      <c r="K207" s="89">
        <v>0</v>
      </c>
      <c r="L207" s="172">
        <v>0</v>
      </c>
      <c r="M207" s="90">
        <v>0</v>
      </c>
    </row>
    <row r="208" spans="1:13" ht="16.8">
      <c r="A208" s="86">
        <v>23</v>
      </c>
      <c r="B208" s="75" t="s">
        <v>257</v>
      </c>
      <c r="D208" s="87">
        <v>0.93219394583370063</v>
      </c>
      <c r="E208" s="88">
        <v>0.89969793099769957</v>
      </c>
      <c r="F208" s="88">
        <v>0.87783267686821997</v>
      </c>
      <c r="G208" s="88">
        <v>0.87232109317784756</v>
      </c>
      <c r="H208" s="88">
        <v>0.89875958568159287</v>
      </c>
      <c r="I208" s="88">
        <v>0.82801710222961222</v>
      </c>
      <c r="J208" s="88">
        <v>0.88417658562860901</v>
      </c>
      <c r="K208" s="89">
        <v>0.89982415652833247</v>
      </c>
      <c r="L208" s="172">
        <v>7.0928230769456135</v>
      </c>
      <c r="M208" s="90">
        <v>0.88660288461820169</v>
      </c>
    </row>
    <row r="209" spans="1:13" ht="16.8">
      <c r="A209" s="86">
        <v>24</v>
      </c>
      <c r="B209" s="75" t="s">
        <v>258</v>
      </c>
      <c r="D209" s="87">
        <v>12.238898857271282</v>
      </c>
      <c r="E209" s="88">
        <v>12.269320008809279</v>
      </c>
      <c r="F209" s="88">
        <v>13.501323356904841</v>
      </c>
      <c r="G209" s="88">
        <v>13.736881640130386</v>
      </c>
      <c r="H209" s="88">
        <v>13.774963236275942</v>
      </c>
      <c r="I209" s="88">
        <v>12.494041947706378</v>
      </c>
      <c r="J209" s="88">
        <v>12.739480025842301</v>
      </c>
      <c r="K209" s="89">
        <v>12.790761805957727</v>
      </c>
      <c r="L209" s="172">
        <v>103.54567087889814</v>
      </c>
      <c r="M209" s="90">
        <v>12.943208859862267</v>
      </c>
    </row>
    <row r="210" spans="1:13" ht="16.8">
      <c r="A210" s="86">
        <v>25</v>
      </c>
      <c r="B210" s="75" t="s">
        <v>259</v>
      </c>
      <c r="D210" s="87">
        <v>1.4521360461839699</v>
      </c>
      <c r="E210" s="88">
        <v>1.1036807868804244</v>
      </c>
      <c r="F210" s="88">
        <v>0.98058307041899617</v>
      </c>
      <c r="G210" s="88">
        <v>1.1629663939654993</v>
      </c>
      <c r="H210" s="88">
        <v>0.60361916118799863</v>
      </c>
      <c r="I210" s="88">
        <v>0</v>
      </c>
      <c r="J210" s="88">
        <v>0.96374799482875384</v>
      </c>
      <c r="K210" s="89">
        <v>1.0636689837693487</v>
      </c>
      <c r="L210" s="172">
        <v>7.3304024372349907</v>
      </c>
      <c r="M210" s="90">
        <v>0.91630030465437384</v>
      </c>
    </row>
    <row r="211" spans="1:13" ht="16.8">
      <c r="A211" s="80"/>
      <c r="B211" s="81" t="s">
        <v>261</v>
      </c>
      <c r="D211" s="91">
        <v>0</v>
      </c>
      <c r="E211" s="92">
        <v>0</v>
      </c>
      <c r="F211" s="92">
        <v>0</v>
      </c>
      <c r="G211" s="92">
        <v>0</v>
      </c>
      <c r="H211" s="92">
        <v>0</v>
      </c>
      <c r="I211" s="92">
        <v>0</v>
      </c>
      <c r="J211" s="92">
        <v>0</v>
      </c>
      <c r="K211" s="93">
        <v>0</v>
      </c>
      <c r="L211" s="91">
        <v>0</v>
      </c>
      <c r="M211" s="184">
        <v>0</v>
      </c>
    </row>
    <row r="212" spans="1:13" ht="16.8">
      <c r="A212" s="86">
        <v>26</v>
      </c>
      <c r="B212" s="75" t="s">
        <v>262</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72">
        <v>949.84884992357684</v>
      </c>
      <c r="M212" s="90">
        <v>118.7311062404471</v>
      </c>
    </row>
    <row r="213" spans="1:13" ht="16.8">
      <c r="A213" s="86">
        <v>27</v>
      </c>
      <c r="B213" s="75" t="s">
        <v>312</v>
      </c>
      <c r="D213" s="87">
        <v>0</v>
      </c>
      <c r="E213" s="88">
        <v>3.7106038241035293</v>
      </c>
      <c r="F213" s="88">
        <v>6.0364438354306174</v>
      </c>
      <c r="G213" s="88">
        <v>20.850581449170846</v>
      </c>
      <c r="H213" s="88">
        <v>9.1750949396110855</v>
      </c>
      <c r="I213" s="88">
        <v>30.084347672795616</v>
      </c>
      <c r="J213" s="88">
        <v>0</v>
      </c>
      <c r="K213" s="88">
        <v>0</v>
      </c>
      <c r="L213" s="172">
        <v>69.857071721111694</v>
      </c>
      <c r="M213" s="90">
        <v>8.7321339651389618</v>
      </c>
    </row>
    <row r="214" spans="1:13" ht="16.8">
      <c r="A214" s="86">
        <v>28</v>
      </c>
      <c r="B214" s="75" t="s">
        <v>264</v>
      </c>
      <c r="D214" s="96">
        <v>113.97553115199239</v>
      </c>
      <c r="E214" s="88">
        <v>117.24346896430818</v>
      </c>
      <c r="F214" s="88">
        <v>120.39300058545147</v>
      </c>
      <c r="G214" s="88">
        <v>137.55601536883614</v>
      </c>
      <c r="H214" s="88">
        <v>132.00818266001866</v>
      </c>
      <c r="I214" s="88">
        <v>147.60793053697995</v>
      </c>
      <c r="J214" s="88">
        <v>124.73063970685706</v>
      </c>
      <c r="K214" s="88">
        <v>126.19115267024478</v>
      </c>
      <c r="L214" s="172">
        <v>1019.7059216446887</v>
      </c>
      <c r="M214" s="90">
        <v>127.46324020558609</v>
      </c>
    </row>
    <row r="215" spans="1:13" ht="16.8">
      <c r="A215" s="86">
        <v>29</v>
      </c>
      <c r="B215" s="75" t="s">
        <v>168</v>
      </c>
      <c r="D215" s="96">
        <v>0</v>
      </c>
      <c r="E215" s="88">
        <v>0</v>
      </c>
      <c r="F215" s="88">
        <v>0</v>
      </c>
      <c r="G215" s="88">
        <v>0</v>
      </c>
      <c r="H215" s="88">
        <v>0</v>
      </c>
      <c r="I215" s="88">
        <v>0</v>
      </c>
      <c r="J215" s="88">
        <v>0</v>
      </c>
      <c r="K215" s="88">
        <v>0</v>
      </c>
      <c r="L215" s="172">
        <v>0</v>
      </c>
      <c r="M215" s="90">
        <v>0</v>
      </c>
    </row>
    <row r="216" spans="1:13" ht="16.8">
      <c r="A216" s="86">
        <v>30</v>
      </c>
      <c r="B216" s="75" t="s">
        <v>265</v>
      </c>
      <c r="D216" s="96">
        <v>0</v>
      </c>
      <c r="E216" s="88">
        <v>0</v>
      </c>
      <c r="F216" s="88">
        <v>0</v>
      </c>
      <c r="G216" s="88">
        <v>0</v>
      </c>
      <c r="H216" s="88">
        <v>0</v>
      </c>
      <c r="I216" s="88">
        <v>0</v>
      </c>
      <c r="J216" s="88">
        <v>0</v>
      </c>
      <c r="K216" s="88">
        <v>0</v>
      </c>
      <c r="L216" s="172">
        <v>0</v>
      </c>
      <c r="M216" s="90">
        <v>0</v>
      </c>
    </row>
    <row r="217" spans="1:13" ht="16.8">
      <c r="A217" s="86">
        <v>31</v>
      </c>
      <c r="B217" s="75" t="s">
        <v>266</v>
      </c>
      <c r="D217" s="96">
        <v>0</v>
      </c>
      <c r="E217" s="88">
        <v>0</v>
      </c>
      <c r="F217" s="88">
        <v>0</v>
      </c>
      <c r="G217" s="88">
        <v>0</v>
      </c>
      <c r="H217" s="88">
        <v>0</v>
      </c>
      <c r="I217" s="88">
        <v>0</v>
      </c>
      <c r="J217" s="88">
        <v>0</v>
      </c>
      <c r="K217" s="88">
        <v>0</v>
      </c>
      <c r="L217" s="172">
        <v>0</v>
      </c>
      <c r="M217" s="90">
        <v>0</v>
      </c>
    </row>
    <row r="218" spans="1:13" ht="16.8">
      <c r="A218" s="86">
        <v>32</v>
      </c>
      <c r="B218" s="75" t="s">
        <v>267</v>
      </c>
      <c r="D218" s="96">
        <v>113.97553115199239</v>
      </c>
      <c r="E218" s="88">
        <v>117.24346896430818</v>
      </c>
      <c r="F218" s="88">
        <v>120.39300058545147</v>
      </c>
      <c r="G218" s="88">
        <v>137.55601536883614</v>
      </c>
      <c r="H218" s="88">
        <v>132.00818266001866</v>
      </c>
      <c r="I218" s="88">
        <v>147.60793053697995</v>
      </c>
      <c r="J218" s="88">
        <v>124.73063970685706</v>
      </c>
      <c r="K218" s="88">
        <v>126.19115267024478</v>
      </c>
      <c r="L218" s="172">
        <v>1019.7059216446887</v>
      </c>
      <c r="M218" s="90">
        <v>127.46324020558609</v>
      </c>
    </row>
    <row r="219" spans="1:13" ht="16.8">
      <c r="A219" s="80"/>
      <c r="B219" s="81" t="s">
        <v>268</v>
      </c>
      <c r="D219" s="91">
        <v>0</v>
      </c>
      <c r="E219" s="92">
        <v>0</v>
      </c>
      <c r="F219" s="92">
        <v>0</v>
      </c>
      <c r="G219" s="92">
        <v>0</v>
      </c>
      <c r="H219" s="92">
        <v>0</v>
      </c>
      <c r="I219" s="92">
        <v>0</v>
      </c>
      <c r="J219" s="92">
        <v>0</v>
      </c>
      <c r="K219" s="93">
        <v>0</v>
      </c>
      <c r="L219" s="91">
        <v>0</v>
      </c>
      <c r="M219" s="184">
        <v>0</v>
      </c>
    </row>
    <row r="220" spans="1:13" ht="16.8">
      <c r="A220" s="86">
        <f>A218+1</f>
        <v>33</v>
      </c>
      <c r="B220" s="75" t="s">
        <v>268</v>
      </c>
      <c r="D220" s="87">
        <v>120.39173696994975</v>
      </c>
      <c r="E220" s="88">
        <v>120.30089481548148</v>
      </c>
      <c r="F220" s="88">
        <v>126.51106656737041</v>
      </c>
      <c r="G220" s="88">
        <v>136.3704967271002</v>
      </c>
      <c r="H220" s="88">
        <v>134.28594503047006</v>
      </c>
      <c r="I220" s="88">
        <v>128.04679365575933</v>
      </c>
      <c r="J220" s="88">
        <v>135.23275716088972</v>
      </c>
      <c r="K220" s="89">
        <v>136.91508042247841</v>
      </c>
      <c r="L220" s="172">
        <v>1038.0547713494993</v>
      </c>
      <c r="M220" s="90">
        <v>129.75684641868742</v>
      </c>
    </row>
    <row r="221" spans="1:13" ht="16.8">
      <c r="A221" s="86">
        <f>+A220+1</f>
        <v>34</v>
      </c>
      <c r="B221" s="75" t="s">
        <v>269</v>
      </c>
      <c r="D221" s="87">
        <v>119.69211564141293</v>
      </c>
      <c r="E221" s="88">
        <v>118.58202939873651</v>
      </c>
      <c r="F221" s="88">
        <v>124.66581524861344</v>
      </c>
      <c r="G221" s="88">
        <v>125.48039851967327</v>
      </c>
      <c r="H221" s="88">
        <v>131.64069004089222</v>
      </c>
      <c r="I221" s="88">
        <v>126.52192213062875</v>
      </c>
      <c r="J221" s="88">
        <v>134.23014729630094</v>
      </c>
      <c r="K221" s="89">
        <v>135.80588783982361</v>
      </c>
      <c r="L221" s="172">
        <v>1016.6190061160817</v>
      </c>
      <c r="M221" s="90">
        <v>127.07737576451021</v>
      </c>
    </row>
    <row r="222" spans="1:13" ht="16.8">
      <c r="A222" s="80"/>
      <c r="B222" s="81" t="s">
        <v>270</v>
      </c>
      <c r="D222" s="91">
        <v>0</v>
      </c>
      <c r="E222" s="92">
        <v>0</v>
      </c>
      <c r="F222" s="92">
        <v>0</v>
      </c>
      <c r="G222" s="92">
        <v>0</v>
      </c>
      <c r="H222" s="92">
        <v>0</v>
      </c>
      <c r="I222" s="92">
        <v>0</v>
      </c>
      <c r="J222" s="92">
        <v>0</v>
      </c>
      <c r="K222" s="93">
        <v>0</v>
      </c>
      <c r="L222" s="91">
        <v>0</v>
      </c>
      <c r="M222" s="184">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72">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72">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72">
        <v>980.54182424082012</v>
      </c>
      <c r="M225" s="90">
        <v>122.56772803010251</v>
      </c>
    </row>
    <row r="226" spans="1:13" ht="16.8">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72">
        <v>1016.9280617637459</v>
      </c>
      <c r="M226" s="90">
        <v>127.11600772046823</v>
      </c>
    </row>
    <row r="227" spans="1:13" ht="16.8">
      <c r="A227" s="86">
        <f>A226+1</f>
        <v>39</v>
      </c>
      <c r="B227" s="98">
        <v>43190</v>
      </c>
      <c r="D227" s="96">
        <v>119.69211564141293</v>
      </c>
      <c r="E227" s="88">
        <v>118.58202939873651</v>
      </c>
      <c r="F227" s="88">
        <v>124.66581524861344</v>
      </c>
      <c r="G227" s="88">
        <v>125.48039851967327</v>
      </c>
      <c r="H227" s="88">
        <v>131.64069004089222</v>
      </c>
      <c r="I227" s="88">
        <v>126.52192213062875</v>
      </c>
      <c r="J227" s="88">
        <v>134.23014729630094</v>
      </c>
      <c r="K227" s="88">
        <v>135.80588783982361</v>
      </c>
      <c r="L227" s="172">
        <v>1016.6190061160817</v>
      </c>
      <c r="M227" s="90">
        <v>127.07737576451021</v>
      </c>
    </row>
    <row r="228" spans="1:13" ht="16.8">
      <c r="A228" s="86">
        <f>A227+1</f>
        <v>40</v>
      </c>
      <c r="B228" s="98">
        <v>43555</v>
      </c>
      <c r="D228" s="96">
        <v>120.39173696994975</v>
      </c>
      <c r="E228" s="88">
        <v>120.30089481548148</v>
      </c>
      <c r="F228" s="88">
        <v>126.51106656737041</v>
      </c>
      <c r="G228" s="88">
        <v>136.3704967271002</v>
      </c>
      <c r="H228" s="88">
        <v>134.28594503047006</v>
      </c>
      <c r="I228" s="88">
        <v>128.04679365575933</v>
      </c>
      <c r="J228" s="88">
        <v>135.23275716088972</v>
      </c>
      <c r="K228" s="88">
        <v>136.91508042247841</v>
      </c>
      <c r="L228" s="172">
        <v>1038.0547713494993</v>
      </c>
      <c r="M228" s="90">
        <v>129.75684641868742</v>
      </c>
    </row>
    <row r="229" spans="1:13" ht="16.8">
      <c r="A229" s="86">
        <f>A228+1</f>
        <v>41</v>
      </c>
      <c r="B229" s="98">
        <v>43921</v>
      </c>
      <c r="D229" s="96" t="s">
        <v>455</v>
      </c>
      <c r="E229" s="88" t="s">
        <v>455</v>
      </c>
      <c r="F229" s="88" t="s">
        <v>455</v>
      </c>
      <c r="G229" s="88" t="s">
        <v>455</v>
      </c>
      <c r="H229" s="88" t="s">
        <v>455</v>
      </c>
      <c r="I229" s="88" t="s">
        <v>455</v>
      </c>
      <c r="J229" s="88" t="s">
        <v>455</v>
      </c>
      <c r="K229" s="88" t="s">
        <v>455</v>
      </c>
      <c r="L229" s="172">
        <v>0</v>
      </c>
      <c r="M229" s="90">
        <v>0</v>
      </c>
    </row>
    <row r="230" spans="1:13" ht="17.399999999999999" thickBot="1">
      <c r="A230" s="103">
        <f>A229+1</f>
        <v>42</v>
      </c>
      <c r="B230" s="211">
        <v>44286</v>
      </c>
      <c r="D230" s="214" t="s">
        <v>455</v>
      </c>
      <c r="E230" s="106" t="s">
        <v>455</v>
      </c>
      <c r="F230" s="106" t="s">
        <v>455</v>
      </c>
      <c r="G230" s="106" t="s">
        <v>455</v>
      </c>
      <c r="H230" s="106" t="s">
        <v>455</v>
      </c>
      <c r="I230" s="106" t="s">
        <v>455</v>
      </c>
      <c r="J230" s="106" t="s">
        <v>455</v>
      </c>
      <c r="K230" s="106" t="s">
        <v>455</v>
      </c>
      <c r="L230" s="215">
        <v>0</v>
      </c>
      <c r="M230" s="108">
        <v>0</v>
      </c>
    </row>
    <row r="231" spans="1:13" ht="16.8">
      <c r="A231" s="80"/>
      <c r="B231" s="81" t="s">
        <v>313</v>
      </c>
      <c r="D231" s="91">
        <v>0</v>
      </c>
      <c r="E231" s="92">
        <v>0</v>
      </c>
      <c r="F231" s="92">
        <v>0</v>
      </c>
      <c r="G231" s="92">
        <v>0</v>
      </c>
      <c r="H231" s="92">
        <v>0</v>
      </c>
      <c r="I231" s="97">
        <v>0</v>
      </c>
      <c r="J231" s="92">
        <v>0</v>
      </c>
      <c r="K231" s="93">
        <v>0</v>
      </c>
      <c r="L231" s="95">
        <v>0</v>
      </c>
      <c r="M231" s="184">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8">
      <c r="A236" s="86">
        <f>A235+1</f>
        <v>47</v>
      </c>
      <c r="B236" s="98">
        <v>43190</v>
      </c>
      <c r="D236" s="96">
        <v>0</v>
      </c>
      <c r="E236" s="88">
        <v>3.7106038241035293</v>
      </c>
      <c r="F236" s="88">
        <v>6.0364438354306174</v>
      </c>
      <c r="G236" s="88">
        <v>20.850581449170846</v>
      </c>
      <c r="H236" s="88">
        <v>9.1750949396110855</v>
      </c>
      <c r="I236" s="88">
        <v>0</v>
      </c>
      <c r="J236" s="88">
        <v>0</v>
      </c>
      <c r="K236" s="89">
        <v>0</v>
      </c>
      <c r="L236" s="90">
        <v>39.772724048316078</v>
      </c>
      <c r="M236" s="90">
        <v>0</v>
      </c>
    </row>
    <row r="237" spans="1:13" ht="16.8">
      <c r="A237" s="86">
        <f>A236+1</f>
        <v>48</v>
      </c>
      <c r="B237" s="98">
        <v>43555</v>
      </c>
      <c r="D237" s="96">
        <v>0</v>
      </c>
      <c r="E237" s="88">
        <v>3.7106038241035293</v>
      </c>
      <c r="F237" s="88">
        <v>6.0364438354306174</v>
      </c>
      <c r="G237" s="88">
        <v>20.850581449170846</v>
      </c>
      <c r="H237" s="88">
        <v>9.1750949396110855</v>
      </c>
      <c r="I237" s="88">
        <v>30.084347672795616</v>
      </c>
      <c r="J237" s="88">
        <v>0</v>
      </c>
      <c r="K237" s="89">
        <v>0</v>
      </c>
      <c r="L237" s="90">
        <v>69.857071721111694</v>
      </c>
      <c r="M237" s="90">
        <v>0</v>
      </c>
    </row>
    <row r="238" spans="1:13" ht="16.8">
      <c r="A238" s="86">
        <f>A237+1</f>
        <v>49</v>
      </c>
      <c r="B238" s="98">
        <v>43921</v>
      </c>
      <c r="D238" s="96" t="s">
        <v>455</v>
      </c>
      <c r="E238" s="88" t="s">
        <v>455</v>
      </c>
      <c r="F238" s="88" t="s">
        <v>455</v>
      </c>
      <c r="G238" s="88" t="s">
        <v>455</v>
      </c>
      <c r="H238" s="88" t="s">
        <v>455</v>
      </c>
      <c r="I238" s="88" t="s">
        <v>455</v>
      </c>
      <c r="J238" s="88" t="s">
        <v>455</v>
      </c>
      <c r="K238" s="89" t="s">
        <v>455</v>
      </c>
      <c r="L238" s="90">
        <v>0</v>
      </c>
      <c r="M238" s="90">
        <v>0</v>
      </c>
    </row>
    <row r="239" spans="1:13" ht="16.8">
      <c r="A239" s="86">
        <f>A238+1</f>
        <v>50</v>
      </c>
      <c r="B239" s="98">
        <v>44286</v>
      </c>
      <c r="D239" s="96" t="s">
        <v>455</v>
      </c>
      <c r="E239" s="88" t="s">
        <v>455</v>
      </c>
      <c r="F239" s="88" t="s">
        <v>455</v>
      </c>
      <c r="G239" s="88" t="s">
        <v>455</v>
      </c>
      <c r="H239" s="88" t="s">
        <v>455</v>
      </c>
      <c r="I239" s="88" t="s">
        <v>455</v>
      </c>
      <c r="J239" s="88" t="s">
        <v>455</v>
      </c>
      <c r="K239" s="89" t="s">
        <v>455</v>
      </c>
      <c r="L239" s="90">
        <v>0</v>
      </c>
      <c r="M239" s="90">
        <v>0</v>
      </c>
    </row>
    <row r="240" spans="1:13" ht="16.8">
      <c r="A240" s="80"/>
      <c r="B240" s="81" t="s">
        <v>314</v>
      </c>
      <c r="D240" s="91">
        <v>0</v>
      </c>
      <c r="E240" s="92">
        <v>0</v>
      </c>
      <c r="F240" s="92">
        <v>0</v>
      </c>
      <c r="G240" s="92">
        <v>0</v>
      </c>
      <c r="H240" s="92">
        <v>0</v>
      </c>
      <c r="I240" s="97">
        <v>0</v>
      </c>
      <c r="J240" s="92">
        <v>0</v>
      </c>
      <c r="K240" s="93">
        <v>0</v>
      </c>
      <c r="L240" s="91">
        <v>0</v>
      </c>
      <c r="M240" s="184">
        <v>0</v>
      </c>
    </row>
    <row r="241" spans="1:13" ht="16.8">
      <c r="A241" s="86">
        <f>A239+1</f>
        <v>51</v>
      </c>
      <c r="B241" s="75" t="s">
        <v>273</v>
      </c>
      <c r="D241" s="87">
        <v>82.44898108911292</v>
      </c>
      <c r="E241" s="88">
        <v>98.818041795644675</v>
      </c>
      <c r="F241" s="88">
        <v>109.8564424125086</v>
      </c>
      <c r="G241" s="88">
        <v>119.47406268902118</v>
      </c>
      <c r="H241" s="88">
        <v>126.24976089801146</v>
      </c>
      <c r="I241" s="88">
        <v>128.01691294945206</v>
      </c>
      <c r="J241" s="88">
        <v>127.49268649689232</v>
      </c>
      <c r="K241" s="89">
        <v>127.06245264051745</v>
      </c>
      <c r="L241" s="90">
        <v>919.41934097116075</v>
      </c>
      <c r="M241" s="90">
        <v>114.92741762139509</v>
      </c>
    </row>
    <row r="242" spans="1:13" ht="16.8">
      <c r="A242" s="86">
        <f>A241+1</f>
        <v>52</v>
      </c>
      <c r="B242" s="75" t="s">
        <v>26</v>
      </c>
      <c r="D242" s="216">
        <v>0.6</v>
      </c>
      <c r="E242" s="217">
        <v>0.6</v>
      </c>
      <c r="F242" s="217">
        <v>0.6</v>
      </c>
      <c r="G242" s="217">
        <v>0.6</v>
      </c>
      <c r="H242" s="217">
        <v>0.6</v>
      </c>
      <c r="I242" s="217">
        <v>0.6</v>
      </c>
      <c r="J242" s="217">
        <v>0.6</v>
      </c>
      <c r="K242" s="218">
        <v>0.6</v>
      </c>
      <c r="L242" s="219">
        <v>0.60000000000000009</v>
      </c>
      <c r="M242" s="219">
        <v>0.6</v>
      </c>
    </row>
    <row r="243" spans="1:13" ht="16.8">
      <c r="A243" s="86">
        <f>A242+1</f>
        <v>53</v>
      </c>
      <c r="B243" s="75" t="s">
        <v>274</v>
      </c>
      <c r="D243" s="87">
        <v>32.979592435645166</v>
      </c>
      <c r="E243" s="88">
        <v>39.527216718257876</v>
      </c>
      <c r="F243" s="88">
        <v>43.94257696500344</v>
      </c>
      <c r="G243" s="88">
        <v>47.789625075608477</v>
      </c>
      <c r="H243" s="88">
        <v>50.499904359204585</v>
      </c>
      <c r="I243" s="88">
        <v>51.206765179780831</v>
      </c>
      <c r="J243" s="88">
        <v>50.997074598756932</v>
      </c>
      <c r="K243" s="89">
        <v>50.82498105620698</v>
      </c>
      <c r="L243" s="90">
        <v>367.76773638846424</v>
      </c>
      <c r="M243" s="90">
        <v>45.97096704855803</v>
      </c>
    </row>
    <row r="244" spans="1:13" ht="16.8">
      <c r="A244" s="86">
        <f>A243+1</f>
        <v>54</v>
      </c>
      <c r="B244" s="75" t="s">
        <v>275</v>
      </c>
      <c r="D244" s="87">
        <v>1.4445061486812585</v>
      </c>
      <c r="E244" s="88">
        <v>1.6127104421049208</v>
      </c>
      <c r="F244" s="88">
        <v>1.6808035689113814</v>
      </c>
      <c r="G244" s="88">
        <v>1.7060896151992226</v>
      </c>
      <c r="H244" s="88">
        <v>1.6816468151615125</v>
      </c>
      <c r="I244" s="88">
        <v>1.559245999724326</v>
      </c>
      <c r="J244" s="88">
        <v>1.5528609215321485</v>
      </c>
      <c r="K244" s="89">
        <v>1.5476206731615025</v>
      </c>
      <c r="L244" s="90">
        <v>12.785484184476273</v>
      </c>
      <c r="M244" s="90">
        <v>1.5981855230595341</v>
      </c>
    </row>
    <row r="245" spans="1:13" ht="17.399999999999999" thickBot="1">
      <c r="A245" s="103">
        <f>A244+1</f>
        <v>55</v>
      </c>
      <c r="B245" s="104" t="s">
        <v>276</v>
      </c>
      <c r="D245" s="105">
        <v>2.3085714704951621</v>
      </c>
      <c r="E245" s="106">
        <v>2.7669051702780516</v>
      </c>
      <c r="F245" s="106">
        <v>3.0759803875502421</v>
      </c>
      <c r="G245" s="106">
        <v>3.3452737552925935</v>
      </c>
      <c r="H245" s="106">
        <v>3.5349933051443214</v>
      </c>
      <c r="I245" s="106">
        <v>3.584473562584658</v>
      </c>
      <c r="J245" s="106">
        <v>3.5697952219129849</v>
      </c>
      <c r="K245" s="107">
        <v>3.5577486739344888</v>
      </c>
      <c r="L245" s="108">
        <v>25.743741547192506</v>
      </c>
      <c r="M245" s="108">
        <v>3.2179676933990633</v>
      </c>
    </row>
    <row r="246" spans="1:13" ht="16.8">
      <c r="A246" s="212"/>
      <c r="B246" s="213"/>
    </row>
    <row r="247" spans="1:13" ht="16.8">
      <c r="A247" s="212"/>
      <c r="B247" s="213"/>
    </row>
    <row r="248" spans="1:13">
      <c r="B248" t="s">
        <v>355</v>
      </c>
      <c r="D248" s="53">
        <v>0.5</v>
      </c>
      <c r="E248" s="53">
        <v>0.4</v>
      </c>
      <c r="F248" s="53">
        <v>0.4</v>
      </c>
      <c r="G248" s="53">
        <v>0.5</v>
      </c>
      <c r="H248" s="53">
        <v>0.4</v>
      </c>
      <c r="I248" s="53">
        <v>0.4</v>
      </c>
      <c r="J248" s="53">
        <v>0.5</v>
      </c>
      <c r="K248" s="53">
        <v>0.4</v>
      </c>
    </row>
    <row r="249" spans="1:13">
      <c r="B249" t="s">
        <v>356</v>
      </c>
      <c r="D249" s="53">
        <v>8.7961833442298172</v>
      </c>
      <c r="E249" s="53">
        <v>8.7961833442298172</v>
      </c>
      <c r="F249" s="53">
        <v>9.8951198747490885</v>
      </c>
      <c r="G249" s="53">
        <v>9.8951198747490885</v>
      </c>
      <c r="H249" s="53">
        <v>9.8951198747490885</v>
      </c>
      <c r="I249" s="53">
        <v>8.4743784799133763</v>
      </c>
      <c r="J249" s="53">
        <v>8.4743784799133763</v>
      </c>
      <c r="K249" s="53">
        <v>8.4743784799133763</v>
      </c>
    </row>
    <row r="250" spans="1:13">
      <c r="B250" t="s">
        <v>293</v>
      </c>
      <c r="D250" s="53">
        <v>0.97533863299335366</v>
      </c>
      <c r="E250" s="53">
        <v>1.0185656412076189</v>
      </c>
      <c r="F250" s="53">
        <v>1.0626695334719087</v>
      </c>
      <c r="G250" s="53">
        <v>1.1075992013471012</v>
      </c>
      <c r="H250" s="53">
        <v>1.1533652003467634</v>
      </c>
      <c r="I250" s="53">
        <v>1.1997074140966963</v>
      </c>
      <c r="J250" s="53">
        <v>1.2479116579951017</v>
      </c>
      <c r="K250" s="53">
        <v>1.2980527484133451</v>
      </c>
    </row>
    <row r="251" spans="1:13">
      <c r="D251" s="53">
        <f>SUM(D248:D250)</f>
        <v>10.271521977223172</v>
      </c>
      <c r="E251" s="53">
        <f t="shared" ref="E251:K251" si="54">SUM(E248:E250)</f>
        <v>10.214748985437437</v>
      </c>
      <c r="F251" s="53">
        <f t="shared" si="54"/>
        <v>11.357789408220997</v>
      </c>
      <c r="G251" s="53">
        <f t="shared" si="54"/>
        <v>11.50271907609619</v>
      </c>
      <c r="H251" s="53">
        <f t="shared" si="54"/>
        <v>11.448485075095853</v>
      </c>
      <c r="I251" s="53">
        <f t="shared" si="54"/>
        <v>10.074085894010073</v>
      </c>
      <c r="J251" s="53">
        <f t="shared" si="54"/>
        <v>10.222290137908479</v>
      </c>
      <c r="K251" s="53">
        <f t="shared" si="54"/>
        <v>10.172431228326722</v>
      </c>
    </row>
    <row r="253" spans="1:13">
      <c r="B253" t="s">
        <v>357</v>
      </c>
      <c r="D253" s="53">
        <v>1.9673768800481106</v>
      </c>
      <c r="E253" s="53">
        <v>2.0545710233718428</v>
      </c>
      <c r="F253" s="53">
        <v>2.1435339486838436</v>
      </c>
      <c r="G253" s="53">
        <v>2.2341625640341967</v>
      </c>
      <c r="H253" s="53">
        <v>2.3264781611800895</v>
      </c>
      <c r="I253" s="53">
        <v>2.4199560536963056</v>
      </c>
      <c r="J253" s="53">
        <v>2.5171898879338235</v>
      </c>
      <c r="K253" s="53">
        <v>2.6183305776310046</v>
      </c>
    </row>
    <row r="257" spans="2:4">
      <c r="B257" t="s">
        <v>358</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sheetPr>
  <dimension ref="A1:AG147"/>
  <sheetViews>
    <sheetView topLeftCell="A109" workbookViewId="0">
      <selection activeCell="G123" sqref="G123"/>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381</v>
      </c>
      <c r="C2" s="1" t="s">
        <v>384</v>
      </c>
      <c r="D2" s="2" t="s">
        <v>40</v>
      </c>
      <c r="E2" s="47" t="s">
        <v>41</v>
      </c>
      <c r="G2" s="112" t="s">
        <v>362</v>
      </c>
      <c r="H2" s="113" t="str">
        <f>RPI!$B$1</f>
        <v>Updated Oct 2019</v>
      </c>
      <c r="J2" s="224" t="s">
        <v>398</v>
      </c>
      <c r="K2">
        <f>1-0.4689</f>
        <v>0.53110000000000002</v>
      </c>
    </row>
    <row r="3" spans="1:11" ht="15.6" thickBot="1">
      <c r="C3" s="4" t="s">
        <v>42</v>
      </c>
      <c r="D3" s="64">
        <f>SUMPRODUCT(D81:K81,RPI!$E$2:$L$2)/1000</f>
        <v>1.4227487975585782</v>
      </c>
      <c r="E3" s="232">
        <f>L81/1000</f>
        <v>1.1588637620875542</v>
      </c>
    </row>
    <row r="4" spans="1:11" ht="15.6" thickBot="1">
      <c r="C4" s="3" t="s">
        <v>43</v>
      </c>
      <c r="D4" s="62">
        <f>SUMPRODUCT(D82:K82,RPI!$E$2:$L$2)/1000</f>
        <v>6.1368774763378324</v>
      </c>
      <c r="E4" s="63">
        <f t="shared" ref="E4:E8" si="0">L82/1000</f>
        <v>4.806417480663975</v>
      </c>
    </row>
    <row r="5" spans="1:11" ht="15.6" thickBot="1">
      <c r="C5" s="4" t="s">
        <v>44</v>
      </c>
      <c r="D5" s="64">
        <f>SUMPRODUCT(D83:K83,RPI!$E$2:$L$2)/1000</f>
        <v>3.9206708176625362</v>
      </c>
      <c r="E5" s="232">
        <f t="shared" si="0"/>
        <v>3.2186173746523918</v>
      </c>
    </row>
    <row r="6" spans="1:11" ht="15.6" thickBot="1">
      <c r="C6" s="3" t="s">
        <v>45</v>
      </c>
      <c r="D6" s="62">
        <f>SUMPRODUCT(D84:K84,RPI!$E$2:$L$2)/1000</f>
        <v>0.21697059091807439</v>
      </c>
      <c r="E6" s="63">
        <f t="shared" si="0"/>
        <v>0.16746373793475025</v>
      </c>
    </row>
    <row r="7" spans="1:11" ht="15.6" thickBot="1">
      <c r="C7" s="4" t="s">
        <v>46</v>
      </c>
      <c r="D7" s="64">
        <f>SUMPRODUCT(D85:K85,RPI!$E$2:$L$2)/1000</f>
        <v>2.0550636343973276</v>
      </c>
      <c r="E7" s="232">
        <f t="shared" si="0"/>
        <v>1.623853135909078</v>
      </c>
    </row>
    <row r="8" spans="1:11" ht="15.6" thickBot="1">
      <c r="C8" s="3" t="s">
        <v>47</v>
      </c>
      <c r="D8" s="62">
        <f>SUMPRODUCT(D86:K86,RPI!$E$2:$L$2)/1000</f>
        <v>-1.0275623131384615</v>
      </c>
      <c r="E8" s="63">
        <f t="shared" si="0"/>
        <v>-0.86486080808980814</v>
      </c>
    </row>
    <row r="9" spans="1:11" ht="16.2" thickBot="1">
      <c r="C9" s="5" t="s">
        <v>48</v>
      </c>
      <c r="D9" s="67">
        <f>SUM(D3:D8)</f>
        <v>12.72476900373589</v>
      </c>
      <c r="E9" s="233">
        <f>SUM(E3:E8)</f>
        <v>10.11035468315794</v>
      </c>
    </row>
    <row r="10" spans="1:11" ht="15.6" thickBot="1">
      <c r="C10" s="3" t="s">
        <v>52</v>
      </c>
      <c r="D10" s="62">
        <f>SUMPRODUCT(D88:K88,RPI!$E$2:$L$2)/1000</f>
        <v>0.89416672601474101</v>
      </c>
      <c r="E10" s="63">
        <f>L88/1000</f>
        <v>0.70798416071864323</v>
      </c>
    </row>
    <row r="11" spans="1:11" ht="15.6" thickBot="1">
      <c r="C11" s="4"/>
      <c r="D11" s="64"/>
      <c r="E11" s="232"/>
    </row>
    <row r="12" spans="1:11" ht="15.6" thickBot="1">
      <c r="C12" s="3" t="s">
        <v>49</v>
      </c>
      <c r="D12" s="62">
        <f>SUMPRODUCT(D90:K90,RPI!$E$2:$L$2)/1000</f>
        <v>0.28922566338576178</v>
      </c>
      <c r="E12" s="63">
        <f t="shared" ref="E12:E14" si="1">L90/1000</f>
        <v>0.23082055237155213</v>
      </c>
    </row>
    <row r="13" spans="1:11" ht="15.6" thickBot="1">
      <c r="C13" s="4" t="s">
        <v>46</v>
      </c>
      <c r="D13" s="64">
        <f>SUMPRODUCT(D91:K91,RPI!$E$2:$L$2)/1000</f>
        <v>0.79680469644730745</v>
      </c>
      <c r="E13" s="232">
        <f t="shared" si="1"/>
        <v>0.62900752334068022</v>
      </c>
    </row>
    <row r="14" spans="1:11" ht="15.6" thickBot="1">
      <c r="C14" s="3" t="s">
        <v>47</v>
      </c>
      <c r="D14" s="62">
        <f>SUMPRODUCT(D92:K92,RPI!$E$2:$L$2)/1000</f>
        <v>-9.1847550500509141E-3</v>
      </c>
      <c r="E14" s="63">
        <f t="shared" si="1"/>
        <v>-7.8551590105338538E-3</v>
      </c>
    </row>
    <row r="15" spans="1:11" ht="16.2" thickBot="1">
      <c r="C15" s="5" t="s">
        <v>50</v>
      </c>
      <c r="D15" s="67">
        <f>SUM(D12:D14)</f>
        <v>1.0768456047830182</v>
      </c>
      <c r="E15" s="233">
        <f>SUM(E12:E14)</f>
        <v>0.85197291670169839</v>
      </c>
    </row>
    <row r="16" spans="1:11" ht="15.6" thickBot="1">
      <c r="C16" s="3"/>
      <c r="D16" s="62"/>
      <c r="E16" s="63"/>
    </row>
    <row r="17" spans="1:12" ht="16.2" thickBot="1">
      <c r="C17" s="5" t="s">
        <v>153</v>
      </c>
      <c r="D17" s="67">
        <f>D9+D15</f>
        <v>13.801614608518909</v>
      </c>
      <c r="E17" s="233">
        <f>E9+E15</f>
        <v>10.962327599859638</v>
      </c>
    </row>
    <row r="18" spans="1:12" ht="15.6" thickBot="1">
      <c r="C18" s="3"/>
      <c r="D18" s="62"/>
      <c r="E18" s="63"/>
    </row>
    <row r="19" spans="1:12" ht="16.2" thickBot="1">
      <c r="C19" s="5" t="s">
        <v>53</v>
      </c>
      <c r="D19" s="67">
        <f>E19*RPI!E4</f>
        <v>10.190343073497942</v>
      </c>
      <c r="E19" s="233">
        <f>D97/1000</f>
        <v>8.8650145032674477</v>
      </c>
    </row>
    <row r="20" spans="1:12" ht="16.2" thickBot="1">
      <c r="C20" s="6" t="s">
        <v>54</v>
      </c>
      <c r="D20" s="65">
        <f>E20*RPI!L3</f>
        <v>17.039617814501138</v>
      </c>
      <c r="E20" s="66">
        <f>K100/1000</f>
        <v>12.153988552425989</v>
      </c>
    </row>
    <row r="23" spans="1:12" ht="13.8" thickBot="1">
      <c r="A23" s="38" t="s">
        <v>360</v>
      </c>
    </row>
    <row r="24" spans="1:12" ht="13.8" thickBot="1">
      <c r="C24" s="14" t="s">
        <v>58</v>
      </c>
      <c r="D24" s="15" t="s">
        <v>59</v>
      </c>
      <c r="E24" s="15" t="s">
        <v>60</v>
      </c>
      <c r="F24" s="15" t="s">
        <v>61</v>
      </c>
      <c r="G24" s="15" t="s">
        <v>62</v>
      </c>
      <c r="H24" s="15" t="s">
        <v>63</v>
      </c>
      <c r="I24" s="15" t="s">
        <v>64</v>
      </c>
      <c r="J24" s="15" t="s">
        <v>65</v>
      </c>
      <c r="K24" s="15" t="s">
        <v>66</v>
      </c>
      <c r="L24" s="15" t="s">
        <v>118</v>
      </c>
    </row>
    <row r="25" spans="1:12">
      <c r="C25" s="16"/>
      <c r="D25" s="26"/>
      <c r="E25" s="26"/>
      <c r="F25" s="26"/>
      <c r="G25" s="26"/>
      <c r="H25" s="26"/>
      <c r="I25" s="26"/>
      <c r="J25" s="26"/>
      <c r="K25" s="26"/>
      <c r="L25" s="26"/>
    </row>
    <row r="26" spans="1:12">
      <c r="A26" t="s">
        <v>338</v>
      </c>
      <c r="C26" s="17" t="s">
        <v>119</v>
      </c>
      <c r="D26" s="27">
        <f>'ET workings 17-18'!D15+'ET workings 17-18'!D16+'ET workings 17-18'!D20</f>
        <v>1417.9553166708715</v>
      </c>
      <c r="E26" s="27">
        <f>'ET workings 17-18'!E15+'ET workings 17-18'!E16+'ET workings 17-18'!E20</f>
        <v>1379.2802121096192</v>
      </c>
      <c r="F26" s="27">
        <f>'ET workings 17-18'!F15+'ET workings 17-18'!F16+'ET workings 17-18'!F20</f>
        <v>1289.3105230894307</v>
      </c>
      <c r="G26" s="27">
        <f>'ET workings 17-18'!G15+'ET workings 17-18'!G16+'ET workings 17-18'!G20</f>
        <v>1257.9109606415332</v>
      </c>
      <c r="H26" s="27">
        <f>'ET workings 17-18'!H15+'ET workings 17-18'!H16+'ET workings 17-18'!H20</f>
        <v>1082.3336058772115</v>
      </c>
      <c r="I26" s="27">
        <f>'ET workings 17-18'!I15+'ET workings 17-18'!I16+'ET workings 17-18'!I20</f>
        <v>1067.3824104137695</v>
      </c>
      <c r="J26" s="27">
        <f>'ET workings 17-18'!J15+'ET workings 17-18'!J16+'ET workings 17-18'!J20</f>
        <v>922.3425530105784</v>
      </c>
      <c r="K26" s="27">
        <f>'ET workings 17-18'!K15+'ET workings 17-18'!K16+'ET workings 17-18'!K20</f>
        <v>767.38303559090639</v>
      </c>
      <c r="L26" s="28">
        <f>SUM(D26:K26)</f>
        <v>9183.8986174039201</v>
      </c>
    </row>
    <row r="27" spans="1:12">
      <c r="C27" s="18" t="s">
        <v>386</v>
      </c>
      <c r="D27" s="29">
        <f>'ET workings 17-18'!D21+'ET workings 17-18'!D17</f>
        <v>193.29832303253795</v>
      </c>
      <c r="E27" s="29">
        <f>'ET workings 17-18'!E21+'ET workings 17-18'!E17</f>
        <v>199.59947067705875</v>
      </c>
      <c r="F27" s="29">
        <f>'ET workings 17-18'!F21+'ET workings 17-18'!F17</f>
        <v>211.8404097294482</v>
      </c>
      <c r="G27" s="29">
        <f>'ET workings 17-18'!G21+'ET workings 17-18'!G17</f>
        <v>218.80082198852523</v>
      </c>
      <c r="H27" s="29">
        <f>'ET workings 17-18'!H21+'ET workings 17-18'!H17</f>
        <v>250.70365695048378</v>
      </c>
      <c r="I27" s="29">
        <f>'ET workings 17-18'!I21+'ET workings 17-18'!I17</f>
        <v>262.17988486431767</v>
      </c>
      <c r="J27" s="29">
        <f>'ET workings 17-18'!J21+'ET workings 17-18'!J17</f>
        <v>241.53371821955682</v>
      </c>
      <c r="K27" s="29">
        <f>'ET workings 17-18'!K21+'ET workings 17-18'!K17</f>
        <v>213.3605883818999</v>
      </c>
      <c r="L27" s="30">
        <f t="shared" ref="L27:L38" si="2">SUM(D27:K27)</f>
        <v>1791.3168738438285</v>
      </c>
    </row>
    <row r="28" spans="1:12">
      <c r="C28" s="19" t="s">
        <v>71</v>
      </c>
      <c r="D28" s="31">
        <f>SUM(D26:D27)</f>
        <v>1611.2536397034096</v>
      </c>
      <c r="E28" s="31">
        <f t="shared" ref="E28:K28" si="3">SUM(E26:E27)</f>
        <v>1578.8796827866779</v>
      </c>
      <c r="F28" s="31">
        <f t="shared" si="3"/>
        <v>1501.150932818879</v>
      </c>
      <c r="G28" s="31">
        <f t="shared" si="3"/>
        <v>1476.7117826300585</v>
      </c>
      <c r="H28" s="31">
        <f t="shared" si="3"/>
        <v>1333.0372628276953</v>
      </c>
      <c r="I28" s="31">
        <f t="shared" si="3"/>
        <v>1329.5622952780873</v>
      </c>
      <c r="J28" s="31">
        <f t="shared" si="3"/>
        <v>1163.8762712301352</v>
      </c>
      <c r="K28" s="31">
        <f t="shared" si="3"/>
        <v>980.74362397280629</v>
      </c>
      <c r="L28" s="28">
        <f t="shared" si="2"/>
        <v>10975.215491247751</v>
      </c>
    </row>
    <row r="29" spans="1:12">
      <c r="A29" t="s">
        <v>346</v>
      </c>
      <c r="C29" s="17" t="s">
        <v>121</v>
      </c>
      <c r="D29" s="27">
        <f>'ET workings 17-18'!D38+'ET workings 17-18'!D39+'ET workings 17-18'!D43</f>
        <v>998.94178204028822</v>
      </c>
      <c r="E29" s="27">
        <f>'ET workings 17-18'!E38+'ET workings 17-18'!E39+'ET workings 17-18'!E43</f>
        <v>678.98702326228931</v>
      </c>
      <c r="F29" s="27">
        <f>'ET workings 17-18'!F38+'ET workings 17-18'!F39+'ET workings 17-18'!F43</f>
        <v>741.95186283975886</v>
      </c>
      <c r="G29" s="27">
        <f>'ET workings 17-18'!G38+'ET workings 17-18'!G39+'ET workings 17-18'!G43</f>
        <v>1257.9109606415332</v>
      </c>
      <c r="H29" s="27">
        <f>'ET workings 17-18'!H38+'ET workings 17-18'!H39+'ET workings 17-18'!H43</f>
        <v>1082.3336058772115</v>
      </c>
      <c r="I29" s="27">
        <f>'ET workings 17-18'!I38+'ET workings 17-18'!I39+'ET workings 17-18'!I43</f>
        <v>1067.3824104137693</v>
      </c>
      <c r="J29" s="27">
        <f>'ET workings 17-18'!J38+'ET workings 17-18'!J39+'ET workings 17-18'!J43</f>
        <v>922.34255301057851</v>
      </c>
      <c r="K29" s="27">
        <f>'ET workings 17-18'!K38+'ET workings 17-18'!K39+'ET workings 17-18'!K43</f>
        <v>767.38303559090639</v>
      </c>
      <c r="L29" s="28">
        <f t="shared" si="2"/>
        <v>7517.2332336763366</v>
      </c>
    </row>
    <row r="30" spans="1:12">
      <c r="C30" s="18" t="s">
        <v>387</v>
      </c>
      <c r="D30" s="29">
        <f>'ET workings 17-18'!D40+'ET workings 17-18'!D44</f>
        <v>199.95778553358039</v>
      </c>
      <c r="E30" s="29">
        <f>'ET workings 17-18'!E40+'ET workings 17-18'!E44</f>
        <v>219.64811742497454</v>
      </c>
      <c r="F30" s="29">
        <f>'ET workings 17-18'!F40+'ET workings 17-18'!F44</f>
        <v>223.36460552269017</v>
      </c>
      <c r="G30" s="29">
        <f>'ET workings 17-18'!G40+'ET workings 17-18'!G44</f>
        <v>218.80082198852523</v>
      </c>
      <c r="H30" s="29">
        <f>'ET workings 17-18'!H40+'ET workings 17-18'!H44</f>
        <v>250.70365695048378</v>
      </c>
      <c r="I30" s="29">
        <f>'ET workings 17-18'!I40+'ET workings 17-18'!I44</f>
        <v>262.17988486431767</v>
      </c>
      <c r="J30" s="29">
        <f>'ET workings 17-18'!J40+'ET workings 17-18'!J44</f>
        <v>241.53371821955682</v>
      </c>
      <c r="K30" s="29">
        <f>'ET workings 17-18'!K40+'ET workings 17-18'!K44</f>
        <v>213.3605883818999</v>
      </c>
      <c r="L30" s="30">
        <f t="shared" si="2"/>
        <v>1829.5491788860286</v>
      </c>
    </row>
    <row r="31" spans="1:12">
      <c r="C31" s="19" t="s">
        <v>77</v>
      </c>
      <c r="D31" s="31">
        <f>SUM(D29:D30)</f>
        <v>1198.8995675738686</v>
      </c>
      <c r="E31" s="31">
        <f t="shared" ref="E31:K31" si="4">SUM(E29:E30)</f>
        <v>898.63514068726386</v>
      </c>
      <c r="F31" s="31">
        <f t="shared" si="4"/>
        <v>965.31646836244909</v>
      </c>
      <c r="G31" s="31">
        <f t="shared" si="4"/>
        <v>1476.7117826300585</v>
      </c>
      <c r="H31" s="31">
        <f t="shared" si="4"/>
        <v>1333.0372628276953</v>
      </c>
      <c r="I31" s="31">
        <f t="shared" si="4"/>
        <v>1329.562295278087</v>
      </c>
      <c r="J31" s="31">
        <f t="shared" si="4"/>
        <v>1163.8762712301354</v>
      </c>
      <c r="K31" s="31">
        <f t="shared" si="4"/>
        <v>980.74362397280629</v>
      </c>
      <c r="L31" s="28">
        <f t="shared" si="2"/>
        <v>9346.7824125623647</v>
      </c>
    </row>
    <row r="32" spans="1:12">
      <c r="A32" t="s">
        <v>233</v>
      </c>
      <c r="C32" s="17" t="s">
        <v>388</v>
      </c>
      <c r="D32" s="27">
        <f>D26-(D26-D29)*$K$2</f>
        <v>1195.4172284285687</v>
      </c>
      <c r="E32" s="27">
        <f t="shared" ref="E32:K33" si="5">E26-(E26-E29)*$K$2</f>
        <v>1007.3544995128022</v>
      </c>
      <c r="F32" s="27">
        <f t="shared" si="5"/>
        <v>998.60833863082996</v>
      </c>
      <c r="G32" s="27">
        <f t="shared" si="5"/>
        <v>1257.9109606415332</v>
      </c>
      <c r="H32" s="27">
        <f t="shared" si="5"/>
        <v>1082.3336058772115</v>
      </c>
      <c r="I32" s="27">
        <f t="shared" si="5"/>
        <v>1067.3824104137693</v>
      </c>
      <c r="J32" s="27">
        <f t="shared" si="5"/>
        <v>922.34255301057851</v>
      </c>
      <c r="K32" s="27">
        <f t="shared" si="5"/>
        <v>767.38303559090639</v>
      </c>
      <c r="L32" s="28">
        <f t="shared" si="2"/>
        <v>8298.7326321061992</v>
      </c>
    </row>
    <row r="33" spans="3:14">
      <c r="C33" s="18" t="s">
        <v>389</v>
      </c>
      <c r="D33" s="29">
        <f>D27-(D27-D30)*$K$2</f>
        <v>196.8351635668416</v>
      </c>
      <c r="E33" s="29">
        <f t="shared" si="5"/>
        <v>210.24730696487683</v>
      </c>
      <c r="F33" s="29">
        <f t="shared" si="5"/>
        <v>217.96091011523902</v>
      </c>
      <c r="G33" s="29">
        <f t="shared" si="5"/>
        <v>218.80082198852523</v>
      </c>
      <c r="H33" s="29">
        <f t="shared" si="5"/>
        <v>250.70365695048378</v>
      </c>
      <c r="I33" s="29">
        <f t="shared" si="5"/>
        <v>262.17988486431767</v>
      </c>
      <c r="J33" s="29">
        <f t="shared" si="5"/>
        <v>241.53371821955682</v>
      </c>
      <c r="K33" s="29">
        <f t="shared" si="5"/>
        <v>213.3605883818999</v>
      </c>
      <c r="L33" s="30">
        <f t="shared" si="2"/>
        <v>1811.622051051741</v>
      </c>
    </row>
    <row r="34" spans="3:14">
      <c r="C34" s="19" t="s">
        <v>78</v>
      </c>
      <c r="D34" s="31">
        <f>SUM(D32:D33)</f>
        <v>1392.2523919954103</v>
      </c>
      <c r="E34" s="31">
        <f t="shared" ref="E34:K34" si="6">SUM(E32:E33)</f>
        <v>1217.601806477679</v>
      </c>
      <c r="F34" s="31">
        <f t="shared" si="6"/>
        <v>1216.569248746069</v>
      </c>
      <c r="G34" s="31">
        <f t="shared" si="6"/>
        <v>1476.7117826300585</v>
      </c>
      <c r="H34" s="31">
        <f t="shared" si="6"/>
        <v>1333.0372628276953</v>
      </c>
      <c r="I34" s="31">
        <f t="shared" si="6"/>
        <v>1329.562295278087</v>
      </c>
      <c r="J34" s="31">
        <f t="shared" si="6"/>
        <v>1163.8762712301354</v>
      </c>
      <c r="K34" s="31">
        <f t="shared" si="6"/>
        <v>980.74362397280629</v>
      </c>
      <c r="L34" s="28">
        <f t="shared" si="2"/>
        <v>10110.354683157941</v>
      </c>
    </row>
    <row r="35" spans="3:14">
      <c r="C35" s="20"/>
      <c r="D35" s="32"/>
      <c r="E35" s="32"/>
      <c r="F35" s="32"/>
      <c r="G35" s="32"/>
      <c r="H35" s="32"/>
      <c r="I35" s="32"/>
      <c r="J35" s="32"/>
      <c r="K35" s="32"/>
      <c r="L35" s="33"/>
    </row>
    <row r="36" spans="3:14">
      <c r="C36" s="17" t="s">
        <v>79</v>
      </c>
      <c r="D36" s="27">
        <f>'ET workings 17-18'!D55</f>
        <v>208.83785879931173</v>
      </c>
      <c r="E36" s="27">
        <f>'ET workings 17-18'!E55</f>
        <v>182.64027097165206</v>
      </c>
      <c r="F36" s="27">
        <f>'ET workings 17-18'!F55</f>
        <v>182.48538731191039</v>
      </c>
      <c r="G36" s="27">
        <f>'ET workings 17-18'!G55</f>
        <v>221.50676739450864</v>
      </c>
      <c r="H36" s="27">
        <f>'ET workings 17-18'!H55</f>
        <v>199.95558942415431</v>
      </c>
      <c r="I36" s="27">
        <f>'ET workings 17-18'!I55</f>
        <v>199.43434429171313</v>
      </c>
      <c r="J36" s="27">
        <f>'ET workings 17-18'!J55</f>
        <v>174.58144068452032</v>
      </c>
      <c r="K36" s="27">
        <f>'ET workings 17-18'!K55</f>
        <v>147.11154359592098</v>
      </c>
      <c r="L36" s="28">
        <f t="shared" si="2"/>
        <v>1516.5532024736917</v>
      </c>
    </row>
    <row r="37" spans="3:14">
      <c r="C37" s="18" t="s">
        <v>80</v>
      </c>
      <c r="D37" s="29">
        <f>'ET workings 17-18'!D54</f>
        <v>1183.4145331960985</v>
      </c>
      <c r="E37" s="29">
        <f>'ET workings 17-18'!E54</f>
        <v>1034.9615355060273</v>
      </c>
      <c r="F37" s="29">
        <f>'ET workings 17-18'!F54</f>
        <v>1034.0838614341585</v>
      </c>
      <c r="G37" s="29">
        <f>'ET workings 17-18'!G54</f>
        <v>1255.2050152355498</v>
      </c>
      <c r="H37" s="29">
        <f>'ET workings 17-18'!H54</f>
        <v>1133.0816734035409</v>
      </c>
      <c r="I37" s="29">
        <f>'ET workings 17-18'!I54</f>
        <v>1130.1279509863741</v>
      </c>
      <c r="J37" s="29">
        <f>'ET workings 17-18'!J54</f>
        <v>989.2948305456149</v>
      </c>
      <c r="K37" s="29">
        <f>'ET workings 17-18'!K54</f>
        <v>833.63208037688537</v>
      </c>
      <c r="L37" s="30">
        <f t="shared" si="2"/>
        <v>8593.8014806842493</v>
      </c>
    </row>
    <row r="38" spans="3:14" ht="13.8" thickBot="1">
      <c r="C38" s="21" t="s">
        <v>390</v>
      </c>
      <c r="D38" s="34">
        <f t="shared" ref="D38:K38" si="7">SUM(D36:D37)</f>
        <v>1392.2523919954103</v>
      </c>
      <c r="E38" s="34">
        <f t="shared" si="7"/>
        <v>1217.6018064776795</v>
      </c>
      <c r="F38" s="34">
        <f t="shared" si="7"/>
        <v>1216.569248746069</v>
      </c>
      <c r="G38" s="34">
        <f t="shared" si="7"/>
        <v>1476.7117826300585</v>
      </c>
      <c r="H38" s="34">
        <f t="shared" si="7"/>
        <v>1333.0372628276953</v>
      </c>
      <c r="I38" s="34">
        <f t="shared" si="7"/>
        <v>1329.5622952780873</v>
      </c>
      <c r="J38" s="34">
        <f t="shared" si="7"/>
        <v>1163.8762712301352</v>
      </c>
      <c r="K38" s="34">
        <f t="shared" si="7"/>
        <v>980.74362397280629</v>
      </c>
      <c r="L38" s="35">
        <f t="shared" si="2"/>
        <v>10110.354683157942</v>
      </c>
    </row>
    <row r="39" spans="3:14">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'ET workings 17-18'!D130</f>
        <v>8790.8537557518612</v>
      </c>
      <c r="E42" s="36">
        <f>D46</f>
        <v>9228.6428232982544</v>
      </c>
      <c r="F42" s="36">
        <f t="shared" ref="F42:K42" si="9">E46</f>
        <v>9670.1740131016577</v>
      </c>
      <c r="G42" s="36">
        <f t="shared" si="9"/>
        <v>10084.411739081483</v>
      </c>
      <c r="H42" s="36">
        <f t="shared" si="9"/>
        <v>10698.359134946159</v>
      </c>
      <c r="I42" s="36">
        <f t="shared" si="9"/>
        <v>11164.30113510931</v>
      </c>
      <c r="J42" s="36">
        <f t="shared" si="9"/>
        <v>11606.754294745968</v>
      </c>
      <c r="K42" s="36">
        <f t="shared" si="9"/>
        <v>11898.73807397418</v>
      </c>
    </row>
    <row r="43" spans="3:14">
      <c r="C43" s="17" t="s">
        <v>86</v>
      </c>
      <c r="D43" s="27">
        <f>'ET workings 17-18'!D131</f>
        <v>1006.6480634015152</v>
      </c>
      <c r="E43" s="27">
        <f>'ET workings 17-18'!E131</f>
        <v>1034.9615355060273</v>
      </c>
      <c r="F43" s="27">
        <f>'ET workings 17-18'!F131</f>
        <v>1034.0838614341585</v>
      </c>
      <c r="G43" s="27">
        <f>'ET workings 17-18'!G131</f>
        <v>1255.2050152355498</v>
      </c>
      <c r="H43" s="27">
        <f>'ET workings 17-18'!H131</f>
        <v>1133.0816734035409</v>
      </c>
      <c r="I43" s="27">
        <f>'ET workings 17-18'!I131</f>
        <v>1130.1279509863741</v>
      </c>
      <c r="J43" s="27">
        <f>'ET workings 17-18'!J131</f>
        <v>989.2948305456149</v>
      </c>
      <c r="K43" s="27">
        <f>'ET workings 17-18'!K131</f>
        <v>833.63208037688537</v>
      </c>
    </row>
    <row r="44" spans="3:14">
      <c r="C44" s="18" t="s">
        <v>92</v>
      </c>
      <c r="D44" s="29">
        <f>'ET workings 17-18'!D165</f>
        <v>-568.85899585512277</v>
      </c>
      <c r="E44" s="29">
        <f>'ET workings 17-18'!E165</f>
        <v>-549.89961863661063</v>
      </c>
      <c r="F44" s="29">
        <f>'ET workings 17-18'!F165</f>
        <v>-536.88830227380822</v>
      </c>
      <c r="G44" s="29">
        <f>'ET workings 17-18'!G165</f>
        <v>-523.09693133301403</v>
      </c>
      <c r="H44" s="29">
        <f>'ET workings 17-18'!H165</f>
        <v>-510.35729242605208</v>
      </c>
      <c r="I44" s="29">
        <f>'ET workings 17-18'!I165</f>
        <v>-499.08660917668203</v>
      </c>
      <c r="J44" s="29">
        <f>'ET workings 17-18'!J165</f>
        <v>-479.55827686084967</v>
      </c>
      <c r="K44" s="29">
        <f>'ET workings 17-18'!K165</f>
        <v>-462.2100604895204</v>
      </c>
    </row>
    <row r="45" spans="3:14">
      <c r="C45" s="17" t="s">
        <v>93</v>
      </c>
      <c r="D45" s="27">
        <f>'ET workings 17-18'!D166</f>
        <v>0</v>
      </c>
      <c r="E45" s="27">
        <f>'ET workings 17-18'!E166</f>
        <v>-43.530727066011465</v>
      </c>
      <c r="F45" s="27">
        <f>'ET workings 17-18'!F166</f>
        <v>-82.957833180526791</v>
      </c>
      <c r="G45" s="27">
        <f>'ET workings 17-18'!G166</f>
        <v>-118.16068803785984</v>
      </c>
      <c r="H45" s="27">
        <f>'ET workings 17-18'!H166</f>
        <v>-156.7823808143383</v>
      </c>
      <c r="I45" s="27">
        <f>'ET workings 17-18'!I166</f>
        <v>-188.58818217303417</v>
      </c>
      <c r="J45" s="27">
        <f>'ET workings 17-18'!J166</f>
        <v>-217.75277445655351</v>
      </c>
      <c r="K45" s="27">
        <f>'ET workings 17-18'!K166</f>
        <v>-241.37772563376222</v>
      </c>
      <c r="N45" s="132" t="s">
        <v>301</v>
      </c>
    </row>
    <row r="46" spans="3:14" ht="13.8" thickBot="1">
      <c r="C46" s="25" t="s">
        <v>94</v>
      </c>
      <c r="D46" s="37">
        <f>SUM(D42:D45)</f>
        <v>9228.6428232982544</v>
      </c>
      <c r="E46" s="37">
        <f t="shared" ref="E46:K46" si="10">SUM(E42:E45)</f>
        <v>9670.1740131016577</v>
      </c>
      <c r="F46" s="37">
        <f t="shared" si="10"/>
        <v>10084.411739081483</v>
      </c>
      <c r="G46" s="37">
        <f t="shared" si="10"/>
        <v>10698.359134946159</v>
      </c>
      <c r="H46" s="37">
        <f t="shared" si="10"/>
        <v>11164.30113510931</v>
      </c>
      <c r="I46" s="37">
        <f t="shared" si="10"/>
        <v>11606.754294745968</v>
      </c>
      <c r="J46" s="37">
        <f t="shared" si="10"/>
        <v>11898.73807397418</v>
      </c>
      <c r="K46" s="37">
        <f t="shared" si="10"/>
        <v>12028.782368227783</v>
      </c>
      <c r="N46" s="133">
        <f>(K46/D46)^(1/7)-1</f>
        <v>3.858141569817608E-2</v>
      </c>
    </row>
    <row r="47" spans="3:14">
      <c r="D47" s="53">
        <f>D46-'ET workings 17-18'!D133</f>
        <v>0</v>
      </c>
      <c r="E47" s="53">
        <f>E46-'ET workings 17-18'!E133</f>
        <v>0</v>
      </c>
      <c r="F47" s="53">
        <f>F46-'ET workings 17-18'!F133</f>
        <v>0</v>
      </c>
      <c r="G47" s="53">
        <f>G46-'ET workings 17-18'!G133</f>
        <v>0</v>
      </c>
      <c r="H47" s="53">
        <f>H46-'ET workings 17-18'!H133</f>
        <v>0</v>
      </c>
      <c r="I47" s="53">
        <f>I46-'ET workings 17-18'!I133</f>
        <v>0</v>
      </c>
      <c r="J47" s="53">
        <f>J46-'ET workings 17-18'!J133</f>
        <v>0</v>
      </c>
      <c r="K47" s="53">
        <f>K46-'ET workings 17-18'!K133</f>
        <v>0</v>
      </c>
    </row>
    <row r="49" spans="1:33" ht="13.8" thickBot="1">
      <c r="A49" s="38" t="s">
        <v>363</v>
      </c>
    </row>
    <row r="50" spans="1:33" ht="13.8" thickBot="1">
      <c r="C50" s="7" t="s">
        <v>58</v>
      </c>
      <c r="D50" s="8" t="s">
        <v>59</v>
      </c>
      <c r="E50" s="8" t="s">
        <v>60</v>
      </c>
      <c r="F50" s="8" t="s">
        <v>61</v>
      </c>
      <c r="G50" s="8" t="s">
        <v>62</v>
      </c>
      <c r="H50" s="8" t="s">
        <v>63</v>
      </c>
      <c r="I50" s="8" t="s">
        <v>64</v>
      </c>
      <c r="J50" s="8" t="s">
        <v>65</v>
      </c>
      <c r="K50" s="8" t="s">
        <v>66</v>
      </c>
      <c r="P50" s="204"/>
    </row>
    <row r="51" spans="1:33">
      <c r="C51" s="22" t="s">
        <v>91</v>
      </c>
      <c r="D51" s="41">
        <f>'ET workings 17-18'!D58</f>
        <v>8691.0913006079008</v>
      </c>
      <c r="E51" s="41">
        <f>D55</f>
        <v>9133.9922984821387</v>
      </c>
      <c r="F51" s="41">
        <f t="shared" ref="F51:K51" si="11">E55</f>
        <v>9581.6544364566053</v>
      </c>
      <c r="G51" s="41">
        <f t="shared" si="11"/>
        <v>10002.023110607492</v>
      </c>
      <c r="H51" s="41">
        <f t="shared" si="11"/>
        <v>10698.359134946159</v>
      </c>
      <c r="I51" s="41">
        <f t="shared" si="11"/>
        <v>11164.301135109312</v>
      </c>
      <c r="J51" s="41">
        <f t="shared" si="11"/>
        <v>11606.75429474597</v>
      </c>
      <c r="K51" s="41">
        <f t="shared" si="11"/>
        <v>11898.738073974182</v>
      </c>
      <c r="P51" s="42"/>
    </row>
    <row r="52" spans="1:33">
      <c r="C52" s="10" t="s">
        <v>85</v>
      </c>
      <c r="D52" s="42">
        <f>'ET workings 17-18'!D59</f>
        <v>0</v>
      </c>
      <c r="E52" s="42">
        <f>'ET workings 17-18'!E59</f>
        <v>0</v>
      </c>
      <c r="F52" s="42">
        <f>'ET workings 17-18'!F59</f>
        <v>0</v>
      </c>
      <c r="G52" s="42">
        <f>'ET workings 17-18'!G59</f>
        <v>82.388628473992952</v>
      </c>
      <c r="H52" s="42">
        <f>'ET workings 17-18'!H59</f>
        <v>0</v>
      </c>
      <c r="I52" s="42">
        <f>'ET workings 17-18'!I59</f>
        <v>0</v>
      </c>
      <c r="J52" s="42">
        <f>'ET workings 17-18'!J59</f>
        <v>0</v>
      </c>
      <c r="K52" s="42">
        <f>'ET workings 17-18'!K59</f>
        <v>0</v>
      </c>
      <c r="P52" s="42"/>
    </row>
    <row r="53" spans="1:33">
      <c r="C53" s="11" t="s">
        <v>86</v>
      </c>
      <c r="D53" s="43">
        <f>'ET workings 17-18'!D61</f>
        <v>1006.6480634015152</v>
      </c>
      <c r="E53" s="43">
        <f>'ET workings 17-18'!E61</f>
        <v>1034.9615355060273</v>
      </c>
      <c r="F53" s="43">
        <f>'ET workings 17-18'!F61</f>
        <v>1034.0838614341585</v>
      </c>
      <c r="G53" s="43">
        <f>'ET workings 17-18'!G61</f>
        <v>1255.2050152355498</v>
      </c>
      <c r="H53" s="43">
        <f>'ET workings 17-18'!H61</f>
        <v>1133.0816734035409</v>
      </c>
      <c r="I53" s="43">
        <f>'ET workings 17-18'!I61</f>
        <v>1130.1279509863741</v>
      </c>
      <c r="J53" s="43">
        <f>'ET workings 17-18'!J61</f>
        <v>989.2948305456149</v>
      </c>
      <c r="K53" s="43">
        <f>'ET workings 17-18'!K61</f>
        <v>833.63208037688537</v>
      </c>
      <c r="P53" s="42"/>
    </row>
    <row r="54" spans="1:33">
      <c r="C54" s="10" t="s">
        <v>87</v>
      </c>
      <c r="D54" s="42">
        <f>'ET workings 17-18'!D62</f>
        <v>-563.74706552727753</v>
      </c>
      <c r="E54" s="42">
        <f>'ET workings 17-18'!E62</f>
        <v>-587.29939753156054</v>
      </c>
      <c r="F54" s="42">
        <f>'ET workings 17-18'!F62</f>
        <v>-613.71518728327351</v>
      </c>
      <c r="G54" s="42">
        <f>'ET workings 17-18'!G62</f>
        <v>-641.25761937087384</v>
      </c>
      <c r="H54" s="42">
        <f>'ET workings 17-18'!H62</f>
        <v>-667.13967324039038</v>
      </c>
      <c r="I54" s="42">
        <f>'ET workings 17-18'!I62</f>
        <v>-687.6747913497162</v>
      </c>
      <c r="J54" s="42">
        <f>'ET workings 17-18'!J62</f>
        <v>-697.31105131740321</v>
      </c>
      <c r="K54" s="42">
        <f>'ET workings 17-18'!K62</f>
        <v>-703.58778612328263</v>
      </c>
      <c r="P54" s="42"/>
    </row>
    <row r="55" spans="1:33">
      <c r="C55" s="39" t="s">
        <v>94</v>
      </c>
      <c r="D55" s="45">
        <f>'ET workings 17-18'!D63</f>
        <v>9133.9922984821387</v>
      </c>
      <c r="E55" s="45">
        <f>'ET workings 17-18'!E63</f>
        <v>9581.6544364566053</v>
      </c>
      <c r="F55" s="45">
        <f>'ET workings 17-18'!F63</f>
        <v>10002.023110607492</v>
      </c>
      <c r="G55" s="45">
        <f>'ET workings 17-18'!G63</f>
        <v>10698.359134946159</v>
      </c>
      <c r="H55" s="45">
        <f>'ET workings 17-18'!H63</f>
        <v>11164.301135109312</v>
      </c>
      <c r="I55" s="45">
        <f>'ET workings 17-18'!I63</f>
        <v>11606.75429474597</v>
      </c>
      <c r="J55" s="45">
        <f>'ET workings 17-18'!J63</f>
        <v>11898.738073974182</v>
      </c>
      <c r="K55" s="45">
        <f>'ET workings 17-18'!K63</f>
        <v>12028.782368227785</v>
      </c>
      <c r="P55" s="50"/>
    </row>
    <row r="56" spans="1:33" ht="13.8" thickBot="1">
      <c r="C56" s="40" t="s">
        <v>163</v>
      </c>
      <c r="D56" s="46">
        <f>'ET workings 17-18'!D128-'ET workings 17-18'!D127</f>
        <v>94.650524816115961</v>
      </c>
      <c r="E56" s="46">
        <f>'ET workings 17-18'!E128-'ET workings 17-18'!E127</f>
        <v>88.519576645054457</v>
      </c>
      <c r="F56" s="46">
        <f>'ET workings 17-18'!F128-'ET workings 17-18'!F127</f>
        <v>82.388628473992952</v>
      </c>
      <c r="G56" s="46">
        <f>'ET workings 17-18'!G128-'ET workings 17-18'!G127</f>
        <v>0</v>
      </c>
      <c r="H56" s="46">
        <f>'ET workings 17-18'!H128-'ET workings 17-18'!H127</f>
        <v>0</v>
      </c>
      <c r="I56" s="46">
        <f>'ET workings 17-18'!I128-'ET workings 17-18'!I127</f>
        <v>0</v>
      </c>
      <c r="J56" s="46">
        <f>'ET workings 17-18'!J128-'ET workings 17-18'!J127</f>
        <v>0</v>
      </c>
      <c r="K56" s="46">
        <f>'ET workings 17-18'!K128-'ET workings 17-18'!K127</f>
        <v>0</v>
      </c>
      <c r="P56" s="42"/>
    </row>
    <row r="57" spans="1:33">
      <c r="D57" s="53">
        <f>D55-'ET workings 17-18'!D63</f>
        <v>0</v>
      </c>
      <c r="E57" s="53">
        <f>E55-'ET workings 17-18'!E63</f>
        <v>0</v>
      </c>
      <c r="F57" s="53">
        <f>F55-'ET workings 17-18'!F63</f>
        <v>0</v>
      </c>
      <c r="G57" s="53">
        <f>G55-'ET workings 17-18'!G63</f>
        <v>0</v>
      </c>
      <c r="H57" s="53">
        <f>H55-'ET workings 17-18'!H63</f>
        <v>0</v>
      </c>
      <c r="I57" s="53">
        <f>I55-'ET workings 17-18'!I63</f>
        <v>0</v>
      </c>
      <c r="J57" s="53">
        <f>J55-'ET workings 17-18'!J63</f>
        <v>0</v>
      </c>
      <c r="K57" s="53">
        <f>K55-'ET workings 17-18'!K63</f>
        <v>0</v>
      </c>
      <c r="P57" s="53"/>
    </row>
    <row r="58" spans="1:33" ht="13.8" thickBot="1">
      <c r="P58" s="207"/>
    </row>
    <row r="59" spans="1:33" ht="13.8" thickBot="1">
      <c r="C59" s="7" t="s">
        <v>58</v>
      </c>
      <c r="D59" s="8" t="s">
        <v>59</v>
      </c>
      <c r="E59" s="8" t="s">
        <v>60</v>
      </c>
      <c r="F59" s="8" t="s">
        <v>61</v>
      </c>
      <c r="G59" s="8" t="s">
        <v>62</v>
      </c>
      <c r="H59" s="8" t="s">
        <v>63</v>
      </c>
      <c r="I59" s="8" t="s">
        <v>64</v>
      </c>
      <c r="J59" s="8" t="s">
        <v>65</v>
      </c>
      <c r="K59" s="8" t="s">
        <v>66</v>
      </c>
      <c r="P59" s="204"/>
      <c r="S59" s="204"/>
      <c r="T59" s="204"/>
      <c r="U59" s="204"/>
      <c r="W59" s="204"/>
      <c r="X59" s="204"/>
      <c r="Y59" s="204"/>
      <c r="Z59" s="204"/>
      <c r="AA59" s="204"/>
      <c r="AB59" s="204"/>
      <c r="AC59" s="204"/>
      <c r="AD59" s="204"/>
      <c r="AE59" s="204"/>
    </row>
    <row r="60" spans="1:33">
      <c r="C60" s="22" t="s">
        <v>79</v>
      </c>
      <c r="D60" s="41">
        <f>'ET workings 17-18'!D74</f>
        <v>208.83785879931173</v>
      </c>
      <c r="E60" s="41">
        <f>'ET workings 17-18'!E74</f>
        <v>182.64027097165206</v>
      </c>
      <c r="F60" s="41">
        <f>'ET workings 17-18'!F74</f>
        <v>182.48538731191039</v>
      </c>
      <c r="G60" s="41">
        <f>'ET workings 17-18'!G74</f>
        <v>221.50676739450864</v>
      </c>
      <c r="H60" s="41">
        <f>'ET workings 17-18'!H74</f>
        <v>199.95558942415431</v>
      </c>
      <c r="I60" s="41">
        <f>'ET workings 17-18'!I74</f>
        <v>199.43434429171313</v>
      </c>
      <c r="J60" s="41">
        <f>'ET workings 17-18'!J74</f>
        <v>174.58144068452032</v>
      </c>
      <c r="K60" s="41">
        <f>'ET workings 17-18'!K74</f>
        <v>147.11154359592098</v>
      </c>
      <c r="L60" s="28">
        <f t="shared" ref="L60:L73" si="12">SUM(D60:K60)</f>
        <v>1516.5532024736917</v>
      </c>
      <c r="P60" s="42"/>
      <c r="S60" s="42"/>
      <c r="T60" s="42"/>
      <c r="U60" s="42"/>
      <c r="V60" s="109"/>
      <c r="W60" s="42"/>
      <c r="X60" s="42"/>
      <c r="Y60" s="42"/>
      <c r="Z60" s="42"/>
      <c r="AA60" s="42"/>
      <c r="AB60" s="42"/>
      <c r="AC60" s="42"/>
      <c r="AD60" s="42"/>
      <c r="AE60" s="50"/>
      <c r="AF60" s="109"/>
      <c r="AG60" s="109"/>
    </row>
    <row r="61" spans="1:33">
      <c r="C61" s="10" t="s">
        <v>98</v>
      </c>
      <c r="D61" s="42">
        <f>'ET workings 17-18'!D75</f>
        <v>94.24723304227993</v>
      </c>
      <c r="E61" s="42">
        <f>'ET workings 17-18'!E75</f>
        <v>87.678224204681584</v>
      </c>
      <c r="F61" s="42">
        <f>'ET workings 17-18'!F75</f>
        <v>87.676243763178761</v>
      </c>
      <c r="G61" s="42">
        <f>'ET workings 17-18'!G75</f>
        <v>87.677481779017953</v>
      </c>
      <c r="H61" s="42">
        <f>'ET workings 17-18'!H75</f>
        <v>87.676244486345595</v>
      </c>
      <c r="I61" s="42">
        <f>'ET workings 17-18'!I75</f>
        <v>87.676244488148086</v>
      </c>
      <c r="J61" s="42">
        <f>'ET workings 17-18'!J75</f>
        <v>87.676244492723825</v>
      </c>
      <c r="K61" s="42">
        <f>'ET workings 17-18'!K75</f>
        <v>87.676244462267519</v>
      </c>
      <c r="L61" s="28">
        <f t="shared" si="12"/>
        <v>707.98416071864324</v>
      </c>
      <c r="P61" s="42"/>
      <c r="S61" s="42"/>
      <c r="T61" s="42"/>
      <c r="U61" s="42"/>
      <c r="V61" s="109"/>
      <c r="W61" s="42"/>
      <c r="X61" s="42"/>
      <c r="Y61" s="42"/>
      <c r="Z61" s="42"/>
      <c r="AA61" s="42"/>
      <c r="AB61" s="42"/>
      <c r="AC61" s="42"/>
      <c r="AD61" s="42"/>
      <c r="AE61" s="50"/>
      <c r="AF61" s="109"/>
      <c r="AG61" s="109"/>
    </row>
    <row r="62" spans="1:33">
      <c r="C62" s="11" t="s">
        <v>99</v>
      </c>
      <c r="D62" s="43">
        <f>'ET workings 17-18'!D140</f>
        <v>32.057225303006618</v>
      </c>
      <c r="E62" s="43">
        <f>'ET workings 17-18'!E140</f>
        <v>31.92938591920073</v>
      </c>
      <c r="F62" s="43">
        <f>'ET workings 17-18'!F140</f>
        <v>35.659710857037616</v>
      </c>
      <c r="G62" s="43">
        <f>'ET workings 17-18'!G140</f>
        <v>35.934713792776314</v>
      </c>
      <c r="H62" s="43">
        <f>'ET workings 17-18'!H140</f>
        <v>35.811112850332755</v>
      </c>
      <c r="I62" s="43">
        <f>'ET workings 17-18'!I140</f>
        <v>35.890668716947431</v>
      </c>
      <c r="J62" s="43">
        <f>'ET workings 17-18'!J140</f>
        <v>36.173511831970629</v>
      </c>
      <c r="K62" s="43">
        <f>'ET workings 17-18'!K140</f>
        <v>36.059778024506585</v>
      </c>
      <c r="L62" s="28">
        <f t="shared" si="12"/>
        <v>279.51610729577862</v>
      </c>
      <c r="P62" s="42"/>
      <c r="S62" s="42"/>
      <c r="T62" s="42"/>
      <c r="U62" s="42"/>
      <c r="V62" s="109"/>
      <c r="W62" s="42"/>
      <c r="X62" s="42"/>
      <c r="Y62" s="42"/>
      <c r="Z62" s="42"/>
      <c r="AA62" s="42"/>
      <c r="AB62" s="42"/>
      <c r="AC62" s="42"/>
      <c r="AD62" s="42"/>
      <c r="AE62" s="50"/>
      <c r="AF62" s="109"/>
      <c r="AG62" s="109"/>
    </row>
    <row r="63" spans="1:33">
      <c r="C63" s="10" t="s">
        <v>100</v>
      </c>
      <c r="D63" s="42">
        <f>'ET workings 17-18'!D78</f>
        <v>0</v>
      </c>
      <c r="E63" s="42">
        <f>'ET workings 17-18'!E78</f>
        <v>0</v>
      </c>
      <c r="F63" s="42">
        <f>'ET workings 17-18'!F78</f>
        <v>0</v>
      </c>
      <c r="G63" s="42">
        <f>'ET workings 17-18'!G78</f>
        <v>0</v>
      </c>
      <c r="H63" s="42">
        <f>'ET workings 17-18'!H78</f>
        <v>0</v>
      </c>
      <c r="I63" s="42">
        <f>'ET workings 17-18'!I78</f>
        <v>0</v>
      </c>
      <c r="J63" s="42">
        <f>'ET workings 17-18'!J78</f>
        <v>0</v>
      </c>
      <c r="K63" s="42">
        <f>'ET workings 17-18'!K78</f>
        <v>0</v>
      </c>
      <c r="L63" s="28">
        <f t="shared" si="12"/>
        <v>0</v>
      </c>
      <c r="P63" s="42"/>
      <c r="S63" s="42"/>
      <c r="T63" s="42"/>
      <c r="U63" s="42"/>
      <c r="V63" s="109"/>
      <c r="W63" s="42"/>
      <c r="X63" s="42"/>
      <c r="Y63" s="42"/>
      <c r="Z63" s="42"/>
      <c r="AA63" s="42"/>
      <c r="AB63" s="42"/>
      <c r="AC63" s="42"/>
      <c r="AD63" s="42"/>
      <c r="AE63" s="50"/>
      <c r="AF63" s="109"/>
      <c r="AG63" s="109"/>
    </row>
    <row r="64" spans="1:33">
      <c r="C64" s="11" t="s">
        <v>101</v>
      </c>
      <c r="D64" s="43">
        <f>'ET workings 17-18'!D79</f>
        <v>15.168246288518162</v>
      </c>
      <c r="E64" s="43">
        <f>'ET workings 17-18'!E79</f>
        <v>16.275110005972994</v>
      </c>
      <c r="F64" s="43">
        <f>'ET workings 17-18'!F79</f>
        <v>15.614702904478012</v>
      </c>
      <c r="G64" s="43">
        <f>'ET workings 17-18'!G79</f>
        <v>14.911674359737152</v>
      </c>
      <c r="H64" s="43">
        <f>'ET workings 17-18'!H79</f>
        <v>13.033415757853545</v>
      </c>
      <c r="I64" s="43">
        <f>'ET workings 17-18'!I79</f>
        <v>12.556067765830047</v>
      </c>
      <c r="J64" s="43">
        <f>'ET workings 17-18'!J79</f>
        <v>11.285100906339711</v>
      </c>
      <c r="K64" s="43">
        <f>'ET workings 17-18'!K79</f>
        <v>9.8268179419485548</v>
      </c>
      <c r="L64" s="28">
        <f t="shared" si="12"/>
        <v>108.67113593067819</v>
      </c>
      <c r="P64" s="42"/>
      <c r="S64" s="42"/>
      <c r="T64" s="42"/>
      <c r="U64" s="42"/>
      <c r="V64" s="109"/>
      <c r="W64" s="42"/>
      <c r="X64" s="42"/>
      <c r="Y64" s="42"/>
      <c r="Z64" s="42"/>
      <c r="AA64" s="42"/>
      <c r="AB64" s="42"/>
      <c r="AC64" s="42"/>
      <c r="AD64" s="42"/>
      <c r="AE64" s="50"/>
      <c r="AF64" s="109"/>
      <c r="AG64" s="109"/>
    </row>
    <row r="65" spans="1:33">
      <c r="C65" s="10" t="s">
        <v>102</v>
      </c>
      <c r="D65" s="42">
        <f>'ET workings 17-18'!D81</f>
        <v>85.703309733146853</v>
      </c>
      <c r="E65" s="42">
        <f>'ET workings 17-18'!E81</f>
        <v>71.949382110458572</v>
      </c>
      <c r="F65" s="42">
        <f>'ET workings 17-18'!F81</f>
        <v>80.102796329393428</v>
      </c>
      <c r="G65" s="42">
        <f>'ET workings 17-18'!G81</f>
        <v>87.893916703346989</v>
      </c>
      <c r="H65" s="42">
        <f>'ET workings 17-18'!H81</f>
        <v>71.290273997863977</v>
      </c>
      <c r="I65" s="42">
        <f>'ET workings 17-18'!I81</f>
        <v>72.545084151017548</v>
      </c>
      <c r="J65" s="42">
        <f>'ET workings 17-18'!J81</f>
        <v>73.873233684502964</v>
      </c>
      <c r="K65" s="42">
        <f>'ET workings 17-18'!K81</f>
        <v>78.740096884256857</v>
      </c>
      <c r="L65" s="28">
        <f t="shared" si="12"/>
        <v>622.09809359398719</v>
      </c>
      <c r="P65" s="42"/>
      <c r="S65" s="42"/>
      <c r="T65" s="42"/>
      <c r="U65" s="42"/>
      <c r="V65" s="109"/>
      <c r="W65" s="42"/>
      <c r="X65" s="42"/>
      <c r="Y65" s="42"/>
      <c r="Z65" s="42"/>
      <c r="AA65" s="42"/>
      <c r="AB65" s="42"/>
      <c r="AC65" s="42"/>
      <c r="AD65" s="42"/>
      <c r="AE65" s="50"/>
      <c r="AF65" s="109"/>
      <c r="AG65" s="109"/>
    </row>
    <row r="66" spans="1:33">
      <c r="C66" s="11" t="s">
        <v>103</v>
      </c>
      <c r="D66" s="43">
        <f>'ET workings 17-18'!D76+'ET workings 17-18'!D77</f>
        <v>960.39483814677112</v>
      </c>
      <c r="E66" s="43">
        <f>'ET workings 17-18'!E76+'ET workings 17-18'!E77</f>
        <v>993.02705807922939</v>
      </c>
      <c r="F66" s="43">
        <f>'ET workings 17-18'!F76+'ET workings 17-18'!F77</f>
        <v>1028.7146054152795</v>
      </c>
      <c r="G66" s="43">
        <f>'ET workings 17-18'!G76+'ET workings 17-18'!G77</f>
        <v>1071.4311000303953</v>
      </c>
      <c r="H66" s="43">
        <f>'ET workings 17-18'!H76+'ET workings 17-18'!H77</f>
        <v>1109.6697718269022</v>
      </c>
      <c r="I66" s="43">
        <f>'ET workings 17-18'!I76+'ET workings 17-18'!I77</f>
        <v>1148.6096120849179</v>
      </c>
      <c r="J66" s="43">
        <f>'ET workings 17-18'!J76+'ET workings 17-18'!J77</f>
        <v>1173.1799717305896</v>
      </c>
      <c r="K66" s="43">
        <f>'ET workings 17-18'!K76+'ET workings 17-18'!K77</f>
        <v>1188.0691965888341</v>
      </c>
      <c r="L66" s="28">
        <f t="shared" si="12"/>
        <v>8673.0961539029195</v>
      </c>
      <c r="P66" s="42"/>
      <c r="S66" s="42"/>
      <c r="T66" s="42"/>
      <c r="U66" s="42"/>
      <c r="V66" s="109"/>
      <c r="W66" s="42"/>
      <c r="X66" s="42"/>
      <c r="Y66" s="42"/>
      <c r="Z66" s="42"/>
      <c r="AA66" s="42"/>
      <c r="AB66" s="42"/>
      <c r="AC66" s="42"/>
      <c r="AD66" s="42"/>
      <c r="AE66" s="50"/>
      <c r="AF66" s="109"/>
      <c r="AG66" s="109"/>
    </row>
    <row r="67" spans="1:33">
      <c r="C67" s="10" t="s">
        <v>168</v>
      </c>
      <c r="D67" s="42">
        <f>'ET workings 17-18'!D86</f>
        <v>13.751034124367685</v>
      </c>
      <c r="E67" s="42">
        <f>'ET workings 17-18'!E86</f>
        <v>13.274690050778315</v>
      </c>
      <c r="F67" s="42">
        <f>'ET workings 17-18'!F86</f>
        <v>12.798257977175346</v>
      </c>
      <c r="G67" s="42">
        <f>'ET workings 17-18'!G86</f>
        <v>0</v>
      </c>
      <c r="H67" s="42">
        <f>'ET workings 17-18'!H86</f>
        <v>0</v>
      </c>
      <c r="I67" s="42">
        <f>'ET workings 17-18'!I86</f>
        <v>0</v>
      </c>
      <c r="J67" s="42">
        <f>'ET workings 17-18'!J86</f>
        <v>0</v>
      </c>
      <c r="K67" s="42">
        <f>'ET workings 17-18'!K86</f>
        <v>0</v>
      </c>
      <c r="L67" s="28">
        <f t="shared" si="12"/>
        <v>39.823982152321349</v>
      </c>
      <c r="P67" s="42"/>
      <c r="S67" s="42"/>
      <c r="T67" s="42"/>
      <c r="U67" s="42"/>
      <c r="V67" s="109"/>
      <c r="W67" s="42"/>
      <c r="X67" s="42"/>
      <c r="Y67" s="42"/>
      <c r="Z67" s="42"/>
      <c r="AA67" s="42"/>
      <c r="AB67" s="42"/>
      <c r="AC67" s="42"/>
      <c r="AD67" s="42"/>
      <c r="AE67" s="50"/>
      <c r="AF67" s="109"/>
      <c r="AG67" s="109"/>
    </row>
    <row r="68" spans="1:33">
      <c r="C68" s="11" t="s">
        <v>169</v>
      </c>
      <c r="D68" s="43">
        <f>'ET workings 17-18'!D149+'ET workings 17-18'!D88-'ET workings 17-18'!D147</f>
        <v>45.227617148338091</v>
      </c>
      <c r="E68" s="43">
        <f>'ET workings 17-18'!E149+'ET workings 17-18'!E88-'ET workings 17-18'!E147</f>
        <v>45.772599700352401</v>
      </c>
      <c r="F68" s="43">
        <f>'ET workings 17-18'!F149+'ET workings 17-18'!F88-'ET workings 17-18'!F147</f>
        <v>46.828621067377675</v>
      </c>
      <c r="G68" s="43">
        <f>'ET workings 17-18'!G149+'ET workings 17-18'!G88-'ET workings 17-18'!G147</f>
        <v>46.363697326106404</v>
      </c>
      <c r="H68" s="43">
        <f>'ET workings 17-18'!H149+'ET workings 17-18'!H88-'ET workings 17-18'!H147</f>
        <v>48.139238219621106</v>
      </c>
      <c r="I68" s="43">
        <f>'ET workings 17-18'!I149+'ET workings 17-18'!I88-'ET workings 17-18'!I147</f>
        <v>49.783185782855867</v>
      </c>
      <c r="J68" s="43">
        <f>'ET workings 17-18'!J149+'ET workings 17-18'!J88-'ET workings 17-18'!J147</f>
        <v>51.641573179403466</v>
      </c>
      <c r="K68" s="43">
        <f>'ET workings 17-18'!K149+'ET workings 17-18'!K88-'ET workings 17-18'!K147</f>
        <v>53.580558903176424</v>
      </c>
      <c r="L68" s="28">
        <f t="shared" si="12"/>
        <v>387.33709132723141</v>
      </c>
      <c r="P68" s="42"/>
      <c r="S68" s="42"/>
      <c r="T68" s="42"/>
      <c r="U68" s="42"/>
      <c r="V68" s="109"/>
      <c r="W68" s="42"/>
      <c r="X68" s="42"/>
      <c r="Y68" s="42"/>
      <c r="Z68" s="42"/>
      <c r="AA68" s="42"/>
      <c r="AB68" s="42"/>
      <c r="AC68" s="42"/>
      <c r="AD68" s="42"/>
      <c r="AE68" s="50"/>
      <c r="AF68" s="109"/>
      <c r="AG68" s="109"/>
    </row>
    <row r="69" spans="1:33" ht="13.8" thickBot="1">
      <c r="C69" s="23" t="s">
        <v>107</v>
      </c>
      <c r="D69" s="44">
        <f>SUM(D60:D68)</f>
        <v>1455.3873625857402</v>
      </c>
      <c r="E69" s="44">
        <f t="shared" ref="E69:K69" si="13">SUM(E60:E68)</f>
        <v>1442.5467210423262</v>
      </c>
      <c r="F69" s="44">
        <f t="shared" si="13"/>
        <v>1489.8803256258309</v>
      </c>
      <c r="G69" s="44">
        <f t="shared" si="13"/>
        <v>1565.7193513858888</v>
      </c>
      <c r="H69" s="44">
        <f t="shared" si="13"/>
        <v>1565.5756465630736</v>
      </c>
      <c r="I69" s="44">
        <f t="shared" si="13"/>
        <v>1606.4952072814299</v>
      </c>
      <c r="J69" s="44">
        <f t="shared" si="13"/>
        <v>1608.4110765100504</v>
      </c>
      <c r="K69" s="44">
        <f t="shared" si="13"/>
        <v>1601.0642364009109</v>
      </c>
      <c r="L69" s="28">
        <f t="shared" ref="L69" si="14">SUM(D69:K69)</f>
        <v>12335.079927395251</v>
      </c>
      <c r="P69" s="50"/>
      <c r="S69" s="42"/>
      <c r="T69" s="42"/>
      <c r="U69" s="42"/>
      <c r="V69" s="109"/>
      <c r="W69" s="42"/>
      <c r="X69" s="42"/>
      <c r="Y69" s="42"/>
      <c r="Z69" s="42"/>
      <c r="AA69" s="42"/>
      <c r="AB69" s="42"/>
      <c r="AC69" s="42"/>
      <c r="AD69" s="42"/>
      <c r="AE69" s="50"/>
      <c r="AF69" s="109"/>
      <c r="AG69" s="109"/>
    </row>
    <row r="70" spans="1:33" ht="13.8" thickBot="1">
      <c r="L70" s="28"/>
      <c r="S70" s="42"/>
      <c r="T70" s="42"/>
      <c r="U70" s="42"/>
      <c r="V70" s="109"/>
      <c r="W70" s="42"/>
      <c r="X70" s="42"/>
      <c r="Y70" s="42"/>
      <c r="Z70" s="42"/>
      <c r="AA70" s="42"/>
      <c r="AB70" s="42"/>
      <c r="AC70" s="42"/>
      <c r="AD70" s="42"/>
      <c r="AE70" s="50"/>
      <c r="AF70" s="109"/>
      <c r="AG70" s="109"/>
    </row>
    <row r="71" spans="1:33" ht="13.8" thickBot="1">
      <c r="C71" s="7" t="s">
        <v>58</v>
      </c>
      <c r="D71" s="8" t="s">
        <v>59</v>
      </c>
      <c r="E71" s="8" t="s">
        <v>60</v>
      </c>
      <c r="F71" s="8" t="s">
        <v>61</v>
      </c>
      <c r="G71" s="8" t="s">
        <v>62</v>
      </c>
      <c r="H71" s="8" t="s">
        <v>63</v>
      </c>
      <c r="I71" s="8" t="s">
        <v>64</v>
      </c>
      <c r="J71" s="8" t="s">
        <v>65</v>
      </c>
      <c r="K71" s="8" t="s">
        <v>66</v>
      </c>
      <c r="L71" s="28"/>
      <c r="P71" s="204"/>
      <c r="S71" s="42"/>
      <c r="T71" s="42"/>
      <c r="U71" s="42"/>
      <c r="V71" s="109"/>
      <c r="W71" s="42"/>
      <c r="X71" s="42"/>
      <c r="Y71" s="42"/>
      <c r="Z71" s="42"/>
      <c r="AA71" s="42"/>
      <c r="AB71" s="42"/>
      <c r="AC71" s="42"/>
      <c r="AD71" s="42"/>
      <c r="AE71" s="50"/>
      <c r="AF71" s="109"/>
      <c r="AG71" s="109"/>
    </row>
    <row r="72" spans="1:33">
      <c r="C72" s="10" t="s">
        <v>392</v>
      </c>
      <c r="D72" s="42">
        <f>'ET workings 17-18'!D91+'ET workings 17-18'!D86</f>
        <v>1332.38736258574</v>
      </c>
      <c r="E72" s="42">
        <f>'ET workings 17-18'!E91+'ET workings 17-18'!E86</f>
        <v>1319.7467210423263</v>
      </c>
      <c r="F72" s="42">
        <f>'ET workings 17-18'!F91+'ET workings 17-18'!F86</f>
        <v>1360.0803256258307</v>
      </c>
      <c r="G72" s="42">
        <f>'ET workings 17-18'!G91+'ET workings 17-18'!G86</f>
        <v>1440.1193513858889</v>
      </c>
      <c r="H72" s="42">
        <f>'ET workings 17-18'!H91+'ET workings 17-18'!H86</f>
        <v>1438.2756465630735</v>
      </c>
      <c r="I72" s="42">
        <f>'ET workings 17-18'!I91+'ET workings 17-18'!I86</f>
        <v>1477.89520728143</v>
      </c>
      <c r="J72" s="42">
        <f>'ET workings 17-18'!J91+'ET workings 17-18'!J86</f>
        <v>1478.2110765100506</v>
      </c>
      <c r="K72" s="42">
        <f>'ET workings 17-18'!K91+'ET workings 17-18'!K86</f>
        <v>1469.3642364009108</v>
      </c>
      <c r="L72" s="28">
        <f t="shared" si="12"/>
        <v>11316.079927395251</v>
      </c>
      <c r="P72" s="42"/>
      <c r="S72" s="42"/>
      <c r="T72" s="42"/>
      <c r="U72" s="42"/>
      <c r="V72" s="109"/>
      <c r="W72" s="42"/>
      <c r="X72" s="42"/>
      <c r="Y72" s="42"/>
      <c r="Z72" s="42"/>
      <c r="AA72" s="42"/>
      <c r="AB72" s="42"/>
      <c r="AC72" s="42"/>
      <c r="AD72" s="42"/>
      <c r="AE72" s="50"/>
      <c r="AF72" s="109"/>
      <c r="AG72" s="109"/>
    </row>
    <row r="73" spans="1:33">
      <c r="C73" s="11" t="s">
        <v>175</v>
      </c>
      <c r="D73" s="43">
        <f>'ET workings 17-18'!D88</f>
        <v>123</v>
      </c>
      <c r="E73" s="43">
        <f>'ET workings 17-18'!E88</f>
        <v>122.8</v>
      </c>
      <c r="F73" s="43">
        <f>'ET workings 17-18'!F88</f>
        <v>129.80000000000001</v>
      </c>
      <c r="G73" s="43">
        <f>'ET workings 17-18'!G88</f>
        <v>125.6</v>
      </c>
      <c r="H73" s="43">
        <f>'ET workings 17-18'!H88</f>
        <v>127.3</v>
      </c>
      <c r="I73" s="43">
        <f>'ET workings 17-18'!I88</f>
        <v>128.6</v>
      </c>
      <c r="J73" s="43">
        <f>'ET workings 17-18'!J88</f>
        <v>130.19999999999999</v>
      </c>
      <c r="K73" s="43">
        <f>'ET workings 17-18'!K88</f>
        <v>131.69999999999999</v>
      </c>
      <c r="L73" s="28">
        <f t="shared" si="12"/>
        <v>1019</v>
      </c>
      <c r="N73" s="132" t="s">
        <v>301</v>
      </c>
      <c r="P73" s="42"/>
      <c r="S73" s="42"/>
      <c r="T73" s="42"/>
      <c r="U73" s="42"/>
      <c r="V73" s="109"/>
      <c r="W73" s="42"/>
      <c r="X73" s="42"/>
      <c r="Y73" s="42"/>
      <c r="Z73" s="42"/>
      <c r="AA73" s="42"/>
      <c r="AB73" s="42"/>
      <c r="AC73" s="42"/>
      <c r="AD73" s="42"/>
      <c r="AE73" s="50"/>
      <c r="AF73" s="109"/>
      <c r="AG73" s="109"/>
    </row>
    <row r="74" spans="1:33" ht="13.8" thickBot="1">
      <c r="C74" s="23" t="s">
        <v>107</v>
      </c>
      <c r="D74" s="44">
        <f t="shared" ref="D74:L74" si="15">D72+D73</f>
        <v>1455.38736258574</v>
      </c>
      <c r="E74" s="44">
        <f t="shared" si="15"/>
        <v>1442.5467210423262</v>
      </c>
      <c r="F74" s="44">
        <f t="shared" si="15"/>
        <v>1489.8803256258307</v>
      </c>
      <c r="G74" s="44">
        <f t="shared" si="15"/>
        <v>1565.7193513858888</v>
      </c>
      <c r="H74" s="44">
        <f t="shared" si="15"/>
        <v>1565.5756465630734</v>
      </c>
      <c r="I74" s="44">
        <f t="shared" si="15"/>
        <v>1606.4952072814299</v>
      </c>
      <c r="J74" s="44">
        <f t="shared" si="15"/>
        <v>1608.4110765100506</v>
      </c>
      <c r="K74" s="44">
        <f t="shared" si="15"/>
        <v>1601.0642364009109</v>
      </c>
      <c r="L74" s="28">
        <f t="shared" si="15"/>
        <v>12335.079927395251</v>
      </c>
      <c r="N74" s="133">
        <f>(K74/D74)^(1/7)-1</f>
        <v>1.372135139230779E-2</v>
      </c>
      <c r="P74" s="50"/>
      <c r="S74" s="50"/>
      <c r="T74" s="50"/>
      <c r="U74" s="50"/>
      <c r="V74" s="109"/>
      <c r="W74" s="50"/>
      <c r="X74" s="50"/>
      <c r="Y74" s="50"/>
      <c r="Z74" s="50"/>
      <c r="AA74" s="50"/>
      <c r="AB74" s="50"/>
      <c r="AC74" s="50"/>
      <c r="AD74" s="50"/>
      <c r="AE74" s="50"/>
      <c r="AF74" s="109"/>
      <c r="AG74" s="109"/>
    </row>
    <row r="75" spans="1:33">
      <c r="D75" s="53"/>
      <c r="E75" s="53"/>
      <c r="F75" s="53"/>
      <c r="G75" s="53"/>
      <c r="H75" s="53"/>
      <c r="I75" s="53"/>
      <c r="J75" s="53"/>
      <c r="K75" s="53"/>
      <c r="L75" s="53"/>
      <c r="P75" s="53"/>
      <c r="AE75" s="38"/>
    </row>
    <row r="76" spans="1:33">
      <c r="D76" s="53"/>
      <c r="E76" s="53"/>
      <c r="F76" s="53"/>
      <c r="G76" s="53"/>
      <c r="H76" s="53"/>
      <c r="I76" s="53"/>
      <c r="J76" s="53"/>
      <c r="K76" s="53"/>
      <c r="L76" s="53"/>
      <c r="AE76" s="38"/>
    </row>
    <row r="77" spans="1:33">
      <c r="D77" s="53"/>
      <c r="E77" s="53"/>
      <c r="F77" s="53"/>
      <c r="G77" s="53"/>
      <c r="H77" s="53"/>
      <c r="I77" s="53"/>
      <c r="J77" s="53"/>
      <c r="K77" s="53"/>
      <c r="L77" s="53"/>
      <c r="AE77" s="38"/>
    </row>
    <row r="78" spans="1:33" ht="13.8" thickBot="1"/>
    <row r="79" spans="1:33" ht="13.8" thickBot="1">
      <c r="A79" s="38"/>
      <c r="C79" s="14" t="s">
        <v>58</v>
      </c>
      <c r="D79" s="15" t="s">
        <v>59</v>
      </c>
      <c r="E79" s="15" t="s">
        <v>60</v>
      </c>
      <c r="F79" s="15" t="s">
        <v>61</v>
      </c>
      <c r="G79" s="15" t="s">
        <v>62</v>
      </c>
      <c r="H79" s="15" t="s">
        <v>63</v>
      </c>
      <c r="I79" s="15" t="s">
        <v>64</v>
      </c>
      <c r="J79" s="15" t="s">
        <v>65</v>
      </c>
      <c r="K79" s="15" t="s">
        <v>66</v>
      </c>
      <c r="L79" s="15" t="s">
        <v>118</v>
      </c>
      <c r="P79" s="205"/>
    </row>
    <row r="80" spans="1:33">
      <c r="C80" s="124"/>
      <c r="D80" s="125"/>
      <c r="E80" s="125"/>
      <c r="F80" s="125"/>
      <c r="G80" s="125"/>
      <c r="H80" s="125"/>
      <c r="I80" s="125"/>
      <c r="J80" s="125"/>
      <c r="K80" s="125"/>
      <c r="L80" s="125"/>
      <c r="P80" s="206"/>
    </row>
    <row r="81" spans="1:16">
      <c r="C81" s="17" t="str">
        <f>C3</f>
        <v>TO capex - load-related</v>
      </c>
      <c r="D81" s="165">
        <f>'ET workings 17-18'!D15</f>
        <v>241.91835100747039</v>
      </c>
      <c r="E81" s="165">
        <f>'ET workings 17-18'!E15</f>
        <v>206.22285805015076</v>
      </c>
      <c r="F81" s="165">
        <f>'ET workings 17-18'!F15</f>
        <v>183.4765697039528</v>
      </c>
      <c r="G81" s="165">
        <f>'ET workings 17-18'!G15</f>
        <v>187.40173539185469</v>
      </c>
      <c r="H81" s="165">
        <f>'ET workings 17-18'!H15</f>
        <v>142.92705896695065</v>
      </c>
      <c r="I81" s="165">
        <f>'ET workings 17-18'!I15</f>
        <v>124.46128971626086</v>
      </c>
      <c r="J81" s="165">
        <f>'ET workings 17-18'!J15</f>
        <v>44.072350609794569</v>
      </c>
      <c r="K81" s="165">
        <f>'ET workings 17-18'!K15</f>
        <v>28.383548641119383</v>
      </c>
      <c r="L81" s="165">
        <f>SUM(D81:K81)</f>
        <v>1158.8637620875541</v>
      </c>
      <c r="M81" s="53">
        <f>E3</f>
        <v>1.1588637620875542</v>
      </c>
      <c r="N81" s="53">
        <f>E3-L81/1000</f>
        <v>0</v>
      </c>
      <c r="P81" s="165"/>
    </row>
    <row r="82" spans="1:16">
      <c r="C82" s="17" t="str">
        <f>C4</f>
        <v>TO capex - non-load related</v>
      </c>
      <c r="D82" s="165">
        <f>'ET workings 17-18'!D16</f>
        <v>506.11836500601339</v>
      </c>
      <c r="E82" s="165">
        <f>'ET workings 17-18'!E16</f>
        <v>499.20409814951984</v>
      </c>
      <c r="F82" s="165">
        <f>'ET workings 17-18'!F16</f>
        <v>485.07329761796098</v>
      </c>
      <c r="G82" s="165">
        <f>'ET workings 17-18'!G16</f>
        <v>489.14143160750723</v>
      </c>
      <c r="H82" s="165">
        <f>'ET workings 17-18'!H16</f>
        <v>622.61892466629627</v>
      </c>
      <c r="I82" s="165">
        <f>'ET workings 17-18'!I16</f>
        <v>715.79753719305393</v>
      </c>
      <c r="J82" s="165">
        <f>'ET workings 17-18'!J16</f>
        <v>784.25081046797004</v>
      </c>
      <c r="K82" s="165">
        <f>'ET workings 17-18'!K16</f>
        <v>704.21301595565285</v>
      </c>
      <c r="L82" s="165">
        <f>SUM(D82:K82)</f>
        <v>4806.4174806639749</v>
      </c>
      <c r="M82" s="53">
        <f>E4</f>
        <v>4.806417480663975</v>
      </c>
      <c r="N82" s="53">
        <f>E4-L82/1000</f>
        <v>0</v>
      </c>
      <c r="P82" s="165"/>
    </row>
    <row r="83" spans="1:16">
      <c r="C83" s="18" t="str">
        <f>C5</f>
        <v xml:space="preserve">Uncertainty mechanism capex </v>
      </c>
      <c r="D83" s="166">
        <f>'ET workings 17-18'!D20</f>
        <v>669.91860065738774</v>
      </c>
      <c r="E83" s="166">
        <f>'ET workings 17-18'!E20</f>
        <v>673.85325590994876</v>
      </c>
      <c r="F83" s="166">
        <f>'ET workings 17-18'!F20</f>
        <v>620.76065576751682</v>
      </c>
      <c r="G83" s="166">
        <f>'ET workings 17-18'!G20</f>
        <v>581.36779364217136</v>
      </c>
      <c r="H83" s="166">
        <f>'ET workings 17-18'!H20</f>
        <v>316.78762224396468</v>
      </c>
      <c r="I83" s="166">
        <f>'ET workings 17-18'!I20</f>
        <v>227.12358350445467</v>
      </c>
      <c r="J83" s="166">
        <f>'ET workings 17-18'!J20</f>
        <v>94.019391932813818</v>
      </c>
      <c r="K83" s="166">
        <f>'ET workings 17-18'!K20</f>
        <v>34.786470994134092</v>
      </c>
      <c r="L83" s="166">
        <f t="shared" ref="L83:L92" si="16">SUM(D83:K83)</f>
        <v>3218.6173746523918</v>
      </c>
      <c r="M83" s="53">
        <f>E5</f>
        <v>3.2186173746523918</v>
      </c>
      <c r="N83" s="53">
        <f>E5-L83/1000</f>
        <v>0</v>
      </c>
      <c r="P83" s="165"/>
    </row>
    <row r="84" spans="1:16">
      <c r="C84" s="17" t="str">
        <f>C6</f>
        <v xml:space="preserve">Uncertainty mechanism opex </v>
      </c>
      <c r="D84" s="165">
        <f>'ET workings 17-18'!D21</f>
        <v>1.0854967381420191</v>
      </c>
      <c r="E84" s="165">
        <f>'ET workings 17-18'!E21</f>
        <v>3.1874299535058723</v>
      </c>
      <c r="F84" s="165">
        <f>'ET workings 17-18'!F21</f>
        <v>8.7933031383547409</v>
      </c>
      <c r="G84" s="165">
        <f>'ET workings 17-18'!G21</f>
        <v>14.449105184117492</v>
      </c>
      <c r="H84" s="165">
        <f>'ET workings 17-18'!H21</f>
        <v>44.98161721307374</v>
      </c>
      <c r="I84" s="165">
        <f>'ET workings 17-18'!I21</f>
        <v>56.115444380322963</v>
      </c>
      <c r="J84" s="165">
        <f>'ET workings 17-18'!J21</f>
        <v>33.694808241742152</v>
      </c>
      <c r="K84" s="165">
        <f>'ET workings 17-18'!K21</f>
        <v>5.1565330854912359</v>
      </c>
      <c r="L84" s="165">
        <f t="shared" si="16"/>
        <v>167.46373793475024</v>
      </c>
      <c r="M84" s="53">
        <f>E6</f>
        <v>0.16746373793475025</v>
      </c>
      <c r="N84" s="53">
        <f>E6-L84/1000</f>
        <v>0</v>
      </c>
      <c r="P84" s="165"/>
    </row>
    <row r="85" spans="1:16">
      <c r="C85" s="18" t="str">
        <f>C7</f>
        <v xml:space="preserve">Controllable opex </v>
      </c>
      <c r="D85" s="158">
        <f>'ET workings 17-18'!D17</f>
        <v>192.21282629439594</v>
      </c>
      <c r="E85" s="158">
        <f>'ET workings 17-18'!E17</f>
        <v>196.41204072355288</v>
      </c>
      <c r="F85" s="158">
        <f>'ET workings 17-18'!F17</f>
        <v>203.04710659109347</v>
      </c>
      <c r="G85" s="158">
        <f>'ET workings 17-18'!G17</f>
        <v>204.35171680440774</v>
      </c>
      <c r="H85" s="158">
        <f>'ET workings 17-18'!H17</f>
        <v>205.72203973741003</v>
      </c>
      <c r="I85" s="158">
        <f>'ET workings 17-18'!I17</f>
        <v>206.0644404839947</v>
      </c>
      <c r="J85" s="158">
        <f>'ET workings 17-18'!J17</f>
        <v>207.83890997781467</v>
      </c>
      <c r="K85" s="158">
        <f>'ET workings 17-18'!K17</f>
        <v>208.20405529640865</v>
      </c>
      <c r="L85" s="158">
        <f t="shared" si="16"/>
        <v>1623.853135909078</v>
      </c>
      <c r="M85" s="53">
        <f>E7</f>
        <v>1.623853135909078</v>
      </c>
      <c r="N85" s="53">
        <f>E7-L85/1000</f>
        <v>0</v>
      </c>
      <c r="P85" s="168"/>
    </row>
    <row r="86" spans="1:16">
      <c r="A86" s="116"/>
      <c r="C86" s="18" t="s">
        <v>47</v>
      </c>
      <c r="D86" s="158">
        <f>D34-D28</f>
        <v>-219.00124770799925</v>
      </c>
      <c r="E86" s="158">
        <f t="shared" ref="E86:K86" si="17">E34-E28</f>
        <v>-361.27787630899888</v>
      </c>
      <c r="F86" s="158">
        <f t="shared" si="17"/>
        <v>-284.58168407281005</v>
      </c>
      <c r="G86" s="158">
        <f t="shared" si="17"/>
        <v>0</v>
      </c>
      <c r="H86" s="158">
        <f t="shared" si="17"/>
        <v>0</v>
      </c>
      <c r="I86" s="158">
        <f t="shared" si="17"/>
        <v>0</v>
      </c>
      <c r="J86" s="158">
        <f t="shared" si="17"/>
        <v>0</v>
      </c>
      <c r="K86" s="158">
        <f t="shared" si="17"/>
        <v>0</v>
      </c>
      <c r="L86" s="158">
        <f t="shared" si="16"/>
        <v>-864.86080808980819</v>
      </c>
      <c r="M86" s="53"/>
      <c r="N86" s="53"/>
      <c r="P86" s="168"/>
    </row>
    <row r="87" spans="1:16">
      <c r="C87" s="19" t="str">
        <f>C9</f>
        <v xml:space="preserve">TO Totex </v>
      </c>
      <c r="D87" s="167">
        <f>SUM(D81:D86)</f>
        <v>1392.2523919954101</v>
      </c>
      <c r="E87" s="167">
        <f t="shared" ref="E87:K87" si="18">SUM(E81:E86)</f>
        <v>1217.6018064776792</v>
      </c>
      <c r="F87" s="167">
        <f t="shared" si="18"/>
        <v>1216.569248746069</v>
      </c>
      <c r="G87" s="167">
        <f t="shared" si="18"/>
        <v>1476.7117826300585</v>
      </c>
      <c r="H87" s="167">
        <f t="shared" si="18"/>
        <v>1333.0372628276955</v>
      </c>
      <c r="I87" s="167">
        <f t="shared" si="18"/>
        <v>1329.5622952780873</v>
      </c>
      <c r="J87" s="167">
        <f t="shared" si="18"/>
        <v>1163.8762712301352</v>
      </c>
      <c r="K87" s="167">
        <f t="shared" si="18"/>
        <v>980.74362397280629</v>
      </c>
      <c r="L87" s="167">
        <f t="shared" si="16"/>
        <v>10110.354683157942</v>
      </c>
      <c r="M87" s="53">
        <f>E9</f>
        <v>10.11035468315794</v>
      </c>
      <c r="N87" s="53">
        <f>E9-L87/1000</f>
        <v>0</v>
      </c>
      <c r="P87" s="167"/>
    </row>
    <row r="88" spans="1:16">
      <c r="C88" s="18" t="str">
        <f>C10</f>
        <v xml:space="preserve">Non controllable opex </v>
      </c>
      <c r="D88" s="166">
        <f>'ET workings 17-18'!D26</f>
        <v>94.24723304227993</v>
      </c>
      <c r="E88" s="166">
        <f>'ET workings 17-18'!E26</f>
        <v>87.678224204681584</v>
      </c>
      <c r="F88" s="166">
        <f>'ET workings 17-18'!F26</f>
        <v>87.676243763178761</v>
      </c>
      <c r="G88" s="166">
        <f>'ET workings 17-18'!G26</f>
        <v>87.677481779017953</v>
      </c>
      <c r="H88" s="166">
        <f>'ET workings 17-18'!H26</f>
        <v>87.676244486345595</v>
      </c>
      <c r="I88" s="166">
        <f>'ET workings 17-18'!I26</f>
        <v>87.676244488148086</v>
      </c>
      <c r="J88" s="166">
        <f>'ET workings 17-18'!J26</f>
        <v>87.676244492723825</v>
      </c>
      <c r="K88" s="166">
        <f>'ET workings 17-18'!K26</f>
        <v>87.676244462267519</v>
      </c>
      <c r="L88" s="166">
        <f t="shared" si="16"/>
        <v>707.98416071864324</v>
      </c>
      <c r="M88" s="53">
        <f>E10</f>
        <v>0.70798416071864323</v>
      </c>
      <c r="N88" s="53">
        <f>E10-L88/1000</f>
        <v>0</v>
      </c>
      <c r="P88" s="165"/>
    </row>
    <row r="89" spans="1:16">
      <c r="C89" s="17"/>
      <c r="D89" s="168"/>
      <c r="E89" s="168"/>
      <c r="F89" s="168"/>
      <c r="G89" s="168"/>
      <c r="H89" s="168"/>
      <c r="I89" s="168"/>
      <c r="J89" s="168"/>
      <c r="K89" s="168"/>
      <c r="L89" s="165"/>
      <c r="M89" s="53"/>
      <c r="N89" s="53"/>
      <c r="P89" s="168"/>
    </row>
    <row r="90" spans="1:16">
      <c r="C90" s="18" t="str">
        <f>C12</f>
        <v xml:space="preserve">SO capex </v>
      </c>
      <c r="D90" s="158">
        <f>'ET workings 17-18'!D8</f>
        <v>39.230261993822481</v>
      </c>
      <c r="E90" s="158">
        <f>'ET workings 17-18'!E8</f>
        <v>34.208586772300464</v>
      </c>
      <c r="F90" s="158">
        <f>'ET workings 17-18'!F8</f>
        <v>29.40934615713995</v>
      </c>
      <c r="G90" s="158">
        <f>'ET workings 17-18'!G8</f>
        <v>27.165060319864111</v>
      </c>
      <c r="H90" s="158">
        <f>'ET workings 17-18'!H8</f>
        <v>29.591699211758403</v>
      </c>
      <c r="I90" s="158">
        <f>'ET workings 17-18'!I8</f>
        <v>20.377561078577621</v>
      </c>
      <c r="J90" s="158">
        <f>'ET workings 17-18'!J8</f>
        <v>25.429651204161818</v>
      </c>
      <c r="K90" s="158">
        <f>'ET workings 17-18'!K8</f>
        <v>25.40838563392731</v>
      </c>
      <c r="L90" s="158">
        <f t="shared" si="16"/>
        <v>230.82055237155214</v>
      </c>
      <c r="M90" s="53">
        <f>E12</f>
        <v>0.23082055237155213</v>
      </c>
      <c r="N90" s="53">
        <f>E12-L90/1000</f>
        <v>0</v>
      </c>
      <c r="P90" s="168"/>
    </row>
    <row r="91" spans="1:16">
      <c r="C91" s="17" t="str">
        <f>C13</f>
        <v xml:space="preserve">Controllable opex </v>
      </c>
      <c r="D91" s="165">
        <f>'ET workings 17-18'!D7</f>
        <v>73.775027711210655</v>
      </c>
      <c r="E91" s="165">
        <f>'ET workings 17-18'!E7</f>
        <v>74.857370793520886</v>
      </c>
      <c r="F91" s="165">
        <f>'ET workings 17-18'!F7</f>
        <v>77.005994132717234</v>
      </c>
      <c r="G91" s="165">
        <f>'ET workings 17-18'!G7</f>
        <v>78.582137772280092</v>
      </c>
      <c r="H91" s="165">
        <f>'ET workings 17-18'!H7</f>
        <v>79.36050736397776</v>
      </c>
      <c r="I91" s="165">
        <f>'ET workings 17-18'!I7</f>
        <v>79.998881974263142</v>
      </c>
      <c r="J91" s="165">
        <f>'ET workings 17-18'!J7</f>
        <v>81.754729960219521</v>
      </c>
      <c r="K91" s="165">
        <f>'ET workings 17-18'!K7</f>
        <v>83.672873632490891</v>
      </c>
      <c r="L91" s="165">
        <f t="shared" si="16"/>
        <v>629.00752334068022</v>
      </c>
      <c r="M91" s="53">
        <f>E13</f>
        <v>0.62900752334068022</v>
      </c>
      <c r="N91" s="53">
        <f>E13-L91/1000</f>
        <v>0</v>
      </c>
      <c r="P91" s="165"/>
    </row>
    <row r="92" spans="1:16">
      <c r="A92" s="116"/>
      <c r="C92" s="18" t="s">
        <v>47</v>
      </c>
      <c r="D92" s="158">
        <f>D130-D124</f>
        <v>-7.2796600358916805</v>
      </c>
      <c r="E92" s="158">
        <f t="shared" ref="E92:K92" si="19">E130-E124</f>
        <v>-0.19649827954754073</v>
      </c>
      <c r="F92" s="158">
        <f t="shared" si="19"/>
        <v>-0.37900069509463208</v>
      </c>
      <c r="G92" s="158">
        <f t="shared" si="19"/>
        <v>0</v>
      </c>
      <c r="H92" s="158">
        <f t="shared" si="19"/>
        <v>0</v>
      </c>
      <c r="I92" s="158">
        <f t="shared" si="19"/>
        <v>0</v>
      </c>
      <c r="J92" s="158">
        <f t="shared" si="19"/>
        <v>0</v>
      </c>
      <c r="K92" s="158">
        <f t="shared" si="19"/>
        <v>0</v>
      </c>
      <c r="L92" s="158">
        <f t="shared" si="16"/>
        <v>-7.8551590105338533</v>
      </c>
      <c r="M92" s="53"/>
      <c r="N92" s="53"/>
      <c r="P92" s="168"/>
    </row>
    <row r="93" spans="1:16" ht="13.8" thickBot="1">
      <c r="C93" s="23" t="str">
        <f>C15</f>
        <v xml:space="preserve">SO Totex </v>
      </c>
      <c r="D93" s="44">
        <f>SUM(D90:D92)</f>
        <v>105.72562966914145</v>
      </c>
      <c r="E93" s="44">
        <f t="shared" ref="E93:L93" si="20">SUM(E90:E92)</f>
        <v>108.86945928627381</v>
      </c>
      <c r="F93" s="44">
        <f t="shared" si="20"/>
        <v>106.03633959476255</v>
      </c>
      <c r="G93" s="44">
        <f t="shared" si="20"/>
        <v>105.7471980921442</v>
      </c>
      <c r="H93" s="44">
        <f t="shared" si="20"/>
        <v>108.95220657573617</v>
      </c>
      <c r="I93" s="44">
        <f t="shared" si="20"/>
        <v>100.37644305284076</v>
      </c>
      <c r="J93" s="44">
        <f t="shared" si="20"/>
        <v>107.18438116438134</v>
      </c>
      <c r="K93" s="44">
        <f t="shared" si="20"/>
        <v>109.0812592664182</v>
      </c>
      <c r="L93" s="44">
        <f t="shared" si="20"/>
        <v>851.97291670169852</v>
      </c>
      <c r="M93" s="53">
        <f>E15</f>
        <v>0.85197291670169839</v>
      </c>
      <c r="N93" s="53">
        <f>E15-L93/1000</f>
        <v>0</v>
      </c>
      <c r="P93" s="50"/>
    </row>
    <row r="94" spans="1:16">
      <c r="A94" s="38" t="s">
        <v>378</v>
      </c>
    </row>
    <row r="95" spans="1:16" ht="13.8" thickBot="1">
      <c r="C95" s="38" t="s">
        <v>140</v>
      </c>
    </row>
    <row r="96" spans="1:16" ht="13.8" thickBot="1">
      <c r="C96" s="7" t="s">
        <v>58</v>
      </c>
      <c r="D96" s="8" t="s">
        <v>59</v>
      </c>
      <c r="E96" s="8" t="s">
        <v>60</v>
      </c>
      <c r="F96" s="8" t="s">
        <v>61</v>
      </c>
      <c r="G96" s="8" t="s">
        <v>62</v>
      </c>
      <c r="H96" s="8" t="s">
        <v>63</v>
      </c>
      <c r="I96" s="8" t="s">
        <v>64</v>
      </c>
      <c r="J96" s="8" t="s">
        <v>65</v>
      </c>
      <c r="K96" s="8" t="s">
        <v>66</v>
      </c>
    </row>
    <row r="97" spans="1:11">
      <c r="C97" s="22" t="s">
        <v>91</v>
      </c>
      <c r="D97" s="41">
        <f>'ET workings 17-18'!D130+'ET workings 17-18'!D152</f>
        <v>8865.0145032674482</v>
      </c>
      <c r="E97" s="41">
        <f>'ET workings 17-18'!E130+'ET workings 17-18'!E152</f>
        <v>9323.1012487965927</v>
      </c>
      <c r="F97" s="41">
        <f>'ET workings 17-18'!F130+'ET workings 17-18'!F152</f>
        <v>9776.4717419579647</v>
      </c>
      <c r="G97" s="41">
        <f>'ET workings 17-18'!G130+'ET workings 17-18'!G152</f>
        <v>10200.118983119999</v>
      </c>
      <c r="H97" s="41">
        <f>'ET workings 17-18'!H130+'ET workings 17-18'!H152</f>
        <v>10820.16883579034</v>
      </c>
      <c r="I97" s="41">
        <f>'ET workings 17-18'!I130+'ET workings 17-18'!I152</f>
        <v>11290.036793999539</v>
      </c>
      <c r="J97" s="41">
        <f>'ET workings 17-18'!J130+'ET workings 17-18'!J152</f>
        <v>11731.932651381656</v>
      </c>
      <c r="K97" s="41">
        <f>'ET workings 17-18'!K130+'ET workings 17-18'!K152</f>
        <v>12023.877409679515</v>
      </c>
    </row>
    <row r="98" spans="1:11">
      <c r="C98" s="10" t="s">
        <v>86</v>
      </c>
      <c r="D98" s="42">
        <f>'ET workings 17-18'!D131+'ET workings 17-18'!D153</f>
        <v>1042.5910627376302</v>
      </c>
      <c r="E98" s="42">
        <f>'ET workings 17-18'!E131+'ET workings 17-18'!E153</f>
        <v>1066.1218277559067</v>
      </c>
      <c r="F98" s="42">
        <f>'ET workings 17-18'!F131+'ET workings 17-18'!F153</f>
        <v>1065.8609606495252</v>
      </c>
      <c r="G98" s="42">
        <f>'ET workings 17-18'!G131+'ET workings 17-18'!G153</f>
        <v>1286.3854532732323</v>
      </c>
      <c r="H98" s="42">
        <f>'ET workings 17-18'!H131+'ET workings 17-18'!H153</f>
        <v>1165.0742193788462</v>
      </c>
      <c r="I98" s="42">
        <f>'ET workings 17-18'!I131+'ET workings 17-18'!I153</f>
        <v>1159.6997139916032</v>
      </c>
      <c r="J98" s="42">
        <f>'ET workings 17-18'!J131+'ET workings 17-18'!J153</f>
        <v>1020.7613174594323</v>
      </c>
      <c r="K98" s="42">
        <f>'ET workings 17-18'!K131+'ET workings 17-18'!K153</f>
        <v>865.5691609745287</v>
      </c>
    </row>
    <row r="99" spans="1:11">
      <c r="C99" s="11" t="s">
        <v>87</v>
      </c>
      <c r="D99" s="43">
        <f>'ET workings 17-18'!D132+'ET workings 17-18'!D154</f>
        <v>-584.50431720848701</v>
      </c>
      <c r="E99" s="43">
        <f>'ET workings 17-18'!E132+'ET workings 17-18'!E154</f>
        <v>-612.75133459453548</v>
      </c>
      <c r="F99" s="43">
        <f>'ET workings 17-18'!F132+'ET workings 17-18'!F154</f>
        <v>-642.2137194874889</v>
      </c>
      <c r="G99" s="43">
        <f>'ET workings 17-18'!G132+'ET workings 17-18'!G154</f>
        <v>-666.33560060289381</v>
      </c>
      <c r="H99" s="43">
        <f>'ET workings 17-18'!H132+'ET workings 17-18'!H154</f>
        <v>-695.20626116964786</v>
      </c>
      <c r="I99" s="43">
        <f>'ET workings 17-18'!I132+'ET workings 17-18'!I154</f>
        <v>-717.80385660948605</v>
      </c>
      <c r="J99" s="43">
        <f>'ET workings 17-18'!J132+'ET workings 17-18'!J154</f>
        <v>-728.8165591615749</v>
      </c>
      <c r="K99" s="43">
        <f>'ET workings 17-18'!K132+'ET workings 17-18'!K154</f>
        <v>-735.45801822805333</v>
      </c>
    </row>
    <row r="100" spans="1:11" ht="13.8" thickBot="1">
      <c r="C100" s="13" t="s">
        <v>94</v>
      </c>
      <c r="D100" s="52">
        <f>'ET workings 17-18'!D133+'ET workings 17-18'!D155</f>
        <v>9323.1012487965927</v>
      </c>
      <c r="E100" s="52">
        <f>'ET workings 17-18'!E133+'ET workings 17-18'!E155</f>
        <v>9776.4717419579647</v>
      </c>
      <c r="F100" s="52">
        <f>'ET workings 17-18'!F133+'ET workings 17-18'!F155</f>
        <v>10200.118983120001</v>
      </c>
      <c r="G100" s="52">
        <f>'ET workings 17-18'!G133+'ET workings 17-18'!G155</f>
        <v>10820.168835790339</v>
      </c>
      <c r="H100" s="52">
        <f>'ET workings 17-18'!H133+'ET workings 17-18'!H155</f>
        <v>11290.036793999539</v>
      </c>
      <c r="I100" s="52">
        <f>'ET workings 17-18'!I133+'ET workings 17-18'!I155</f>
        <v>11731.932651381656</v>
      </c>
      <c r="J100" s="52">
        <f>'ET workings 17-18'!J133+'ET workings 17-18'!J155</f>
        <v>12023.877409679515</v>
      </c>
      <c r="K100" s="52">
        <f>'ET workings 17-18'!K133+'ET workings 17-18'!K155</f>
        <v>12153.98855242599</v>
      </c>
    </row>
    <row r="102" spans="1:11" ht="13.8" thickBot="1"/>
    <row r="103" spans="1:11" ht="13.8" thickBot="1">
      <c r="C103" s="7" t="s">
        <v>58</v>
      </c>
      <c r="D103" s="8" t="s">
        <v>59</v>
      </c>
      <c r="E103" s="8" t="s">
        <v>60</v>
      </c>
      <c r="F103" s="8" t="s">
        <v>61</v>
      </c>
      <c r="G103" s="8" t="s">
        <v>62</v>
      </c>
      <c r="H103" s="8" t="s">
        <v>63</v>
      </c>
      <c r="I103" s="8" t="s">
        <v>64</v>
      </c>
      <c r="J103" s="8" t="s">
        <v>65</v>
      </c>
      <c r="K103" s="8" t="s">
        <v>66</v>
      </c>
    </row>
    <row r="104" spans="1:11">
      <c r="C104" s="10" t="s">
        <v>370</v>
      </c>
      <c r="D104" s="169">
        <f>'ET workings 17-18'!D86</f>
        <v>13.751034124367685</v>
      </c>
      <c r="E104" s="169">
        <f>'ET workings 17-18'!E86</f>
        <v>13.274690050778315</v>
      </c>
      <c r="F104" s="169">
        <f>'ET workings 17-18'!F86</f>
        <v>12.798257977175346</v>
      </c>
      <c r="G104" s="169">
        <f>'ET workings 17-18'!G86</f>
        <v>0</v>
      </c>
      <c r="H104" s="169">
        <f>'ET workings 17-18'!H86</f>
        <v>0</v>
      </c>
      <c r="I104" s="169">
        <f>'ET workings 17-18'!I86</f>
        <v>0</v>
      </c>
      <c r="J104" s="169">
        <f>'ET workings 17-18'!J86</f>
        <v>0</v>
      </c>
      <c r="K104" s="169">
        <f>'ET workings 17-18'!K86</f>
        <v>0</v>
      </c>
    </row>
    <row r="105" spans="1:11">
      <c r="C105" s="170" t="s">
        <v>371</v>
      </c>
      <c r="D105" s="171">
        <v>0</v>
      </c>
      <c r="E105" s="171">
        <v>0</v>
      </c>
      <c r="F105" s="171">
        <v>0</v>
      </c>
      <c r="G105" s="171">
        <v>0</v>
      </c>
      <c r="H105" s="171">
        <v>0</v>
      </c>
      <c r="I105" s="171">
        <v>0</v>
      </c>
      <c r="J105" s="171">
        <v>0</v>
      </c>
      <c r="K105" s="171">
        <v>0</v>
      </c>
    </row>
    <row r="106" spans="1:11">
      <c r="C106" s="10"/>
      <c r="D106" s="169"/>
      <c r="E106" s="169"/>
      <c r="F106" s="169"/>
      <c r="G106" s="169"/>
      <c r="H106" s="169"/>
      <c r="I106" s="169"/>
      <c r="J106" s="169"/>
      <c r="K106" s="169"/>
    </row>
    <row r="107" spans="1:11">
      <c r="C107" s="11" t="s">
        <v>372</v>
      </c>
      <c r="D107" s="171">
        <f>'ET workings 17-18'!D88</f>
        <v>123</v>
      </c>
      <c r="E107" s="171">
        <f>'ET workings 17-18'!E88</f>
        <v>122.8</v>
      </c>
      <c r="F107" s="171">
        <f>'ET workings 17-18'!F88</f>
        <v>129.80000000000001</v>
      </c>
      <c r="G107" s="171">
        <f>'ET workings 17-18'!G88</f>
        <v>125.6</v>
      </c>
      <c r="H107" s="171">
        <f>'ET workings 17-18'!H88</f>
        <v>127.3</v>
      </c>
      <c r="I107" s="171">
        <f>'ET workings 17-18'!I88</f>
        <v>128.6</v>
      </c>
      <c r="J107" s="171">
        <f>'ET workings 17-18'!J88</f>
        <v>130.19999999999999</v>
      </c>
      <c r="K107" s="171">
        <f>'ET workings 17-18'!K88</f>
        <v>131.69999999999999</v>
      </c>
    </row>
    <row r="108" spans="1:11">
      <c r="C108" s="10" t="s">
        <v>373</v>
      </c>
      <c r="D108" s="169">
        <f>-D107</f>
        <v>-123</v>
      </c>
      <c r="E108" s="169">
        <f t="shared" ref="E108:K108" si="21">-E107</f>
        <v>-122.8</v>
      </c>
      <c r="F108" s="169">
        <f t="shared" si="21"/>
        <v>-129.80000000000001</v>
      </c>
      <c r="G108" s="169">
        <f t="shared" si="21"/>
        <v>-125.6</v>
      </c>
      <c r="H108" s="169">
        <f t="shared" si="21"/>
        <v>-127.3</v>
      </c>
      <c r="I108" s="169">
        <f t="shared" si="21"/>
        <v>-128.6</v>
      </c>
      <c r="J108" s="169">
        <f t="shared" si="21"/>
        <v>-130.19999999999999</v>
      </c>
      <c r="K108" s="169">
        <f t="shared" si="21"/>
        <v>-131.69999999999999</v>
      </c>
    </row>
    <row r="109" spans="1:11">
      <c r="C109" s="11"/>
      <c r="D109" s="171"/>
      <c r="E109" s="171"/>
      <c r="F109" s="171"/>
      <c r="G109" s="171"/>
      <c r="H109" s="171"/>
      <c r="I109" s="171"/>
      <c r="J109" s="171"/>
      <c r="K109" s="171"/>
    </row>
    <row r="110" spans="1:11" ht="13.8" thickBot="1">
      <c r="C110" s="40" t="s">
        <v>374</v>
      </c>
      <c r="D110" s="46">
        <f>SUM('ET workings 17-18'!D169:D170)</f>
        <v>53.1</v>
      </c>
      <c r="E110" s="46">
        <f>SUM('ET workings 17-18'!E169:E170)</f>
        <v>53.000000000000007</v>
      </c>
      <c r="F110" s="46">
        <f>SUM('ET workings 17-18'!F169:F170)</f>
        <v>50.999999999999993</v>
      </c>
      <c r="G110" s="46">
        <f>SUM('ET workings 17-18'!G169:G170)</f>
        <v>57.5</v>
      </c>
      <c r="H110" s="46">
        <f>SUM('ET workings 17-18'!H169:H170)</f>
        <v>49</v>
      </c>
      <c r="I110" s="46">
        <f>SUM('ET workings 17-18'!I169:I170)</f>
        <v>28.499999999999996</v>
      </c>
      <c r="J110" s="46">
        <f>SUM('ET workings 17-18'!J169:J170)</f>
        <v>3.6999999999999993</v>
      </c>
      <c r="K110" s="46">
        <f>SUM('ET workings 17-18'!K169:K170)</f>
        <v>0</v>
      </c>
    </row>
    <row r="111" spans="1:11">
      <c r="A111" s="38" t="s">
        <v>364</v>
      </c>
    </row>
    <row r="112" spans="1:11" ht="13.8" thickBot="1">
      <c r="C112" s="38" t="s">
        <v>122</v>
      </c>
    </row>
    <row r="113" spans="1:14" ht="13.8" thickBot="1">
      <c r="C113" s="7" t="s">
        <v>58</v>
      </c>
      <c r="D113" s="8" t="s">
        <v>59</v>
      </c>
      <c r="E113" s="8" t="s">
        <v>60</v>
      </c>
      <c r="F113" s="8" t="s">
        <v>61</v>
      </c>
      <c r="G113" s="8" t="s">
        <v>62</v>
      </c>
      <c r="H113" s="8" t="s">
        <v>63</v>
      </c>
      <c r="I113" s="8" t="s">
        <v>64</v>
      </c>
      <c r="J113" s="8" t="s">
        <v>65</v>
      </c>
      <c r="K113" s="8" t="s">
        <v>66</v>
      </c>
    </row>
    <row r="114" spans="1:14">
      <c r="C114" s="22" t="s">
        <v>91</v>
      </c>
      <c r="D114" s="41">
        <f>'ET workings 17-18'!D152</f>
        <v>74.160747515587701</v>
      </c>
      <c r="E114" s="41">
        <f>'ET workings 17-18'!E152</f>
        <v>94.4584254983384</v>
      </c>
      <c r="F114" s="41">
        <f>'ET workings 17-18'!F152</f>
        <v>106.29772885630427</v>
      </c>
      <c r="G114" s="41">
        <f>'ET workings 17-18'!G152</f>
        <v>115.70724403851708</v>
      </c>
      <c r="H114" s="41">
        <f>'ET workings 17-18'!H152</f>
        <v>121.80970084417964</v>
      </c>
      <c r="I114" s="41">
        <f>'ET workings 17-18'!I152</f>
        <v>125.73565889022741</v>
      </c>
      <c r="J114" s="41">
        <f>'ET workings 17-18'!J152</f>
        <v>125.17835663568664</v>
      </c>
      <c r="K114" s="41">
        <f>'ET workings 17-18'!K152</f>
        <v>125.1393357053325</v>
      </c>
    </row>
    <row r="115" spans="1:14">
      <c r="C115" s="10" t="s">
        <v>86</v>
      </c>
      <c r="D115" s="42">
        <f>'ET workings 17-18'!D153</f>
        <v>35.942999336114895</v>
      </c>
      <c r="E115" s="42">
        <f>'ET workings 17-18'!E153</f>
        <v>31.160292249879337</v>
      </c>
      <c r="F115" s="42">
        <f>'ET workings 17-18'!F153</f>
        <v>31.777099215366718</v>
      </c>
      <c r="G115" s="42">
        <f>'ET workings 17-18'!G153</f>
        <v>31.18043803768256</v>
      </c>
      <c r="H115" s="42">
        <f>'ET workings 17-18'!H153</f>
        <v>31.99254597530528</v>
      </c>
      <c r="I115" s="42">
        <f>'ET workings 17-18'!I153</f>
        <v>29.571763005229077</v>
      </c>
      <c r="J115" s="42">
        <f>'ET workings 17-18'!J153</f>
        <v>31.466486913817501</v>
      </c>
      <c r="K115" s="42">
        <f>'ET workings 17-18'!K153</f>
        <v>31.937080597643327</v>
      </c>
    </row>
    <row r="116" spans="1:14">
      <c r="C116" s="11" t="s">
        <v>87</v>
      </c>
      <c r="D116" s="43">
        <f>'ET workings 17-18'!D154</f>
        <v>-15.645321353364194</v>
      </c>
      <c r="E116" s="43">
        <f>'ET workings 17-18'!E154</f>
        <v>-19.320988891913455</v>
      </c>
      <c r="F116" s="43">
        <f>'ET workings 17-18'!F154</f>
        <v>-22.367584033153918</v>
      </c>
      <c r="G116" s="43">
        <f>'ET workings 17-18'!G154</f>
        <v>-25.077981232020001</v>
      </c>
      <c r="H116" s="43">
        <f>'ET workings 17-18'!H154</f>
        <v>-28.066587929257523</v>
      </c>
      <c r="I116" s="43">
        <f>'ET workings 17-18'!I154</f>
        <v>-30.129065259769845</v>
      </c>
      <c r="J116" s="43">
        <f>'ET workings 17-18'!J154</f>
        <v>-31.50550784417165</v>
      </c>
      <c r="K116" s="43">
        <f>'ET workings 17-18'!K154</f>
        <v>-31.870232104770764</v>
      </c>
    </row>
    <row r="117" spans="1:14" ht="13.8" thickBot="1">
      <c r="C117" s="13" t="s">
        <v>94</v>
      </c>
      <c r="D117" s="52">
        <f>'ET workings 17-18'!D155</f>
        <v>94.4584254983384</v>
      </c>
      <c r="E117" s="52">
        <f>'ET workings 17-18'!E155</f>
        <v>106.29772885630427</v>
      </c>
      <c r="F117" s="52">
        <f>'ET workings 17-18'!F155</f>
        <v>115.70724403851708</v>
      </c>
      <c r="G117" s="52">
        <f>'ET workings 17-18'!G155</f>
        <v>121.80970084417964</v>
      </c>
      <c r="H117" s="52">
        <f>'ET workings 17-18'!H155</f>
        <v>125.73565889022741</v>
      </c>
      <c r="I117" s="52">
        <f>'ET workings 17-18'!I155</f>
        <v>125.17835663568664</v>
      </c>
      <c r="J117" s="52">
        <f>'ET workings 17-18'!J155</f>
        <v>125.1393357053325</v>
      </c>
      <c r="K117" s="52">
        <f>'ET workings 17-18'!K155</f>
        <v>125.20618419820505</v>
      </c>
    </row>
    <row r="119" spans="1:14" ht="13.8" thickBot="1">
      <c r="C119" s="38" t="s">
        <v>395</v>
      </c>
    </row>
    <row r="120" spans="1:14" ht="13.8" thickBot="1">
      <c r="C120" s="14" t="s">
        <v>58</v>
      </c>
      <c r="D120" s="15" t="s">
        <v>59</v>
      </c>
      <c r="E120" s="15" t="s">
        <v>60</v>
      </c>
      <c r="F120" s="15" t="s">
        <v>61</v>
      </c>
      <c r="G120" s="15" t="s">
        <v>62</v>
      </c>
      <c r="H120" s="15" t="s">
        <v>63</v>
      </c>
      <c r="I120" s="15" t="s">
        <v>64</v>
      </c>
      <c r="J120" s="15" t="s">
        <v>65</v>
      </c>
      <c r="K120" s="15" t="s">
        <v>66</v>
      </c>
      <c r="L120" s="15" t="s">
        <v>118</v>
      </c>
    </row>
    <row r="121" spans="1:14">
      <c r="C121" s="16"/>
      <c r="D121" s="26"/>
      <c r="E121" s="26"/>
      <c r="F121" s="26"/>
      <c r="G121" s="26"/>
      <c r="H121" s="26"/>
      <c r="I121" s="26"/>
      <c r="J121" s="26"/>
      <c r="K121" s="26"/>
      <c r="L121" s="26"/>
    </row>
    <row r="122" spans="1:14">
      <c r="A122" t="s">
        <v>338</v>
      </c>
      <c r="C122" s="17" t="s">
        <v>119</v>
      </c>
      <c r="D122" s="27">
        <f>'ET workings 17-18'!D8+'ET workings 17-18'!D12</f>
        <v>51.830261993822482</v>
      </c>
      <c r="E122" s="27">
        <f>'ET workings 17-18'!E8+'ET workings 17-18'!E12</f>
        <v>34.74084403969362</v>
      </c>
      <c r="F122" s="27">
        <f>'ET workings 17-18'!F8+'ET workings 17-18'!F12</f>
        <v>30.894900022849214</v>
      </c>
      <c r="G122" s="27">
        <f>'ET workings 17-18'!G8+'ET workings 17-18'!G12</f>
        <v>28.301072099524138</v>
      </c>
      <c r="H122" s="27">
        <f>'ET workings 17-18'!H8+'ET workings 17-18'!H12</f>
        <v>30.672102023183324</v>
      </c>
      <c r="I122" s="27">
        <f>'ET workings 17-18'!I8+'ET workings 17-18'!I12</f>
        <v>21.438897958036218</v>
      </c>
      <c r="J122" s="27">
        <f>'ET workings 17-18'!J8+'ET workings 17-18'!J12</f>
        <v>26.487810428292697</v>
      </c>
      <c r="K122" s="27">
        <f>'ET workings 17-18'!K8+'ET workings 17-18'!K12</f>
        <v>26.426824166461682</v>
      </c>
      <c r="L122" s="28">
        <f>SUM(D122:K122)</f>
        <v>250.79271273186339</v>
      </c>
      <c r="N122" s="53"/>
    </row>
    <row r="123" spans="1:14">
      <c r="C123" s="18" t="s">
        <v>396</v>
      </c>
      <c r="D123" s="29">
        <f>'ET workings 17-18'!D7+'ET workings 17-18'!D13</f>
        <v>73.775027711210655</v>
      </c>
      <c r="E123" s="29">
        <f>'ET workings 17-18'!E7+'ET workings 17-18'!E13</f>
        <v>77.141289544080948</v>
      </c>
      <c r="F123" s="29">
        <f>'ET workings 17-18'!F7+'ET workings 17-18'!F13</f>
        <v>83.380513630549061</v>
      </c>
      <c r="G123" s="29">
        <f>'ET workings 17-18'!G7+'ET workings 17-18'!G13</f>
        <v>83.456770329445604</v>
      </c>
      <c r="H123" s="29">
        <f>'ET workings 17-18'!H7+'ET workings 17-18'!H13</f>
        <v>83.996521544219092</v>
      </c>
      <c r="I123" s="29">
        <f>'ET workings 17-18'!I7+'ET workings 17-18'!I13</f>
        <v>84.553084139559033</v>
      </c>
      <c r="J123" s="29">
        <f>'ET workings 17-18'!J7+'ET workings 17-18'!J13</f>
        <v>86.295296789691179</v>
      </c>
      <c r="K123" s="29">
        <f>'ET workings 17-18'!K7+'ET workings 17-18'!K13</f>
        <v>88.042998764159549</v>
      </c>
      <c r="L123" s="30">
        <f t="shared" ref="L123:L130" si="22">SUM(D123:K123)</f>
        <v>660.64150245291501</v>
      </c>
      <c r="N123" s="53"/>
    </row>
    <row r="124" spans="1:14">
      <c r="C124" s="19" t="s">
        <v>71</v>
      </c>
      <c r="D124" s="31">
        <f>SUM(D122:D123)</f>
        <v>125.60528970503313</v>
      </c>
      <c r="E124" s="31">
        <f t="shared" ref="E124:K124" si="23">SUM(E122:E123)</f>
        <v>111.88213358377456</v>
      </c>
      <c r="F124" s="31">
        <f t="shared" si="23"/>
        <v>114.27541365339827</v>
      </c>
      <c r="G124" s="31">
        <f t="shared" si="23"/>
        <v>111.75784242896974</v>
      </c>
      <c r="H124" s="31">
        <f t="shared" si="23"/>
        <v>114.66862356740242</v>
      </c>
      <c r="I124" s="31">
        <f t="shared" si="23"/>
        <v>105.99198209759525</v>
      </c>
      <c r="J124" s="31">
        <f t="shared" si="23"/>
        <v>112.78310721798388</v>
      </c>
      <c r="K124" s="31">
        <f t="shared" si="23"/>
        <v>114.46982293062123</v>
      </c>
      <c r="L124" s="28">
        <f t="shared" si="22"/>
        <v>911.43421518477862</v>
      </c>
    </row>
    <row r="125" spans="1:14">
      <c r="A125" t="s">
        <v>346</v>
      </c>
      <c r="C125" s="17" t="s">
        <v>121</v>
      </c>
      <c r="D125" s="27">
        <f>'ET workings 17-18'!D31+'ET workings 17-18'!D35</f>
        <v>32.195193804935066</v>
      </c>
      <c r="E125" s="27">
        <f>'ET workings 17-18'!E31+'ET workings 17-18'!E35</f>
        <v>34.412038344731393</v>
      </c>
      <c r="F125" s="27">
        <f>'ET workings 17-18'!F31+'ET workings 17-18'!F35</f>
        <v>33.431784730351957</v>
      </c>
      <c r="G125" s="27">
        <f>'ET workings 17-18'!G31+'ET workings 17-18'!G35</f>
        <v>28.301072099524138</v>
      </c>
      <c r="H125" s="27">
        <f>'ET workings 17-18'!H31+'ET workings 17-18'!H35</f>
        <v>30.672102023183324</v>
      </c>
      <c r="I125" s="27">
        <f>'ET workings 17-18'!I31+'ET workings 17-18'!I35</f>
        <v>21.438897958036218</v>
      </c>
      <c r="J125" s="27">
        <f>'ET workings 17-18'!J31+'ET workings 17-18'!J35</f>
        <v>26.487810428292697</v>
      </c>
      <c r="K125" s="27">
        <f>'ET workings 17-18'!K31+'ET workings 17-18'!K35</f>
        <v>26.426824166461682</v>
      </c>
      <c r="L125" s="28">
        <f t="shared" si="22"/>
        <v>233.36572355551647</v>
      </c>
      <c r="N125" s="53"/>
    </row>
    <row r="126" spans="1:14">
      <c r="C126" s="18" t="s">
        <v>387</v>
      </c>
      <c r="D126" s="29">
        <f>'ET workings 17-18'!D30+'ET workings 17-18'!D36</f>
        <v>79.7033362768789</v>
      </c>
      <c r="E126" s="29">
        <f>'ET workings 17-18'!E30+'ET workings 17-18'!E36</f>
        <v>77.100111658648601</v>
      </c>
      <c r="F126" s="29">
        <f>'ET workings 17-18'!F30+'ET workings 17-18'!F36</f>
        <v>80.130014358755901</v>
      </c>
      <c r="G126" s="29">
        <f>'ET workings 17-18'!G30+'ET workings 17-18'!G36</f>
        <v>83.456770329445604</v>
      </c>
      <c r="H126" s="29">
        <f>'ET workings 17-18'!H30+'ET workings 17-18'!H36</f>
        <v>83.996521544219092</v>
      </c>
      <c r="I126" s="29">
        <f>'ET workings 17-18'!I30+'ET workings 17-18'!I36</f>
        <v>84.553084139559033</v>
      </c>
      <c r="J126" s="29">
        <f>'ET workings 17-18'!J30+'ET workings 17-18'!J36</f>
        <v>86.295296789691179</v>
      </c>
      <c r="K126" s="29">
        <f>'ET workings 17-18'!K30+'ET workings 17-18'!K36</f>
        <v>88.042998764159549</v>
      </c>
      <c r="L126" s="30">
        <f t="shared" si="22"/>
        <v>663.27813386135779</v>
      </c>
      <c r="N126" s="53"/>
    </row>
    <row r="127" spans="1:14">
      <c r="C127" s="19" t="s">
        <v>77</v>
      </c>
      <c r="D127" s="31">
        <f>SUM(D125:D126)</f>
        <v>111.89853008181396</v>
      </c>
      <c r="E127" s="31">
        <f t="shared" ref="E127:K127" si="24">SUM(E125:E126)</f>
        <v>111.51215000337999</v>
      </c>
      <c r="F127" s="31">
        <f t="shared" si="24"/>
        <v>113.56179908910786</v>
      </c>
      <c r="G127" s="31">
        <f t="shared" si="24"/>
        <v>111.75784242896974</v>
      </c>
      <c r="H127" s="31">
        <f t="shared" si="24"/>
        <v>114.66862356740242</v>
      </c>
      <c r="I127" s="31">
        <f t="shared" si="24"/>
        <v>105.99198209759525</v>
      </c>
      <c r="J127" s="31">
        <f t="shared" si="24"/>
        <v>112.78310721798388</v>
      </c>
      <c r="K127" s="31">
        <f t="shared" si="24"/>
        <v>114.46982293062123</v>
      </c>
      <c r="L127" s="28">
        <f t="shared" si="22"/>
        <v>896.64385741687443</v>
      </c>
    </row>
    <row r="128" spans="1:14">
      <c r="A128" t="s">
        <v>233</v>
      </c>
      <c r="C128" s="17" t="s">
        <v>388</v>
      </c>
      <c r="D128" s="27">
        <f>D122-(D122-D125)*$K$2</f>
        <v>41.402077278704375</v>
      </c>
      <c r="E128" s="27">
        <f t="shared" ref="E128:K129" si="25">E122-(E122-E125)*$K$2</f>
        <v>34.56621533509918</v>
      </c>
      <c r="F128" s="27">
        <f t="shared" si="25"/>
        <v>32.242239491003922</v>
      </c>
      <c r="G128" s="27">
        <f t="shared" si="25"/>
        <v>28.301072099524138</v>
      </c>
      <c r="H128" s="27">
        <f t="shared" si="25"/>
        <v>30.672102023183324</v>
      </c>
      <c r="I128" s="27">
        <f t="shared" si="25"/>
        <v>21.438897958036218</v>
      </c>
      <c r="J128" s="27">
        <f t="shared" si="25"/>
        <v>26.487810428292697</v>
      </c>
      <c r="K128" s="27">
        <f t="shared" si="25"/>
        <v>26.426824166461682</v>
      </c>
      <c r="L128" s="28">
        <f t="shared" si="22"/>
        <v>241.53723878030553</v>
      </c>
      <c r="N128" s="53"/>
    </row>
    <row r="129" spans="1:14">
      <c r="C129" s="18" t="s">
        <v>389</v>
      </c>
      <c r="D129" s="29">
        <f>D123-(D123-D126)*$K$2</f>
        <v>76.923552390437067</v>
      </c>
      <c r="E129" s="29">
        <f t="shared" si="25"/>
        <v>77.119419969127833</v>
      </c>
      <c r="F129" s="29">
        <f t="shared" si="25"/>
        <v>81.654173467299714</v>
      </c>
      <c r="G129" s="29">
        <f t="shared" si="25"/>
        <v>83.456770329445604</v>
      </c>
      <c r="H129" s="29">
        <f t="shared" si="25"/>
        <v>83.996521544219092</v>
      </c>
      <c r="I129" s="29">
        <f t="shared" si="25"/>
        <v>84.553084139559033</v>
      </c>
      <c r="J129" s="29">
        <f t="shared" si="25"/>
        <v>86.295296789691179</v>
      </c>
      <c r="K129" s="29">
        <f t="shared" si="25"/>
        <v>88.042998764159549</v>
      </c>
      <c r="L129" s="30">
        <f t="shared" si="22"/>
        <v>662.04181739393891</v>
      </c>
      <c r="N129" s="53"/>
    </row>
    <row r="130" spans="1:14">
      <c r="C130" s="19" t="s">
        <v>78</v>
      </c>
      <c r="D130" s="31">
        <f>SUM(D128:D129)</f>
        <v>118.32562966914145</v>
      </c>
      <c r="E130" s="31">
        <f t="shared" ref="E130:K130" si="26">SUM(E128:E129)</f>
        <v>111.68563530422702</v>
      </c>
      <c r="F130" s="31">
        <f t="shared" si="26"/>
        <v>113.89641295830364</v>
      </c>
      <c r="G130" s="31">
        <f t="shared" si="26"/>
        <v>111.75784242896974</v>
      </c>
      <c r="H130" s="31">
        <f t="shared" si="26"/>
        <v>114.66862356740242</v>
      </c>
      <c r="I130" s="31">
        <f t="shared" si="26"/>
        <v>105.99198209759525</v>
      </c>
      <c r="J130" s="31">
        <f t="shared" si="26"/>
        <v>112.78310721798388</v>
      </c>
      <c r="K130" s="31">
        <f t="shared" si="26"/>
        <v>114.46982293062123</v>
      </c>
      <c r="L130" s="28">
        <f t="shared" si="22"/>
        <v>903.57905617424467</v>
      </c>
    </row>
    <row r="131" spans="1:14">
      <c r="C131" s="20"/>
      <c r="D131" s="32"/>
      <c r="E131" s="32"/>
      <c r="F131" s="32"/>
      <c r="G131" s="32"/>
      <c r="H131" s="32"/>
      <c r="I131" s="32"/>
      <c r="J131" s="32"/>
      <c r="K131" s="32"/>
      <c r="L131" s="33"/>
    </row>
    <row r="132" spans="1:14">
      <c r="C132" s="17" t="s">
        <v>79</v>
      </c>
      <c r="D132" s="27">
        <f>'ET workings 17-18'!D175</f>
        <v>85.312778991450955</v>
      </c>
      <c r="E132" s="27">
        <f>'ET workings 17-18'!E175</f>
        <v>80.525343054347672</v>
      </c>
      <c r="F132" s="27">
        <f>'ET workings 17-18'!F175</f>
        <v>82.119313742936924</v>
      </c>
      <c r="G132" s="27">
        <f>'ET workings 17-18'!G175</f>
        <v>80.577404391287175</v>
      </c>
      <c r="H132" s="27">
        <f>'ET workings 17-18'!H175</f>
        <v>82.676077592097144</v>
      </c>
      <c r="I132" s="27">
        <f>'ET workings 17-18'!I175</f>
        <v>76.420219092366168</v>
      </c>
      <c r="J132" s="27">
        <f>'ET workings 17-18'!J175</f>
        <v>81.316620304166364</v>
      </c>
      <c r="K132" s="27">
        <f>'ET workings 17-18'!K175</f>
        <v>82.532742332977904</v>
      </c>
      <c r="L132" s="28">
        <f t="shared" ref="L132:L134" si="27">SUM(D132:K132)</f>
        <v>651.48049950163033</v>
      </c>
    </row>
    <row r="133" spans="1:14">
      <c r="C133" s="18" t="s">
        <v>80</v>
      </c>
      <c r="D133" s="29">
        <f>'ET workings 17-18'!D174</f>
        <v>33.012850677690459</v>
      </c>
      <c r="E133" s="29">
        <f>'ET workings 17-18'!E174</f>
        <v>31.160292249879337</v>
      </c>
      <c r="F133" s="29">
        <f>'ET workings 17-18'!F174</f>
        <v>31.777099215366718</v>
      </c>
      <c r="G133" s="29">
        <f>'ET workings 17-18'!G174</f>
        <v>31.18043803768256</v>
      </c>
      <c r="H133" s="29">
        <f>'ET workings 17-18'!H174</f>
        <v>31.99254597530528</v>
      </c>
      <c r="I133" s="29">
        <f>'ET workings 17-18'!I174</f>
        <v>29.571763005229077</v>
      </c>
      <c r="J133" s="29">
        <f>'ET workings 17-18'!J174</f>
        <v>31.466486913817501</v>
      </c>
      <c r="K133" s="29">
        <f>'ET workings 17-18'!K174</f>
        <v>31.937080597643327</v>
      </c>
      <c r="L133" s="30">
        <f t="shared" si="27"/>
        <v>252.09855667261428</v>
      </c>
    </row>
    <row r="134" spans="1:14" ht="13.8" thickBot="1">
      <c r="C134" s="21" t="s">
        <v>390</v>
      </c>
      <c r="D134" s="34">
        <f t="shared" ref="D134:K134" si="28">SUM(D132:D133)</f>
        <v>118.32562966914142</v>
      </c>
      <c r="E134" s="34">
        <f t="shared" si="28"/>
        <v>111.68563530422701</v>
      </c>
      <c r="F134" s="34">
        <f t="shared" si="28"/>
        <v>113.89641295830364</v>
      </c>
      <c r="G134" s="34">
        <f t="shared" si="28"/>
        <v>111.75784242896974</v>
      </c>
      <c r="H134" s="34">
        <f t="shared" si="28"/>
        <v>114.66862356740242</v>
      </c>
      <c r="I134" s="34">
        <f t="shared" si="28"/>
        <v>105.99198209759524</v>
      </c>
      <c r="J134" s="34">
        <f t="shared" si="28"/>
        <v>112.78310721798387</v>
      </c>
      <c r="K134" s="34">
        <f t="shared" si="28"/>
        <v>114.46982293062123</v>
      </c>
      <c r="L134" s="35">
        <f t="shared" si="27"/>
        <v>903.57905617424467</v>
      </c>
    </row>
    <row r="136" spans="1:14" ht="13.8" thickBot="1">
      <c r="A136" s="38" t="s">
        <v>375</v>
      </c>
    </row>
    <row r="137" spans="1:14" ht="13.8" thickBot="1">
      <c r="C137" s="7" t="s">
        <v>58</v>
      </c>
      <c r="D137" s="8" t="s">
        <v>59</v>
      </c>
      <c r="E137" s="8" t="s">
        <v>60</v>
      </c>
      <c r="F137" s="8" t="s">
        <v>61</v>
      </c>
      <c r="G137" s="8" t="s">
        <v>62</v>
      </c>
      <c r="H137" s="8" t="s">
        <v>63</v>
      </c>
      <c r="I137" s="8" t="s">
        <v>64</v>
      </c>
      <c r="J137" s="8" t="s">
        <v>65</v>
      </c>
      <c r="K137" s="8" t="s">
        <v>66</v>
      </c>
    </row>
    <row r="138" spans="1:14">
      <c r="C138" s="22" t="s">
        <v>79</v>
      </c>
      <c r="D138" s="41">
        <f>'ET workings 17-18'!D203</f>
        <v>85.312778991450955</v>
      </c>
      <c r="E138" s="41">
        <f>'ET workings 17-18'!E203</f>
        <v>80.525343054347672</v>
      </c>
      <c r="F138" s="41">
        <f>'ET workings 17-18'!F203</f>
        <v>82.119313742936924</v>
      </c>
      <c r="G138" s="41">
        <f>'ET workings 17-18'!G203</f>
        <v>80.577404391287175</v>
      </c>
      <c r="H138" s="41">
        <f>'ET workings 17-18'!H203</f>
        <v>82.676077592097144</v>
      </c>
      <c r="I138" s="41">
        <f>'ET workings 17-18'!I203</f>
        <v>76.420219092366168</v>
      </c>
      <c r="J138" s="41">
        <f>'ET workings 17-18'!J203</f>
        <v>81.316620304166364</v>
      </c>
      <c r="K138" s="41">
        <f>'ET workings 17-18'!K203</f>
        <v>82.532742332977904</v>
      </c>
      <c r="L138" s="28"/>
    </row>
    <row r="139" spans="1:14">
      <c r="C139" s="10" t="s">
        <v>98</v>
      </c>
      <c r="D139" s="42">
        <f>'ET workings 17-18'!D204</f>
        <v>0</v>
      </c>
      <c r="E139" s="42">
        <f>'ET workings 17-18'!E204</f>
        <v>0</v>
      </c>
      <c r="F139" s="42">
        <f>'ET workings 17-18'!F204</f>
        <v>0</v>
      </c>
      <c r="G139" s="42">
        <f>'ET workings 17-18'!G204</f>
        <v>0</v>
      </c>
      <c r="H139" s="42">
        <f>'ET workings 17-18'!H204</f>
        <v>0</v>
      </c>
      <c r="I139" s="42">
        <f>'ET workings 17-18'!I204</f>
        <v>0</v>
      </c>
      <c r="J139" s="42">
        <f>'ET workings 17-18'!J204</f>
        <v>0</v>
      </c>
      <c r="K139" s="42">
        <f>'ET workings 17-18'!K204</f>
        <v>0</v>
      </c>
      <c r="L139" s="28"/>
    </row>
    <row r="140" spans="1:14">
      <c r="C140" s="11" t="s">
        <v>99</v>
      </c>
      <c r="D140" s="43">
        <f>'ET workings 17-18'!D251</f>
        <v>10.271521977223172</v>
      </c>
      <c r="E140" s="43">
        <f>'ET workings 17-18'!E251</f>
        <v>10.214748985437437</v>
      </c>
      <c r="F140" s="43">
        <f>'ET workings 17-18'!F251</f>
        <v>11.357789408220997</v>
      </c>
      <c r="G140" s="43">
        <f>'ET workings 17-18'!G251</f>
        <v>11.50271907609619</v>
      </c>
      <c r="H140" s="43">
        <f>'ET workings 17-18'!H251</f>
        <v>11.448485075095853</v>
      </c>
      <c r="I140" s="43">
        <f>'ET workings 17-18'!I251</f>
        <v>11.496142125174181</v>
      </c>
      <c r="J140" s="43">
        <f>'ET workings 17-18'!J251</f>
        <v>11.645768364561745</v>
      </c>
      <c r="K140" s="43">
        <f>'ET workings 17-18'!K251</f>
        <v>11.597445160160804</v>
      </c>
      <c r="L140" s="28"/>
    </row>
    <row r="141" spans="1:14">
      <c r="C141" s="10" t="s">
        <v>100</v>
      </c>
      <c r="D141" s="42">
        <f>'ET workings 17-18'!D207</f>
        <v>0</v>
      </c>
      <c r="E141" s="42">
        <f>'ET workings 17-18'!E207</f>
        <v>0</v>
      </c>
      <c r="F141" s="42">
        <f>'ET workings 17-18'!F207</f>
        <v>0</v>
      </c>
      <c r="G141" s="42">
        <f>'ET workings 17-18'!G207</f>
        <v>0</v>
      </c>
      <c r="H141" s="42">
        <f>'ET workings 17-18'!H207</f>
        <v>0</v>
      </c>
      <c r="I141" s="42">
        <f>'ET workings 17-18'!I207</f>
        <v>0</v>
      </c>
      <c r="J141" s="42">
        <f>'ET workings 17-18'!J207</f>
        <v>0</v>
      </c>
      <c r="K141" s="42">
        <f>'ET workings 17-18'!K207</f>
        <v>0</v>
      </c>
      <c r="L141" s="28"/>
    </row>
    <row r="142" spans="1:14">
      <c r="C142" s="11" t="s">
        <v>101</v>
      </c>
      <c r="D142" s="43">
        <f>'ET workings 17-18'!D208</f>
        <v>0.93219394583370041</v>
      </c>
      <c r="E142" s="43">
        <f>'ET workings 17-18'!E208</f>
        <v>0.89969793099769935</v>
      </c>
      <c r="F142" s="43">
        <f>'ET workings 17-18'!F208</f>
        <v>0.87783267686821986</v>
      </c>
      <c r="G142" s="43">
        <f>'ET workings 17-18'!G208</f>
        <v>0.87232109317784745</v>
      </c>
      <c r="H142" s="43">
        <f>'ET workings 17-18'!H208</f>
        <v>0.89875958568159287</v>
      </c>
      <c r="I142" s="43">
        <f>'ET workings 17-18'!I208</f>
        <v>0.82801710222961211</v>
      </c>
      <c r="J142" s="43">
        <f>'ET workings 17-18'!J208</f>
        <v>0.88417658562860901</v>
      </c>
      <c r="K142" s="43">
        <f>'ET workings 17-18'!K208</f>
        <v>0.89982415652833225</v>
      </c>
      <c r="L142" s="28"/>
    </row>
    <row r="143" spans="1:14">
      <c r="C143" s="10" t="s">
        <v>102</v>
      </c>
      <c r="D143" s="42">
        <f>'ET workings 17-18'!D210</f>
        <v>1.8187516285821019</v>
      </c>
      <c r="E143" s="42">
        <f>'ET workings 17-18'!E210</f>
        <v>1.217890877687094</v>
      </c>
      <c r="F143" s="42">
        <f>'ET workings 17-18'!F210</f>
        <v>1.0973211650022119</v>
      </c>
      <c r="G143" s="42">
        <f>'ET workings 17-18'!G210</f>
        <v>0.29915892061240168</v>
      </c>
      <c r="H143" s="42">
        <f>'ET workings 17-18'!H210</f>
        <v>1.2130923041139008</v>
      </c>
      <c r="I143" s="42">
        <f>'ET workings 17-18'!I210</f>
        <v>0.14460761535328986</v>
      </c>
      <c r="J143" s="42">
        <f>'ET workings 17-18'!J210</f>
        <v>1.2863891373609391</v>
      </c>
      <c r="K143" s="42">
        <f>'ET workings 17-18'!K210</f>
        <v>1.2092005155466103</v>
      </c>
      <c r="L143" s="28"/>
    </row>
    <row r="144" spans="1:14">
      <c r="C144" s="11" t="s">
        <v>103</v>
      </c>
      <c r="D144" s="43">
        <f>'ET workings 17-18'!D205+'ET workings 17-18'!D206</f>
        <v>19.389492218274881</v>
      </c>
      <c r="E144" s="43">
        <f>'ET workings 17-18'!E205+'ET workings 17-18'!E206</f>
        <v>23.669777526894759</v>
      </c>
      <c r="F144" s="43">
        <f>'ET workings 17-18'!F205+'ET workings 17-18'!F206</f>
        <v>27.070024306901239</v>
      </c>
      <c r="G144" s="43">
        <f>'ET workings 17-18'!G205+'ET workings 17-18'!G206</f>
        <v>29.994632474465448</v>
      </c>
      <c r="H144" s="43">
        <f>'ET workings 17-18'!H205+'ET workings 17-18'!H206</f>
        <v>33.077797322723647</v>
      </c>
      <c r="I144" s="43">
        <f>'ET workings 17-18'!I205+'ET workings 17-18'!I206</f>
        <v>35.210327956705463</v>
      </c>
      <c r="J144" s="43">
        <f>'ET workings 17-18'!J205+'ET workings 17-18'!J206</f>
        <v>36.574482493356022</v>
      </c>
      <c r="K144" s="43">
        <f>'ET workings 17-18'!K205+'ET workings 17-18'!K206</f>
        <v>36.939726869190793</v>
      </c>
      <c r="L144" s="28"/>
    </row>
    <row r="145" spans="3:12">
      <c r="C145" s="11" t="s">
        <v>169</v>
      </c>
      <c r="D145" s="43">
        <f>'ET workings 17-18'!D253</f>
        <v>1.9673768800481106</v>
      </c>
      <c r="E145" s="43">
        <f>'ET workings 17-18'!E253</f>
        <v>2.0545710233718428</v>
      </c>
      <c r="F145" s="43">
        <f>'ET workings 17-18'!F253</f>
        <v>2.1435339486838436</v>
      </c>
      <c r="G145" s="43">
        <f>'ET workings 17-18'!G253</f>
        <v>2.2341625640341967</v>
      </c>
      <c r="H145" s="43">
        <f>'ET workings 17-18'!H253</f>
        <v>2.3264781611800895</v>
      </c>
      <c r="I145" s="43">
        <f>'ET workings 17-18'!I253</f>
        <v>2.4226082388000507</v>
      </c>
      <c r="J145" s="43">
        <f>'ET workings 17-18'!J253</f>
        <v>2.5227104112272687</v>
      </c>
      <c r="K145" s="43">
        <f>'ET workings 17-18'!K253</f>
        <v>2.6269488054191794</v>
      </c>
      <c r="L145" s="28"/>
    </row>
    <row r="146" spans="3:12" ht="13.8" thickBot="1">
      <c r="C146" s="13" t="s">
        <v>107</v>
      </c>
      <c r="D146" s="52">
        <f>SUM(D138:D145)</f>
        <v>119.69211564141293</v>
      </c>
      <c r="E146" s="52">
        <f t="shared" ref="E146:K146" si="29">SUM(E138:E145)</f>
        <v>118.58202939873652</v>
      </c>
      <c r="F146" s="52">
        <f t="shared" si="29"/>
        <v>124.66581524861344</v>
      </c>
      <c r="G146" s="52">
        <f t="shared" si="29"/>
        <v>125.48039851967324</v>
      </c>
      <c r="H146" s="52">
        <f t="shared" si="29"/>
        <v>131.64069004089222</v>
      </c>
      <c r="I146" s="52">
        <f t="shared" si="29"/>
        <v>126.52192213062878</v>
      </c>
      <c r="J146" s="52">
        <f t="shared" si="29"/>
        <v>134.23014729630097</v>
      </c>
      <c r="K146" s="52">
        <f t="shared" si="29"/>
        <v>135.80588783982361</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sheetPr>
  <dimension ref="A1:Y257"/>
  <sheetViews>
    <sheetView zoomScale="70" zoomScaleNormal="70" workbookViewId="0">
      <pane xSplit="2" ySplit="4" topLeftCell="C5" activePane="bottomRight" state="frozen"/>
      <selection pane="topRight" activeCell="H35" sqref="H35"/>
      <selection pane="bottomLeft" activeCell="H35" sqref="H35"/>
      <selection pane="bottomRight" activeCell="G7" sqref="G7"/>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1:22">
      <c r="M1" t="s">
        <v>196</v>
      </c>
      <c r="N1" s="55">
        <f>RPI!E2</f>
        <v>1.167</v>
      </c>
      <c r="O1" s="55">
        <f>RPI!F2</f>
        <v>1.19</v>
      </c>
      <c r="P1" s="55">
        <f>RPI!G2</f>
        <v>1.202</v>
      </c>
      <c r="Q1" s="55">
        <f>RPI!H2</f>
        <v>1.228</v>
      </c>
      <c r="R1" s="55">
        <f>RPI!I2</f>
        <v>1.274</v>
      </c>
      <c r="S1" s="55">
        <f>RPI!J2</f>
        <v>1.3129999999999999</v>
      </c>
      <c r="T1" s="55">
        <f>RPI!K2</f>
        <v>1.349</v>
      </c>
      <c r="U1" s="55">
        <f>RPI!L2</f>
        <v>1.3879999999999999</v>
      </c>
    </row>
    <row r="2" spans="1: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1:22" ht="13.8" thickBot="1">
      <c r="M3" t="s">
        <v>198</v>
      </c>
      <c r="N3" s="55">
        <f>RPI!E4</f>
        <v>1.1495010041711728</v>
      </c>
      <c r="O3" s="55"/>
      <c r="P3" s="55"/>
      <c r="Q3" s="55"/>
      <c r="R3" s="55"/>
      <c r="S3" s="55"/>
      <c r="T3" s="55"/>
      <c r="U3" s="55"/>
    </row>
    <row r="4" spans="1: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5" spans="1:22">
      <c r="A5" t="s">
        <v>338</v>
      </c>
    </row>
    <row r="6" spans="1:22">
      <c r="B6" s="38" t="s">
        <v>339</v>
      </c>
    </row>
    <row r="7" spans="1:22">
      <c r="B7" t="s">
        <v>204</v>
      </c>
      <c r="D7" s="187">
        <v>73.775027711210655</v>
      </c>
      <c r="E7" s="187">
        <v>74.857370793520886</v>
      </c>
      <c r="F7" s="187">
        <v>77.005994132717234</v>
      </c>
      <c r="G7" s="187">
        <v>78.582137772280092</v>
      </c>
      <c r="H7" s="187">
        <v>79.36050736397776</v>
      </c>
      <c r="I7" s="187">
        <v>79.998881974263142</v>
      </c>
      <c r="J7" s="187">
        <v>81.754729960219521</v>
      </c>
      <c r="K7" s="187">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110.28713071633614</v>
      </c>
      <c r="U7" s="53">
        <f t="shared" si="0"/>
        <v>116.13794860189735</v>
      </c>
      <c r="V7" s="53">
        <f>SUM(N7:U7)</f>
        <v>796.80469644730749</v>
      </c>
    </row>
    <row r="8" spans="1:22">
      <c r="B8" t="s">
        <v>206</v>
      </c>
      <c r="D8" s="187">
        <v>39.230261993822481</v>
      </c>
      <c r="E8" s="187">
        <v>34.208586772300464</v>
      </c>
      <c r="F8" s="187">
        <v>29.40934615713995</v>
      </c>
      <c r="G8" s="187">
        <v>27.165060319864111</v>
      </c>
      <c r="H8" s="187">
        <v>29.591699211758403</v>
      </c>
      <c r="I8" s="187">
        <v>20.377561078577621</v>
      </c>
      <c r="J8" s="187">
        <v>25.429651204161818</v>
      </c>
      <c r="K8" s="187">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34.304599474414289</v>
      </c>
      <c r="U8" s="53">
        <f t="shared" si="0"/>
        <v>35.266839259891107</v>
      </c>
      <c r="V8" s="53">
        <f>SUM(N8:U8)</f>
        <v>289.22566338576178</v>
      </c>
    </row>
    <row r="9" spans="1:22">
      <c r="B9" s="38" t="s">
        <v>207</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144.59173019075041</v>
      </c>
      <c r="U9" s="57">
        <f t="shared" si="3"/>
        <v>151.40478786178846</v>
      </c>
      <c r="V9" s="57">
        <f t="shared" si="3"/>
        <v>1086.0303598330693</v>
      </c>
    </row>
    <row r="10" spans="1:22">
      <c r="D10" s="53"/>
      <c r="E10" s="53"/>
      <c r="F10" s="53"/>
      <c r="G10" s="53"/>
      <c r="H10" s="53"/>
      <c r="I10" s="53"/>
      <c r="J10" s="53"/>
      <c r="K10" s="53"/>
      <c r="N10" s="53"/>
      <c r="O10" s="53"/>
      <c r="P10" s="53"/>
      <c r="Q10" s="53"/>
      <c r="R10" s="53"/>
      <c r="S10" s="53"/>
      <c r="T10" s="53"/>
      <c r="U10" s="53"/>
      <c r="V10" s="53"/>
    </row>
    <row r="11" spans="1:22">
      <c r="B11" s="38" t="s">
        <v>340</v>
      </c>
      <c r="D11" s="53"/>
      <c r="E11" s="53"/>
      <c r="F11" s="53"/>
      <c r="G11" s="53"/>
      <c r="H11" s="53"/>
      <c r="I11" s="53"/>
      <c r="J11" s="53"/>
      <c r="K11" s="53"/>
      <c r="N11" s="53"/>
      <c r="O11" s="53"/>
      <c r="P11" s="53"/>
      <c r="Q11" s="53"/>
      <c r="R11" s="53"/>
      <c r="S11" s="53"/>
      <c r="T11" s="53"/>
      <c r="U11" s="53"/>
      <c r="V11" s="53"/>
    </row>
    <row r="12" spans="1:22">
      <c r="B12" t="s">
        <v>210</v>
      </c>
      <c r="D12" s="221">
        <v>12.6</v>
      </c>
      <c r="E12" s="221">
        <v>0.53225726739315926</v>
      </c>
      <c r="F12" s="221">
        <v>1.4855538657092655</v>
      </c>
      <c r="G12" s="221">
        <v>1.1360117796600266</v>
      </c>
      <c r="H12" s="221">
        <v>1.0804028114249202</v>
      </c>
      <c r="I12" s="221">
        <v>1.061336879458598</v>
      </c>
      <c r="J12" s="221">
        <v>1.0581592241308779</v>
      </c>
      <c r="K12" s="221">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1.3935353227291392</v>
      </c>
      <c r="T12" s="53">
        <f t="shared" si="4"/>
        <v>1.4274567933525544</v>
      </c>
      <c r="U12" s="53">
        <f t="shared" si="4"/>
        <v>1.4135926831577101</v>
      </c>
      <c r="V12" s="53">
        <f>SUM(N12:U12)</f>
        <v>24.129262341197663</v>
      </c>
    </row>
    <row r="13" spans="1:22">
      <c r="B13" t="s">
        <v>212</v>
      </c>
      <c r="D13" s="221">
        <v>0</v>
      </c>
      <c r="E13" s="221">
        <v>2.2839187505600642</v>
      </c>
      <c r="F13" s="221">
        <v>6.3745194978318223</v>
      </c>
      <c r="G13" s="221">
        <v>4.8746325571655111</v>
      </c>
      <c r="H13" s="221">
        <v>4.6360141802413253</v>
      </c>
      <c r="I13" s="221">
        <v>4.5542021652958891</v>
      </c>
      <c r="J13" s="221">
        <v>4.5405668294716515</v>
      </c>
      <c r="K13" s="221">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5.9796674430335024</v>
      </c>
      <c r="T13" s="53">
        <f t="shared" si="4"/>
        <v>6.1252246529572574</v>
      </c>
      <c r="U13" s="53">
        <f t="shared" si="4"/>
        <v>6.0657336827561021</v>
      </c>
      <c r="V13" s="53">
        <f>SUM(N13:U13)</f>
        <v>40.442992374133887</v>
      </c>
    </row>
    <row r="14" spans="1:22">
      <c r="B14" s="38" t="s">
        <v>341</v>
      </c>
      <c r="N14" s="53"/>
      <c r="O14" s="53"/>
      <c r="P14" s="53"/>
      <c r="Q14" s="53"/>
      <c r="R14" s="53"/>
      <c r="S14" s="53"/>
      <c r="T14" s="53"/>
      <c r="U14" s="53"/>
      <c r="V14" s="53"/>
    </row>
    <row r="15" spans="1:22">
      <c r="B15" t="s">
        <v>342</v>
      </c>
      <c r="D15" s="187">
        <v>241.91835100747039</v>
      </c>
      <c r="E15" s="187">
        <v>206.22285805015076</v>
      </c>
      <c r="F15" s="187">
        <v>183.4765697039528</v>
      </c>
      <c r="G15" s="187">
        <v>187.40173539185469</v>
      </c>
      <c r="H15" s="187">
        <v>142.92705896695065</v>
      </c>
      <c r="I15" s="187">
        <v>124.46128971626086</v>
      </c>
      <c r="J15" s="187">
        <v>44.072350609794569</v>
      </c>
      <c r="K15" s="187">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59.453600972612875</v>
      </c>
      <c r="U15" s="53">
        <f t="shared" si="6"/>
        <v>39.396365513873704</v>
      </c>
      <c r="V15" s="53">
        <f t="shared" ref="V15:V17" si="7">SUM(N15:U15)</f>
        <v>1422.7487975585782</v>
      </c>
    </row>
    <row r="16" spans="1:22">
      <c r="B16" t="s">
        <v>343</v>
      </c>
      <c r="D16" s="187">
        <v>506.11836500601339</v>
      </c>
      <c r="E16" s="187">
        <v>499.20409814951984</v>
      </c>
      <c r="F16" s="187">
        <v>485.07329761796098</v>
      </c>
      <c r="G16" s="187">
        <v>489.14143160750723</v>
      </c>
      <c r="H16" s="187">
        <v>622.61892466629627</v>
      </c>
      <c r="I16" s="187">
        <v>715.79753719305393</v>
      </c>
      <c r="J16" s="187">
        <v>784.25081046797004</v>
      </c>
      <c r="K16" s="187">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1057.9543433212916</v>
      </c>
      <c r="U16" s="53">
        <f t="shared" si="6"/>
        <v>977.44766614644607</v>
      </c>
      <c r="V16" s="53">
        <f t="shared" ref="V16" si="8">SUM(N16:U16)</f>
        <v>6136.8774763378324</v>
      </c>
    </row>
    <row r="17" spans="1:22">
      <c r="B17" t="s">
        <v>204</v>
      </c>
      <c r="D17" s="187">
        <v>192.21282629439594</v>
      </c>
      <c r="E17" s="187">
        <v>196.41204072355288</v>
      </c>
      <c r="F17" s="187">
        <v>203.04710659109347</v>
      </c>
      <c r="G17" s="187">
        <v>204.35171680440774</v>
      </c>
      <c r="H17" s="187">
        <v>205.72203973741003</v>
      </c>
      <c r="I17" s="187">
        <v>206.0644404839947</v>
      </c>
      <c r="J17" s="187">
        <v>207.83890997781467</v>
      </c>
      <c r="K17" s="187">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280.374689560072</v>
      </c>
      <c r="U17" s="53">
        <f t="shared" si="6"/>
        <v>288.98722875141522</v>
      </c>
      <c r="V17" s="53">
        <f t="shared" si="7"/>
        <v>2055.0636343973279</v>
      </c>
    </row>
    <row r="18" spans="1:22">
      <c r="N18" s="53"/>
      <c r="O18" s="53"/>
      <c r="P18" s="53"/>
      <c r="Q18" s="53"/>
      <c r="R18" s="53"/>
      <c r="S18" s="53"/>
      <c r="T18" s="53"/>
      <c r="U18" s="53"/>
      <c r="V18" s="53"/>
    </row>
    <row r="19" spans="1:22">
      <c r="B19" s="38" t="s">
        <v>344</v>
      </c>
      <c r="N19" s="53"/>
      <c r="O19" s="53"/>
      <c r="P19" s="53"/>
      <c r="Q19" s="53"/>
      <c r="R19" s="53"/>
      <c r="S19" s="53"/>
      <c r="T19" s="53"/>
      <c r="U19" s="53"/>
      <c r="V19" s="53"/>
    </row>
    <row r="20" spans="1:22">
      <c r="B20" t="s">
        <v>206</v>
      </c>
      <c r="D20" s="187">
        <v>669.91860065738774</v>
      </c>
      <c r="E20" s="187">
        <v>673.85325590994876</v>
      </c>
      <c r="F20" s="187">
        <v>620.76065576751682</v>
      </c>
      <c r="G20" s="187">
        <v>581.36779364217136</v>
      </c>
      <c r="H20" s="187">
        <v>316.78762224396468</v>
      </c>
      <c r="I20" s="187">
        <v>227.12358350445467</v>
      </c>
      <c r="J20" s="187">
        <v>94.019391932813818</v>
      </c>
      <c r="K20" s="187">
        <v>34.786470994134092</v>
      </c>
      <c r="L20" s="53">
        <f t="shared" ref="L20:L21" si="9">SUM(D20:K20)</f>
        <v>3218.6173746523918</v>
      </c>
      <c r="N20" s="53">
        <f>D20*N$1</f>
        <v>781.7950069671715</v>
      </c>
      <c r="O20" s="53">
        <f t="shared" ref="O20:U21" si="10">E20*O$1</f>
        <v>801.88537453283902</v>
      </c>
      <c r="P20" s="53">
        <f t="shared" si="10"/>
        <v>746.15430823255519</v>
      </c>
      <c r="Q20" s="53">
        <f t="shared" si="10"/>
        <v>713.91965059258644</v>
      </c>
      <c r="R20" s="53">
        <f t="shared" si="10"/>
        <v>403.58743073881101</v>
      </c>
      <c r="S20" s="53">
        <f t="shared" si="10"/>
        <v>298.21326514134898</v>
      </c>
      <c r="T20" s="53">
        <f t="shared" si="10"/>
        <v>126.83215971736584</v>
      </c>
      <c r="U20" s="53">
        <f t="shared" si="10"/>
        <v>48.283621739858113</v>
      </c>
      <c r="V20" s="53">
        <f t="shared" ref="V20:V21" si="11">SUM(N20:U20)</f>
        <v>3920.6708176625361</v>
      </c>
    </row>
    <row r="21" spans="1:22">
      <c r="B21" t="s">
        <v>204</v>
      </c>
      <c r="D21" s="187">
        <v>1.0854967381420191</v>
      </c>
      <c r="E21" s="187">
        <v>3.1874299535058723</v>
      </c>
      <c r="F21" s="187">
        <v>8.7933031383547409</v>
      </c>
      <c r="G21" s="187">
        <v>14.449105184117492</v>
      </c>
      <c r="H21" s="187">
        <v>44.98161721307374</v>
      </c>
      <c r="I21" s="187">
        <v>56.115444380322963</v>
      </c>
      <c r="J21" s="187">
        <v>33.694808241742152</v>
      </c>
      <c r="K21" s="187">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73.679578471364053</v>
      </c>
      <c r="T21" s="53">
        <f t="shared" si="10"/>
        <v>45.45429631811016</v>
      </c>
      <c r="U21" s="53">
        <f t="shared" si="10"/>
        <v>7.157267922661835</v>
      </c>
      <c r="V21" s="53">
        <f t="shared" si="11"/>
        <v>216.97059091807438</v>
      </c>
    </row>
    <row r="22" spans="1:22">
      <c r="N22" s="53"/>
      <c r="O22" s="53"/>
      <c r="P22" s="53"/>
      <c r="Q22" s="53"/>
      <c r="R22" s="53"/>
      <c r="S22" s="53"/>
      <c r="T22" s="53"/>
      <c r="U22" s="53"/>
      <c r="V22" s="53"/>
    </row>
    <row r="23" spans="1:22" ht="15.6">
      <c r="B23" s="59" t="s">
        <v>345</v>
      </c>
      <c r="C23" s="60"/>
      <c r="D23" s="61">
        <f>SUM(D15:D21)</f>
        <v>1611.2536397034094</v>
      </c>
      <c r="E23" s="61">
        <f t="shared" ref="E23:L23" si="12">SUM(E15:E21)</f>
        <v>1578.8796827866781</v>
      </c>
      <c r="F23" s="61">
        <f t="shared" si="12"/>
        <v>1501.1509328188788</v>
      </c>
      <c r="G23" s="61">
        <f t="shared" si="12"/>
        <v>1476.7117826300585</v>
      </c>
      <c r="H23" s="61">
        <f t="shared" si="12"/>
        <v>1333.0372628276955</v>
      </c>
      <c r="I23" s="61">
        <f t="shared" si="12"/>
        <v>1329.5622952780873</v>
      </c>
      <c r="J23" s="61">
        <f t="shared" si="12"/>
        <v>1163.876271230135</v>
      </c>
      <c r="K23" s="61">
        <f t="shared" si="12"/>
        <v>980.74362397280629</v>
      </c>
      <c r="L23" s="61">
        <f t="shared" si="12"/>
        <v>10975.215491247747</v>
      </c>
      <c r="N23" s="61">
        <f>SUM(N15:N21)</f>
        <v>1880.3329975338788</v>
      </c>
      <c r="O23" s="61">
        <f t="shared" ref="O23:V23" si="13">SUM(O15:O21)</f>
        <v>1878.8668225161468</v>
      </c>
      <c r="P23" s="61">
        <f t="shared" si="13"/>
        <v>1804.3834212482925</v>
      </c>
      <c r="Q23" s="61">
        <f t="shared" si="13"/>
        <v>1813.4020690697121</v>
      </c>
      <c r="R23" s="61">
        <f t="shared" si="13"/>
        <v>1698.289472842484</v>
      </c>
      <c r="S23" s="61">
        <f t="shared" si="13"/>
        <v>1745.7152937001283</v>
      </c>
      <c r="T23" s="61">
        <f t="shared" si="13"/>
        <v>1570.0690898894525</v>
      </c>
      <c r="U23" s="61">
        <f t="shared" si="13"/>
        <v>1361.2721500742548</v>
      </c>
      <c r="V23" s="61">
        <f t="shared" si="13"/>
        <v>13752.331316874348</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1">
        <v>94.24723304227993</v>
      </c>
      <c r="E26" s="191">
        <v>87.678224204681584</v>
      </c>
      <c r="F26" s="191">
        <v>87.676243763178761</v>
      </c>
      <c r="G26" s="191">
        <v>87.677481779017953</v>
      </c>
      <c r="H26" s="191">
        <v>87.676244486345595</v>
      </c>
      <c r="I26" s="191">
        <v>87.676244488148086</v>
      </c>
      <c r="J26" s="191">
        <v>87.676244492723825</v>
      </c>
      <c r="K26" s="191">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118.27525382068444</v>
      </c>
      <c r="U26" s="58">
        <f t="shared" si="15"/>
        <v>121.69462731362731</v>
      </c>
      <c r="V26" s="58">
        <f t="shared" ref="V26" si="16">SUM(N26:U26)</f>
        <v>894.16672601474102</v>
      </c>
    </row>
    <row r="27" spans="1:22">
      <c r="D27" s="191"/>
      <c r="E27" s="191"/>
      <c r="F27" s="191"/>
      <c r="G27" s="191"/>
      <c r="H27" s="191"/>
      <c r="I27" s="191"/>
      <c r="J27" s="191"/>
      <c r="K27" s="191"/>
      <c r="L27" s="58"/>
      <c r="N27" s="58"/>
      <c r="O27" s="58"/>
      <c r="P27" s="58"/>
      <c r="Q27" s="58"/>
      <c r="R27" s="58"/>
      <c r="S27" s="58"/>
      <c r="T27" s="58"/>
      <c r="U27" s="58"/>
      <c r="V27" s="58"/>
    </row>
    <row r="28" spans="1:22">
      <c r="A28" t="s">
        <v>346</v>
      </c>
      <c r="N28" s="53"/>
      <c r="O28" s="53"/>
      <c r="P28" s="53"/>
      <c r="Q28" s="53"/>
      <c r="R28" s="53"/>
      <c r="S28" s="53"/>
      <c r="T28" s="53"/>
      <c r="U28" s="53"/>
      <c r="V28" s="53"/>
    </row>
    <row r="29" spans="1:22">
      <c r="B29" s="38" t="s">
        <v>339</v>
      </c>
    </row>
    <row r="30" spans="1:22">
      <c r="B30" t="s">
        <v>204</v>
      </c>
      <c r="D30" s="223">
        <v>79.7033362768789</v>
      </c>
      <c r="E30" s="223">
        <v>77.100111658648601</v>
      </c>
      <c r="F30" s="223">
        <v>80.130014358755901</v>
      </c>
      <c r="G30" s="223">
        <v>83.456770329445604</v>
      </c>
      <c r="H30" s="223">
        <v>83.996521544219092</v>
      </c>
      <c r="I30" s="223">
        <v>84.553084139559033</v>
      </c>
      <c r="J30" s="223">
        <v>86.295296789691179</v>
      </c>
      <c r="K30" s="223">
        <v>88.042998764159549</v>
      </c>
      <c r="L30" s="53">
        <f>SUM(D30:K30)</f>
        <v>663.27813386135779</v>
      </c>
      <c r="N30" s="53">
        <f>D30*N$1</f>
        <v>93.013793435117677</v>
      </c>
      <c r="O30" s="53">
        <f t="shared" ref="O30:U31" si="17">E30*O$1</f>
        <v>91.749132873791837</v>
      </c>
      <c r="P30" s="53">
        <f t="shared" si="17"/>
        <v>96.316277259224591</v>
      </c>
      <c r="Q30" s="53">
        <f t="shared" si="17"/>
        <v>102.4849139645592</v>
      </c>
      <c r="R30" s="53">
        <f t="shared" si="17"/>
        <v>107.01156844733512</v>
      </c>
      <c r="S30" s="53">
        <f t="shared" si="17"/>
        <v>111.018199475241</v>
      </c>
      <c r="T30" s="53">
        <f t="shared" si="17"/>
        <v>116.41235536929339</v>
      </c>
      <c r="U30" s="53">
        <f t="shared" si="17"/>
        <v>122.20368228465344</v>
      </c>
      <c r="V30" s="53">
        <f>SUM(N30:U30)</f>
        <v>840.20992310921633</v>
      </c>
    </row>
    <row r="31" spans="1:22">
      <c r="B31" t="s">
        <v>206</v>
      </c>
      <c r="D31" s="223">
        <v>32.195193804935066</v>
      </c>
      <c r="E31" s="223">
        <v>34.412038344731393</v>
      </c>
      <c r="F31" s="223">
        <v>33.431784730351957</v>
      </c>
      <c r="G31" s="223">
        <v>28.301072099524138</v>
      </c>
      <c r="H31" s="223">
        <v>30.672102023183324</v>
      </c>
      <c r="I31" s="223">
        <v>21.438897958036218</v>
      </c>
      <c r="J31" s="223">
        <v>26.487810428292697</v>
      </c>
      <c r="K31" s="223">
        <v>26.426824166461682</v>
      </c>
      <c r="L31" s="53">
        <f>SUM(D31:K31)</f>
        <v>233.36572355551647</v>
      </c>
      <c r="N31" s="53">
        <f t="shared" ref="N31" si="18">D31*N$1</f>
        <v>37.571791170359226</v>
      </c>
      <c r="O31" s="53">
        <f t="shared" si="17"/>
        <v>40.950325630230353</v>
      </c>
      <c r="P31" s="53">
        <f t="shared" si="17"/>
        <v>40.185005245883048</v>
      </c>
      <c r="Q31" s="53">
        <f t="shared" si="17"/>
        <v>34.753716538215642</v>
      </c>
      <c r="R31" s="53">
        <f t="shared" si="17"/>
        <v>39.076257977535555</v>
      </c>
      <c r="S31" s="53">
        <f t="shared" si="17"/>
        <v>28.149273018901553</v>
      </c>
      <c r="T31" s="53">
        <f t="shared" si="17"/>
        <v>35.732056267766851</v>
      </c>
      <c r="U31" s="53">
        <f t="shared" si="17"/>
        <v>36.680431943048809</v>
      </c>
      <c r="V31" s="53">
        <f>SUM(N31:U31)</f>
        <v>293.09885779194099</v>
      </c>
    </row>
    <row r="32" spans="1:22">
      <c r="B32" s="38" t="s">
        <v>207</v>
      </c>
      <c r="D32" s="57">
        <f>SUM(D30:D31)</f>
        <v>111.89853008181396</v>
      </c>
      <c r="E32" s="57">
        <f t="shared" ref="E32:L32" si="19">SUM(E30:E31)</f>
        <v>111.51215000337999</v>
      </c>
      <c r="F32" s="57">
        <f t="shared" si="19"/>
        <v>113.56179908910786</v>
      </c>
      <c r="G32" s="57">
        <f t="shared" si="19"/>
        <v>111.75784242896974</v>
      </c>
      <c r="H32" s="57">
        <f t="shared" si="19"/>
        <v>114.66862356740242</v>
      </c>
      <c r="I32" s="57">
        <f t="shared" si="19"/>
        <v>105.99198209759525</v>
      </c>
      <c r="J32" s="57">
        <f t="shared" si="19"/>
        <v>112.78310721798388</v>
      </c>
      <c r="K32" s="57">
        <f t="shared" si="19"/>
        <v>114.46982293062123</v>
      </c>
      <c r="L32" s="57">
        <f t="shared" si="19"/>
        <v>896.6438574168742</v>
      </c>
      <c r="N32" s="57">
        <f>SUM(N30:N31)</f>
        <v>130.5855846054769</v>
      </c>
      <c r="O32" s="57">
        <f t="shared" ref="O32:V32" si="20">SUM(O30:O31)</f>
        <v>132.69945850402218</v>
      </c>
      <c r="P32" s="57">
        <f t="shared" si="20"/>
        <v>136.50128250510764</v>
      </c>
      <c r="Q32" s="57">
        <f t="shared" si="20"/>
        <v>137.23863050277484</v>
      </c>
      <c r="R32" s="57">
        <f t="shared" si="20"/>
        <v>146.08782642487068</v>
      </c>
      <c r="S32" s="57">
        <f t="shared" si="20"/>
        <v>139.16747249414254</v>
      </c>
      <c r="T32" s="57">
        <f t="shared" si="20"/>
        <v>152.14441163706024</v>
      </c>
      <c r="U32" s="57">
        <f t="shared" si="20"/>
        <v>158.88411422770224</v>
      </c>
      <c r="V32" s="57">
        <f t="shared" si="20"/>
        <v>1133.3087809011572</v>
      </c>
    </row>
    <row r="33" spans="2:22">
      <c r="D33" s="53"/>
      <c r="E33" s="53"/>
      <c r="F33" s="53"/>
      <c r="G33" s="53"/>
      <c r="H33" s="53"/>
      <c r="I33" s="53"/>
      <c r="J33" s="53"/>
      <c r="K33" s="53"/>
      <c r="N33" s="53"/>
      <c r="O33" s="53"/>
      <c r="P33" s="53"/>
      <c r="Q33" s="53"/>
      <c r="R33" s="53"/>
      <c r="S33" s="53"/>
      <c r="T33" s="53"/>
      <c r="U33" s="53"/>
      <c r="V33" s="53"/>
    </row>
    <row r="34" spans="2:22">
      <c r="B34" s="38" t="s">
        <v>340</v>
      </c>
      <c r="D34" s="53"/>
      <c r="E34" s="53"/>
      <c r="F34" s="53"/>
      <c r="G34" s="53"/>
      <c r="H34" s="53"/>
      <c r="I34" s="53"/>
      <c r="J34" s="53"/>
      <c r="K34" s="53"/>
      <c r="N34" s="53"/>
      <c r="O34" s="53"/>
      <c r="P34" s="53"/>
      <c r="Q34" s="53"/>
      <c r="R34" s="53"/>
      <c r="S34" s="53"/>
      <c r="T34" s="53"/>
      <c r="U34" s="53"/>
      <c r="V34" s="53"/>
    </row>
    <row r="35" spans="2:22">
      <c r="B35" t="s">
        <v>210</v>
      </c>
      <c r="D35" s="222">
        <v>0</v>
      </c>
      <c r="E35" s="222">
        <v>0</v>
      </c>
      <c r="F35" s="222">
        <v>0</v>
      </c>
      <c r="G35" s="222">
        <v>0</v>
      </c>
      <c r="H35" s="222">
        <v>0</v>
      </c>
      <c r="I35" s="222">
        <v>0</v>
      </c>
      <c r="J35" s="222">
        <v>0</v>
      </c>
      <c r="K35" s="222">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212</v>
      </c>
      <c r="D36" s="222">
        <v>0</v>
      </c>
      <c r="E36" s="222">
        <v>0</v>
      </c>
      <c r="F36" s="222">
        <v>0</v>
      </c>
      <c r="G36" s="222">
        <v>0</v>
      </c>
      <c r="H36" s="222">
        <v>0</v>
      </c>
      <c r="I36" s="222">
        <v>0</v>
      </c>
      <c r="J36" s="222">
        <v>0</v>
      </c>
      <c r="K36" s="222">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c r="B37" s="38" t="s">
        <v>341</v>
      </c>
      <c r="N37" s="53"/>
      <c r="O37" s="53"/>
      <c r="P37" s="53"/>
      <c r="Q37" s="53"/>
      <c r="R37" s="53"/>
      <c r="S37" s="53"/>
      <c r="T37" s="53"/>
      <c r="U37" s="53"/>
      <c r="V37" s="53"/>
    </row>
    <row r="38" spans="2:22">
      <c r="B38" t="s">
        <v>342</v>
      </c>
      <c r="D38" s="223">
        <v>567.3110704397667</v>
      </c>
      <c r="E38" s="223">
        <v>437.45333836790246</v>
      </c>
      <c r="F38" s="223">
        <v>400.75604129775314</v>
      </c>
      <c r="G38" s="223">
        <v>744.20373539185471</v>
      </c>
      <c r="H38" s="223">
        <v>444.07605896695065</v>
      </c>
      <c r="I38" s="223">
        <v>332.05128971626084</v>
      </c>
      <c r="J38" s="223">
        <v>126.36535060979458</v>
      </c>
      <c r="K38" s="223">
        <v>61.375966141119385</v>
      </c>
      <c r="L38" s="53">
        <f t="shared" ref="L38:L40" si="22">SUM(D38:K38)</f>
        <v>3113.5928509314026</v>
      </c>
      <c r="N38" s="53">
        <f>D38*N$1</f>
        <v>662.05201920320781</v>
      </c>
      <c r="O38" s="53">
        <f t="shared" ref="O38:U40" si="23">E38*O$1</f>
        <v>520.56947265780389</v>
      </c>
      <c r="P38" s="53">
        <f t="shared" si="23"/>
        <v>481.70876163989925</v>
      </c>
      <c r="Q38" s="53">
        <f t="shared" si="23"/>
        <v>913.88218706119756</v>
      </c>
      <c r="R38" s="53">
        <f t="shared" si="23"/>
        <v>565.75289912389519</v>
      </c>
      <c r="S38" s="53">
        <f t="shared" si="23"/>
        <v>435.98334339745048</v>
      </c>
      <c r="T38" s="53">
        <f t="shared" si="23"/>
        <v>170.46685797261287</v>
      </c>
      <c r="U38" s="53">
        <f t="shared" si="23"/>
        <v>85.189841003873696</v>
      </c>
      <c r="V38" s="53">
        <f t="shared" ref="V38" si="24">SUM(N38:U38)</f>
        <v>3835.6053820599409</v>
      </c>
    </row>
    <row r="39" spans="2:22">
      <c r="B39" t="s">
        <v>343</v>
      </c>
      <c r="D39" s="223">
        <v>431.63071160052158</v>
      </c>
      <c r="E39" s="223">
        <v>241.53368489438679</v>
      </c>
      <c r="F39" s="223">
        <v>341.19582154200572</v>
      </c>
      <c r="G39" s="223">
        <v>513.70722524967857</v>
      </c>
      <c r="H39" s="223">
        <v>638.257546910261</v>
      </c>
      <c r="I39" s="223">
        <v>735.3311206975086</v>
      </c>
      <c r="J39" s="223">
        <v>795.97720240078388</v>
      </c>
      <c r="K39" s="223">
        <v>706.00706944978697</v>
      </c>
      <c r="L39" s="53">
        <f t="shared" si="22"/>
        <v>4403.640382744933</v>
      </c>
      <c r="N39" s="53">
        <f>D39*N$1</f>
        <v>503.71304043780867</v>
      </c>
      <c r="O39" s="53">
        <f t="shared" si="23"/>
        <v>287.42508502432025</v>
      </c>
      <c r="P39" s="53">
        <f t="shared" si="23"/>
        <v>410.11737749349084</v>
      </c>
      <c r="Q39" s="53">
        <f t="shared" si="23"/>
        <v>630.83247260660528</v>
      </c>
      <c r="R39" s="53">
        <f t="shared" si="23"/>
        <v>813.1401147636725</v>
      </c>
      <c r="S39" s="53">
        <f t="shared" si="23"/>
        <v>965.4897614758288</v>
      </c>
      <c r="T39" s="53">
        <f t="shared" si="23"/>
        <v>1073.7732460386574</v>
      </c>
      <c r="U39" s="53">
        <f t="shared" si="23"/>
        <v>979.93781239630425</v>
      </c>
      <c r="V39" s="53">
        <f t="shared" ref="V39" si="25">SUM(N39:U39)</f>
        <v>5664.4289102366884</v>
      </c>
    </row>
    <row r="40" spans="2:22">
      <c r="B40" t="s">
        <v>204</v>
      </c>
      <c r="D40" s="223">
        <v>199.95778553358039</v>
      </c>
      <c r="E40" s="223">
        <v>219.64811742497454</v>
      </c>
      <c r="F40" s="223">
        <v>223.36460552269017</v>
      </c>
      <c r="G40" s="223">
        <v>218.80082198852523</v>
      </c>
      <c r="H40" s="223">
        <v>250.70365695048378</v>
      </c>
      <c r="I40" s="223">
        <v>262.17988486431767</v>
      </c>
      <c r="J40" s="223">
        <v>241.53371821955682</v>
      </c>
      <c r="K40" s="223">
        <v>213.3605883818999</v>
      </c>
      <c r="L40" s="53">
        <f t="shared" si="22"/>
        <v>1829.5491788860286</v>
      </c>
      <c r="N40" s="53">
        <f>D40*N$1</f>
        <v>233.35073571768834</v>
      </c>
      <c r="O40" s="53">
        <f t="shared" si="23"/>
        <v>261.38125973571971</v>
      </c>
      <c r="P40" s="53">
        <f t="shared" si="23"/>
        <v>268.48425583827355</v>
      </c>
      <c r="Q40" s="53">
        <f t="shared" si="23"/>
        <v>268.68740940190895</v>
      </c>
      <c r="R40" s="53">
        <f t="shared" si="23"/>
        <v>319.39645895491634</v>
      </c>
      <c r="S40" s="53">
        <f t="shared" si="23"/>
        <v>344.24218882684909</v>
      </c>
      <c r="T40" s="53">
        <f t="shared" si="23"/>
        <v>325.82898587818215</v>
      </c>
      <c r="U40" s="53">
        <f t="shared" si="23"/>
        <v>296.14449667407706</v>
      </c>
      <c r="V40" s="53">
        <f t="shared" ref="V40" si="26">SUM(N40:U40)</f>
        <v>2317.5157910276153</v>
      </c>
    </row>
    <row r="41" spans="2:22">
      <c r="N41" s="53"/>
      <c r="O41" s="53"/>
      <c r="P41" s="53"/>
      <c r="Q41" s="53"/>
      <c r="R41" s="53"/>
      <c r="S41" s="53"/>
      <c r="T41" s="53"/>
      <c r="U41" s="53"/>
      <c r="V41" s="53"/>
    </row>
    <row r="42" spans="2:22">
      <c r="B42" s="38" t="s">
        <v>344</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204</v>
      </c>
      <c r="D44" s="223">
        <v>0</v>
      </c>
      <c r="E44" s="223">
        <v>0</v>
      </c>
      <c r="F44" s="223">
        <v>0</v>
      </c>
      <c r="G44" s="223">
        <v>0</v>
      </c>
      <c r="H44" s="223">
        <v>0</v>
      </c>
      <c r="I44" s="223">
        <v>0</v>
      </c>
      <c r="J44" s="223">
        <v>0</v>
      </c>
      <c r="K44" s="223">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6">
      <c r="B46" s="59" t="s">
        <v>345</v>
      </c>
      <c r="C46" s="60"/>
      <c r="D46" s="61">
        <f>SUM(D38:D44)</f>
        <v>1198.8995675738686</v>
      </c>
      <c r="E46" s="61">
        <f t="shared" ref="E46:L46" si="30">SUM(E38:E44)</f>
        <v>898.63514068726386</v>
      </c>
      <c r="F46" s="61">
        <f t="shared" si="30"/>
        <v>965.31646836244909</v>
      </c>
      <c r="G46" s="61">
        <f t="shared" si="30"/>
        <v>1476.7117826300585</v>
      </c>
      <c r="H46" s="61">
        <f t="shared" si="30"/>
        <v>1333.0372628276953</v>
      </c>
      <c r="I46" s="61">
        <f t="shared" si="30"/>
        <v>1329.562295278087</v>
      </c>
      <c r="J46" s="61">
        <f t="shared" si="30"/>
        <v>1163.8762712301354</v>
      </c>
      <c r="K46" s="61">
        <f t="shared" si="30"/>
        <v>980.74362397280629</v>
      </c>
      <c r="L46" s="61">
        <f t="shared" si="30"/>
        <v>9346.7824125623647</v>
      </c>
      <c r="N46" s="61">
        <f>SUM(N38:N44)</f>
        <v>1399.1157953587049</v>
      </c>
      <c r="O46" s="61">
        <f t="shared" ref="O46:V46" si="31">SUM(O38:O44)</f>
        <v>1069.3758174178438</v>
      </c>
      <c r="P46" s="61">
        <f t="shared" si="31"/>
        <v>1160.3103949716638</v>
      </c>
      <c r="Q46" s="61">
        <f t="shared" si="31"/>
        <v>1813.4020690697118</v>
      </c>
      <c r="R46" s="61">
        <f t="shared" si="31"/>
        <v>1698.289472842484</v>
      </c>
      <c r="S46" s="61">
        <f t="shared" si="31"/>
        <v>1745.7152937001283</v>
      </c>
      <c r="T46" s="61">
        <f t="shared" si="31"/>
        <v>1570.0690898894522</v>
      </c>
      <c r="U46" s="61">
        <f t="shared" si="31"/>
        <v>1361.272150074255</v>
      </c>
      <c r="V46" s="61">
        <f t="shared" si="31"/>
        <v>11817.550083324246</v>
      </c>
    </row>
    <row r="47" spans="2:22">
      <c r="N47" s="53"/>
      <c r="O47" s="53"/>
      <c r="P47" s="53"/>
      <c r="Q47" s="53"/>
      <c r="R47" s="53"/>
      <c r="S47" s="53"/>
      <c r="T47" s="53"/>
      <c r="U47" s="53"/>
      <c r="V47" s="53"/>
    </row>
    <row r="49" spans="1:12" s="188" customFormat="1"/>
    <row r="50" spans="1:12" ht="13.8" thickBot="1"/>
    <row r="51" spans="1:12" ht="16.8">
      <c r="A51" s="68"/>
      <c r="B51" s="69" t="s">
        <v>237</v>
      </c>
      <c r="D51" s="70">
        <v>41729</v>
      </c>
      <c r="E51" s="71">
        <v>42094</v>
      </c>
      <c r="F51" s="71">
        <v>42460</v>
      </c>
      <c r="G51" s="71">
        <v>42825</v>
      </c>
      <c r="H51" s="71">
        <v>43190</v>
      </c>
      <c r="I51" s="71">
        <v>43555</v>
      </c>
      <c r="J51" s="71">
        <v>43921</v>
      </c>
      <c r="K51" s="72">
        <v>44286</v>
      </c>
      <c r="L51" s="73" t="s">
        <v>238</v>
      </c>
    </row>
    <row r="52" spans="1:12" ht="16.8">
      <c r="A52" s="74"/>
      <c r="B52" s="75" t="s">
        <v>239</v>
      </c>
      <c r="D52" s="76" t="s">
        <v>240</v>
      </c>
      <c r="E52" s="77" t="s">
        <v>240</v>
      </c>
      <c r="F52" s="77" t="s">
        <v>240</v>
      </c>
      <c r="G52" s="77" t="s">
        <v>240</v>
      </c>
      <c r="H52" s="77" t="s">
        <v>240</v>
      </c>
      <c r="I52" s="77" t="s">
        <v>240</v>
      </c>
      <c r="J52" s="77" t="s">
        <v>240</v>
      </c>
      <c r="K52" s="78" t="s">
        <v>240</v>
      </c>
      <c r="L52" s="79" t="s">
        <v>240</v>
      </c>
    </row>
    <row r="53" spans="1:12" ht="16.8">
      <c r="A53" s="80"/>
      <c r="B53" s="81" t="s">
        <v>207</v>
      </c>
      <c r="D53" s="82"/>
      <c r="E53" s="83"/>
      <c r="F53" s="83"/>
      <c r="G53" s="83"/>
      <c r="H53" s="83"/>
      <c r="I53" s="83"/>
      <c r="J53" s="83"/>
      <c r="K53" s="84"/>
      <c r="L53" s="85"/>
    </row>
    <row r="54" spans="1:12" ht="16.8">
      <c r="A54" s="86">
        <v>1</v>
      </c>
      <c r="B54" s="75" t="s">
        <v>241</v>
      </c>
      <c r="D54" s="87">
        <v>1183.4145331960985</v>
      </c>
      <c r="E54" s="88">
        <v>1034.9615355060273</v>
      </c>
      <c r="F54" s="88">
        <v>1034.0838614341585</v>
      </c>
      <c r="G54" s="88">
        <v>1255.2050152355498</v>
      </c>
      <c r="H54" s="88">
        <v>1133.0816734035409</v>
      </c>
      <c r="I54" s="88">
        <v>1130.1279509863741</v>
      </c>
      <c r="J54" s="88">
        <v>989.2948305456149</v>
      </c>
      <c r="K54" s="89">
        <v>833.63208037688537</v>
      </c>
      <c r="L54" s="90">
        <v>8593.8014806842493</v>
      </c>
    </row>
    <row r="55" spans="1:12" ht="16.8">
      <c r="A55" s="86">
        <v>2</v>
      </c>
      <c r="B55" s="75" t="s">
        <v>242</v>
      </c>
      <c r="D55" s="87">
        <v>208.83785879931173</v>
      </c>
      <c r="E55" s="88">
        <v>182.64027097165206</v>
      </c>
      <c r="F55" s="88">
        <v>182.48538731191039</v>
      </c>
      <c r="G55" s="88">
        <v>221.50676739450864</v>
      </c>
      <c r="H55" s="88">
        <v>199.95558942415431</v>
      </c>
      <c r="I55" s="88">
        <v>199.43434429171313</v>
      </c>
      <c r="J55" s="88">
        <v>174.58144068452032</v>
      </c>
      <c r="K55" s="89">
        <v>147.11154359592098</v>
      </c>
      <c r="L55" s="90">
        <v>1516.5532024736917</v>
      </c>
    </row>
    <row r="56" spans="1:12" ht="16.8">
      <c r="A56" s="86">
        <v>3</v>
      </c>
      <c r="B56" s="75" t="s">
        <v>243</v>
      </c>
      <c r="D56" s="87">
        <v>1392.2523919954103</v>
      </c>
      <c r="E56" s="88">
        <v>1217.6018064776792</v>
      </c>
      <c r="F56" s="88">
        <v>1216.569248746069</v>
      </c>
      <c r="G56" s="88">
        <v>1476.7117826300585</v>
      </c>
      <c r="H56" s="88">
        <v>1333.0372628276953</v>
      </c>
      <c r="I56" s="88">
        <v>1329.5622952780873</v>
      </c>
      <c r="J56" s="88">
        <v>1163.8762712301352</v>
      </c>
      <c r="K56" s="89">
        <v>980.74362397280629</v>
      </c>
      <c r="L56" s="90">
        <v>10110.354683157942</v>
      </c>
    </row>
    <row r="57" spans="1:12" ht="16.8">
      <c r="A57" s="80"/>
      <c r="B57" s="81" t="s">
        <v>244</v>
      </c>
      <c r="D57" s="82">
        <v>0</v>
      </c>
      <c r="E57" s="83">
        <v>0</v>
      </c>
      <c r="F57" s="83">
        <v>0</v>
      </c>
      <c r="G57" s="83">
        <v>0</v>
      </c>
      <c r="H57" s="83">
        <v>0</v>
      </c>
      <c r="I57" s="83">
        <v>0</v>
      </c>
      <c r="J57" s="83">
        <v>0</v>
      </c>
      <c r="K57" s="84">
        <v>0</v>
      </c>
      <c r="L57" s="85">
        <v>0</v>
      </c>
    </row>
    <row r="58" spans="1:12" ht="16.8">
      <c r="A58" s="86">
        <v>4</v>
      </c>
      <c r="B58" s="75" t="s">
        <v>245</v>
      </c>
      <c r="D58" s="87">
        <v>8691.0913006079008</v>
      </c>
      <c r="E58" s="88">
        <v>9133.9922984821387</v>
      </c>
      <c r="F58" s="88">
        <v>9581.6544364566053</v>
      </c>
      <c r="G58" s="88">
        <v>10002.02311060749</v>
      </c>
      <c r="H58" s="88">
        <v>10698.35913494616</v>
      </c>
      <c r="I58" s="88">
        <v>11164.301135109312</v>
      </c>
      <c r="J58" s="88">
        <v>11606.75429474597</v>
      </c>
      <c r="K58" s="89">
        <v>11898.738073974182</v>
      </c>
      <c r="L58" s="90">
        <v>0</v>
      </c>
    </row>
    <row r="59" spans="1:12" ht="16.8">
      <c r="A59" s="86">
        <v>5</v>
      </c>
      <c r="B59" s="75" t="s">
        <v>246</v>
      </c>
      <c r="D59" s="87">
        <v>0</v>
      </c>
      <c r="E59" s="88">
        <v>0</v>
      </c>
      <c r="F59" s="88">
        <v>0</v>
      </c>
      <c r="G59" s="88">
        <v>82.388628473992952</v>
      </c>
      <c r="H59" s="88">
        <v>0</v>
      </c>
      <c r="I59" s="88">
        <v>0</v>
      </c>
      <c r="J59" s="88">
        <v>0</v>
      </c>
      <c r="K59" s="89">
        <v>0</v>
      </c>
      <c r="L59" s="90">
        <v>82.388628473992952</v>
      </c>
    </row>
    <row r="60" spans="1:12" ht="16.8">
      <c r="A60" s="86">
        <v>6</v>
      </c>
      <c r="B60" s="75" t="s">
        <v>247</v>
      </c>
      <c r="D60" s="87">
        <v>8691.0913006079008</v>
      </c>
      <c r="E60" s="88">
        <v>9133.9922984821387</v>
      </c>
      <c r="F60" s="88">
        <v>9581.6544364566053</v>
      </c>
      <c r="G60" s="88">
        <v>10084.411739081483</v>
      </c>
      <c r="H60" s="88">
        <v>10698.35913494616</v>
      </c>
      <c r="I60" s="88">
        <v>11164.301135109312</v>
      </c>
      <c r="J60" s="88">
        <v>11606.75429474597</v>
      </c>
      <c r="K60" s="89">
        <v>11898.738073974182</v>
      </c>
      <c r="L60" s="90">
        <v>0</v>
      </c>
    </row>
    <row r="61" spans="1:12" ht="16.8">
      <c r="A61" s="86">
        <v>7</v>
      </c>
      <c r="B61" s="75" t="s">
        <v>248</v>
      </c>
      <c r="D61" s="87">
        <v>1006.6480634015152</v>
      </c>
      <c r="E61" s="88">
        <v>1034.9615355060273</v>
      </c>
      <c r="F61" s="88">
        <v>1034.0838614341585</v>
      </c>
      <c r="G61" s="88">
        <v>1255.2050152355498</v>
      </c>
      <c r="H61" s="88">
        <v>1133.0816734035409</v>
      </c>
      <c r="I61" s="88">
        <v>1130.1279509863741</v>
      </c>
      <c r="J61" s="88">
        <v>989.2948305456149</v>
      </c>
      <c r="K61" s="89">
        <v>833.63208037688537</v>
      </c>
      <c r="L61" s="90">
        <v>8417.0350108896655</v>
      </c>
    </row>
    <row r="62" spans="1:12" ht="16.8">
      <c r="A62" s="86">
        <v>8</v>
      </c>
      <c r="B62" s="75" t="s">
        <v>249</v>
      </c>
      <c r="D62" s="87">
        <v>-563.74706552727753</v>
      </c>
      <c r="E62" s="88">
        <v>-587.29939753156054</v>
      </c>
      <c r="F62" s="88">
        <v>-613.71518728327351</v>
      </c>
      <c r="G62" s="88">
        <v>-641.25761937087384</v>
      </c>
      <c r="H62" s="88">
        <v>-667.13967324039038</v>
      </c>
      <c r="I62" s="88">
        <v>-687.6747913497162</v>
      </c>
      <c r="J62" s="88">
        <v>-697.31105131740321</v>
      </c>
      <c r="K62" s="89">
        <v>-703.58778612328263</v>
      </c>
      <c r="L62" s="90">
        <v>-5161.732571743778</v>
      </c>
    </row>
    <row r="63" spans="1:12" ht="16.8">
      <c r="A63" s="86">
        <v>9</v>
      </c>
      <c r="B63" s="75" t="s">
        <v>250</v>
      </c>
      <c r="D63" s="87">
        <v>9133.9922984821387</v>
      </c>
      <c r="E63" s="88">
        <v>9581.6544364566053</v>
      </c>
      <c r="F63" s="88">
        <v>10002.023110607492</v>
      </c>
      <c r="G63" s="88">
        <v>10698.359134946159</v>
      </c>
      <c r="H63" s="88">
        <v>11164.301135109312</v>
      </c>
      <c r="I63" s="88">
        <v>11606.75429474597</v>
      </c>
      <c r="J63" s="88">
        <v>11898.738073974182</v>
      </c>
      <c r="K63" s="89">
        <v>12028.782368227785</v>
      </c>
      <c r="L63" s="90">
        <v>0</v>
      </c>
    </row>
    <row r="64" spans="1:12" ht="16.8">
      <c r="A64" s="80"/>
      <c r="B64" s="81" t="s">
        <v>251</v>
      </c>
      <c r="D64" s="91">
        <v>0</v>
      </c>
      <c r="E64" s="92">
        <v>0</v>
      </c>
      <c r="F64" s="92">
        <v>0</v>
      </c>
      <c r="G64" s="92">
        <v>0</v>
      </c>
      <c r="H64" s="92">
        <v>0</v>
      </c>
      <c r="I64" s="92">
        <v>0</v>
      </c>
      <c r="J64" s="92">
        <v>0</v>
      </c>
      <c r="K64" s="93">
        <v>0</v>
      </c>
      <c r="L64" s="94">
        <v>0</v>
      </c>
    </row>
    <row r="65" spans="1:12" ht="16.8">
      <c r="A65" s="86">
        <v>10</v>
      </c>
      <c r="B65" s="75" t="s">
        <v>252</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253</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254</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255</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256</v>
      </c>
      <c r="D69" s="87">
        <v>0</v>
      </c>
      <c r="E69" s="88">
        <v>16.036529091209541</v>
      </c>
      <c r="F69" s="88">
        <v>0</v>
      </c>
      <c r="G69" s="88">
        <v>22.217944632295964</v>
      </c>
      <c r="H69" s="88">
        <v>0</v>
      </c>
      <c r="I69" s="88">
        <v>0</v>
      </c>
      <c r="J69" s="88">
        <v>0</v>
      </c>
      <c r="K69" s="89">
        <v>0</v>
      </c>
      <c r="L69" s="90">
        <v>38.254473723505505</v>
      </c>
    </row>
    <row r="70" spans="1:12" ht="16.8">
      <c r="A70" s="86">
        <v>15</v>
      </c>
      <c r="B70" s="75" t="s">
        <v>257</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258</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259</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260</v>
      </c>
      <c r="D73" s="91">
        <v>0</v>
      </c>
      <c r="E73" s="92">
        <v>0</v>
      </c>
      <c r="F73" s="92">
        <v>0</v>
      </c>
      <c r="G73" s="92">
        <v>0</v>
      </c>
      <c r="H73" s="92">
        <v>0</v>
      </c>
      <c r="I73" s="92">
        <v>0</v>
      </c>
      <c r="J73" s="92">
        <v>0</v>
      </c>
      <c r="K73" s="93">
        <v>0</v>
      </c>
      <c r="L73" s="94">
        <v>0</v>
      </c>
    </row>
    <row r="74" spans="1:12" ht="16.8">
      <c r="A74" s="86">
        <v>18</v>
      </c>
      <c r="B74" s="75" t="s">
        <v>252</v>
      </c>
      <c r="D74" s="87">
        <v>208.83785879931173</v>
      </c>
      <c r="E74" s="88">
        <v>182.64027097165206</v>
      </c>
      <c r="F74" s="88">
        <v>182.48538731191039</v>
      </c>
      <c r="G74" s="88">
        <v>221.50676739450864</v>
      </c>
      <c r="H74" s="88">
        <v>199.95558942415431</v>
      </c>
      <c r="I74" s="88">
        <v>199.43434429171313</v>
      </c>
      <c r="J74" s="88">
        <v>174.58144068452032</v>
      </c>
      <c r="K74" s="89">
        <v>147.11154359592098</v>
      </c>
      <c r="L74" s="90">
        <v>1516.5532024736917</v>
      </c>
    </row>
    <row r="75" spans="1:12" ht="16.8">
      <c r="A75" s="86">
        <v>19</v>
      </c>
      <c r="B75" s="75" t="s">
        <v>253</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254</v>
      </c>
      <c r="D76" s="87">
        <v>563.74706552727753</v>
      </c>
      <c r="E76" s="88">
        <v>587.29939753156054</v>
      </c>
      <c r="F76" s="88">
        <v>613.71518728327351</v>
      </c>
      <c r="G76" s="88">
        <v>641.25761937087384</v>
      </c>
      <c r="H76" s="88">
        <v>667.13967324039038</v>
      </c>
      <c r="I76" s="88">
        <v>687.6747913497162</v>
      </c>
      <c r="J76" s="88">
        <v>697.31105131740321</v>
      </c>
      <c r="K76" s="89">
        <v>703.58778612328263</v>
      </c>
      <c r="L76" s="90">
        <v>5161.732571743778</v>
      </c>
    </row>
    <row r="77" spans="1:12" ht="16.8">
      <c r="A77" s="86">
        <v>21</v>
      </c>
      <c r="B77" s="75" t="s">
        <v>255</v>
      </c>
      <c r="D77" s="87">
        <v>396.64777261949359</v>
      </c>
      <c r="E77" s="88">
        <v>405.72766054766885</v>
      </c>
      <c r="F77" s="88">
        <v>414.99941813200599</v>
      </c>
      <c r="G77" s="88">
        <v>430.17348065952149</v>
      </c>
      <c r="H77" s="88">
        <v>442.53009858651183</v>
      </c>
      <c r="I77" s="88">
        <v>460.93482073520175</v>
      </c>
      <c r="J77" s="88">
        <v>475.86892041318646</v>
      </c>
      <c r="K77" s="89">
        <v>484.48141046555133</v>
      </c>
      <c r="L77" s="90">
        <v>3511.3635821591415</v>
      </c>
    </row>
    <row r="78" spans="1:12" ht="16.8">
      <c r="A78" s="86">
        <v>22</v>
      </c>
      <c r="B78" s="75" t="s">
        <v>256</v>
      </c>
      <c r="D78" s="87">
        <v>0</v>
      </c>
      <c r="E78" s="88">
        <v>0</v>
      </c>
      <c r="F78" s="88">
        <v>0</v>
      </c>
      <c r="G78" s="88">
        <v>0</v>
      </c>
      <c r="H78" s="88">
        <v>0</v>
      </c>
      <c r="I78" s="88">
        <v>0</v>
      </c>
      <c r="J78" s="88">
        <v>0</v>
      </c>
      <c r="K78" s="89">
        <v>0</v>
      </c>
      <c r="L78" s="90">
        <v>0</v>
      </c>
    </row>
    <row r="79" spans="1:12" ht="16.8">
      <c r="A79" s="86">
        <v>23</v>
      </c>
      <c r="B79" s="75" t="s">
        <v>257</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258</v>
      </c>
      <c r="D80" s="87">
        <v>-45.715157548655313</v>
      </c>
      <c r="E80" s="88">
        <v>-45.098014380446855</v>
      </c>
      <c r="F80" s="88">
        <v>-47.31166807558472</v>
      </c>
      <c r="G80" s="88">
        <v>-43.301588881117283</v>
      </c>
      <c r="H80" s="88">
        <v>-43.349648930046129</v>
      </c>
      <c r="I80" s="88">
        <v>-42.926145500196697</v>
      </c>
      <c r="J80" s="88">
        <v>-42.384914988625894</v>
      </c>
      <c r="K80" s="89">
        <v>-42.059663072316994</v>
      </c>
      <c r="L80" s="90">
        <v>-352.14680137698991</v>
      </c>
    </row>
    <row r="81" spans="1:12" ht="16.8">
      <c r="A81" s="86">
        <v>25</v>
      </c>
      <c r="B81" s="75" t="s">
        <v>259</v>
      </c>
      <c r="D81" s="87">
        <v>85.703309733146853</v>
      </c>
      <c r="E81" s="88">
        <v>71.949382110458572</v>
      </c>
      <c r="F81" s="88">
        <v>80.102796329393428</v>
      </c>
      <c r="G81" s="88">
        <v>87.893916703346989</v>
      </c>
      <c r="H81" s="88">
        <v>71.290273997863977</v>
      </c>
      <c r="I81" s="88">
        <v>72.545084151017548</v>
      </c>
      <c r="J81" s="88">
        <v>73.873233684502964</v>
      </c>
      <c r="K81" s="89">
        <v>78.740096884256857</v>
      </c>
      <c r="L81" s="90">
        <v>622.09809359398719</v>
      </c>
    </row>
    <row r="82" spans="1:12" ht="16.8">
      <c r="A82" s="80"/>
      <c r="B82" s="81" t="s">
        <v>261</v>
      </c>
      <c r="D82" s="91">
        <v>0</v>
      </c>
      <c r="E82" s="92">
        <v>0</v>
      </c>
      <c r="F82" s="92">
        <v>0</v>
      </c>
      <c r="G82" s="92">
        <v>0</v>
      </c>
      <c r="H82" s="92">
        <v>0</v>
      </c>
      <c r="I82" s="92">
        <v>0</v>
      </c>
      <c r="J82" s="92">
        <v>0</v>
      </c>
      <c r="K82" s="93">
        <v>0</v>
      </c>
      <c r="L82" s="95">
        <v>0</v>
      </c>
    </row>
    <row r="83" spans="1:12" ht="16.8">
      <c r="A83" s="86">
        <v>26</v>
      </c>
      <c r="B83" s="75" t="s">
        <v>262</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263</v>
      </c>
      <c r="D84" s="87">
        <v>0</v>
      </c>
      <c r="E84" s="88">
        <v>-5.4472436134815325</v>
      </c>
      <c r="F84" s="88">
        <v>-114.38240781754212</v>
      </c>
      <c r="G84" s="88">
        <v>-185.40168515778055</v>
      </c>
      <c r="H84" s="88">
        <v>-253.26047854710714</v>
      </c>
      <c r="I84" s="88">
        <v>0</v>
      </c>
      <c r="J84" s="88">
        <v>0</v>
      </c>
      <c r="K84" s="89">
        <v>0</v>
      </c>
      <c r="L84" s="90">
        <v>-558.49181513591134</v>
      </c>
    </row>
    <row r="85" spans="1:12" ht="16.8">
      <c r="A85" s="86">
        <v>28</v>
      </c>
      <c r="B85" s="75" t="s">
        <v>264</v>
      </c>
      <c r="D85" s="96">
        <v>1342.2812908140818</v>
      </c>
      <c r="E85" s="88">
        <v>1438.3822181213663</v>
      </c>
      <c r="F85" s="88">
        <v>1361.2101654120604</v>
      </c>
      <c r="G85" s="88">
        <v>1385.9851245350922</v>
      </c>
      <c r="H85" s="88">
        <v>1301.6816636924907</v>
      </c>
      <c r="I85" s="88">
        <v>1587.6274208238706</v>
      </c>
      <c r="J85" s="88">
        <v>1585.2281224827718</v>
      </c>
      <c r="K85" s="89">
        <v>1571.5841090397205</v>
      </c>
      <c r="L85" s="90">
        <v>11573.980114921453</v>
      </c>
    </row>
    <row r="86" spans="1:12" ht="16.8">
      <c r="A86" s="86">
        <v>29</v>
      </c>
      <c r="B86" s="75" t="s">
        <v>168</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265</v>
      </c>
      <c r="D87" s="96">
        <v>0</v>
      </c>
      <c r="E87" s="88">
        <v>0</v>
      </c>
      <c r="F87" s="88">
        <v>0</v>
      </c>
      <c r="G87" s="88">
        <v>0</v>
      </c>
      <c r="H87" s="88">
        <v>0</v>
      </c>
      <c r="I87" s="88">
        <v>0</v>
      </c>
      <c r="J87" s="88">
        <v>0</v>
      </c>
      <c r="K87" s="89">
        <v>0</v>
      </c>
      <c r="L87" s="90">
        <v>0</v>
      </c>
    </row>
    <row r="88" spans="1:12" ht="16.8">
      <c r="A88" s="86">
        <v>31</v>
      </c>
      <c r="B88" s="75" t="s">
        <v>266</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267</v>
      </c>
      <c r="D89" s="96">
        <v>1479.0323249384494</v>
      </c>
      <c r="E89" s="88">
        <v>1574.4569081721447</v>
      </c>
      <c r="F89" s="88">
        <v>1503.8084233892357</v>
      </c>
      <c r="G89" s="88">
        <v>1511.5851245350921</v>
      </c>
      <c r="H89" s="88">
        <v>1428.9816636924907</v>
      </c>
      <c r="I89" s="88">
        <v>1716.2274208238705</v>
      </c>
      <c r="J89" s="88">
        <v>1715.4281224827719</v>
      </c>
      <c r="K89" s="89">
        <v>1703.2841090397205</v>
      </c>
      <c r="L89" s="90">
        <v>12632.804097073775</v>
      </c>
    </row>
    <row r="90" spans="1:12" ht="16.8">
      <c r="A90" s="80"/>
      <c r="B90" s="81" t="s">
        <v>268</v>
      </c>
      <c r="D90" s="91">
        <v>0</v>
      </c>
      <c r="E90" s="92">
        <v>0</v>
      </c>
      <c r="F90" s="92">
        <v>0</v>
      </c>
      <c r="G90" s="92">
        <v>0</v>
      </c>
      <c r="H90" s="92">
        <v>0</v>
      </c>
      <c r="I90" s="97">
        <v>0</v>
      </c>
      <c r="J90" s="92">
        <v>0</v>
      </c>
      <c r="K90" s="93">
        <v>0</v>
      </c>
      <c r="L90" s="95">
        <v>0</v>
      </c>
    </row>
    <row r="91" spans="1:12" ht="16.8">
      <c r="A91" s="86">
        <v>33</v>
      </c>
      <c r="B91" s="75" t="s">
        <v>268</v>
      </c>
      <c r="D91" s="87">
        <v>1318.6363284613724</v>
      </c>
      <c r="E91" s="88">
        <v>1306.4720309915479</v>
      </c>
      <c r="F91" s="88">
        <v>1347.2820676486554</v>
      </c>
      <c r="G91" s="88">
        <v>1440.1193513858889</v>
      </c>
      <c r="H91" s="88">
        <v>1438.2756465630735</v>
      </c>
      <c r="I91" s="88">
        <v>1477.89520728143</v>
      </c>
      <c r="J91" s="88">
        <v>1478.2110765100506</v>
      </c>
      <c r="K91" s="89">
        <v>1469.3642364009108</v>
      </c>
      <c r="L91" s="90">
        <v>11276.25594524293</v>
      </c>
    </row>
    <row r="92" spans="1:12" ht="16.8">
      <c r="A92" s="86">
        <v>34</v>
      </c>
      <c r="B92" s="75" t="s">
        <v>269</v>
      </c>
      <c r="D92" s="87">
        <v>1332.2747656182278</v>
      </c>
      <c r="E92" s="88">
        <v>1323.6480136651101</v>
      </c>
      <c r="F92" s="88">
        <v>1420.8350447387188</v>
      </c>
      <c r="G92" s="88">
        <v>1460.184666564217</v>
      </c>
      <c r="H92" s="88">
        <v>1472.5319844041626</v>
      </c>
      <c r="I92" s="88">
        <v>1510.0552888971874</v>
      </c>
      <c r="J92" s="88">
        <v>1511.2026889994647</v>
      </c>
      <c r="K92" s="89">
        <v>1502.4240557110998</v>
      </c>
      <c r="L92" s="90">
        <v>11533.156508598189</v>
      </c>
    </row>
    <row r="93" spans="1:12" ht="16.8">
      <c r="A93" s="80"/>
      <c r="B93" s="81" t="s">
        <v>270</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8">
      <c r="A98" s="86">
        <v>39</v>
      </c>
      <c r="B98" s="98">
        <v>43190</v>
      </c>
      <c r="D98" s="96">
        <v>1318.6363284613724</v>
      </c>
      <c r="E98" s="88">
        <v>1306.4720309915479</v>
      </c>
      <c r="F98" s="88">
        <v>1347.2820676486554</v>
      </c>
      <c r="G98" s="88">
        <v>1440.1193513858889</v>
      </c>
      <c r="H98" s="88">
        <v>1438.2756465630735</v>
      </c>
      <c r="I98" s="88">
        <v>1477.89520728143</v>
      </c>
      <c r="J98" s="88">
        <v>1478.2110765100506</v>
      </c>
      <c r="K98" s="89">
        <v>1469.3642364009108</v>
      </c>
      <c r="L98" s="90">
        <v>11276.25594524293</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271</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8">
      <c r="A107" s="86">
        <v>47</v>
      </c>
      <c r="B107" s="98">
        <v>43190</v>
      </c>
      <c r="D107" s="96">
        <v>0</v>
      </c>
      <c r="E107" s="88">
        <v>-5.4472436134815325</v>
      </c>
      <c r="F107" s="88">
        <v>-114.38240781754212</v>
      </c>
      <c r="G107" s="88">
        <v>-185.40168515778055</v>
      </c>
      <c r="H107" s="88">
        <v>-253.26047854710714</v>
      </c>
      <c r="I107" s="88">
        <v>0</v>
      </c>
      <c r="J107" s="88">
        <v>0</v>
      </c>
      <c r="K107" s="89">
        <v>0</v>
      </c>
      <c r="L107" s="90">
        <v>-558.49181513591134</v>
      </c>
    </row>
    <row r="108" spans="1:12" ht="16.8">
      <c r="A108" s="86">
        <v>48</v>
      </c>
      <c r="B108" s="98">
        <v>43555</v>
      </c>
      <c r="D108" s="96">
        <v>1342.2812908140818</v>
      </c>
      <c r="E108" s="88">
        <v>1438.3822181213663</v>
      </c>
      <c r="F108" s="88">
        <v>1361.2101654120604</v>
      </c>
      <c r="G108" s="88">
        <v>1385.9851245350922</v>
      </c>
      <c r="H108" s="88">
        <v>1301.6816636924907</v>
      </c>
      <c r="I108" s="88">
        <v>0</v>
      </c>
      <c r="J108" s="88">
        <v>0</v>
      </c>
      <c r="K108" s="89">
        <v>0</v>
      </c>
      <c r="L108" s="90">
        <v>6829.5404625750907</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272</v>
      </c>
      <c r="D111" s="91">
        <v>0</v>
      </c>
      <c r="E111" s="92">
        <v>0</v>
      </c>
      <c r="F111" s="92">
        <v>0</v>
      </c>
      <c r="G111" s="92">
        <v>0</v>
      </c>
      <c r="H111" s="92">
        <v>0</v>
      </c>
      <c r="I111" s="97">
        <v>0</v>
      </c>
      <c r="J111" s="92">
        <v>0</v>
      </c>
      <c r="K111" s="93">
        <v>0</v>
      </c>
      <c r="L111" s="95">
        <v>0</v>
      </c>
    </row>
    <row r="112" spans="1:12" ht="16.8">
      <c r="A112" s="86">
        <v>51</v>
      </c>
      <c r="B112" s="75" t="s">
        <v>273</v>
      </c>
      <c r="D112" s="87">
        <v>8713.7032649273624</v>
      </c>
      <c r="E112" s="88">
        <v>9154.5049762560666</v>
      </c>
      <c r="F112" s="88">
        <v>9584.2821739493284</v>
      </c>
      <c r="G112" s="88">
        <v>10174.396420518482</v>
      </c>
      <c r="H112" s="88">
        <v>10709.828136169212</v>
      </c>
      <c r="I112" s="88">
        <v>11155.247355643798</v>
      </c>
      <c r="J112" s="88">
        <v>11516.672807676341</v>
      </c>
      <c r="K112" s="89">
        <v>11725.10673924374</v>
      </c>
      <c r="L112" s="90">
        <v>82733.74187438433</v>
      </c>
    </row>
    <row r="113" spans="1:12" ht="16.8">
      <c r="A113" s="86">
        <v>52</v>
      </c>
      <c r="B113" s="75" t="s">
        <v>26</v>
      </c>
      <c r="D113" s="99">
        <v>0.6</v>
      </c>
      <c r="E113" s="100">
        <v>0.6</v>
      </c>
      <c r="F113" s="100">
        <v>0.6</v>
      </c>
      <c r="G113" s="100">
        <v>0.6</v>
      </c>
      <c r="H113" s="100">
        <v>0.6</v>
      </c>
      <c r="I113" s="100">
        <v>0.6</v>
      </c>
      <c r="J113" s="100">
        <v>0.6</v>
      </c>
      <c r="K113" s="101">
        <v>0.6</v>
      </c>
      <c r="L113" s="102">
        <v>0.59999999999999987</v>
      </c>
    </row>
    <row r="114" spans="1:12" ht="16.8">
      <c r="A114" s="86">
        <v>53</v>
      </c>
      <c r="B114" s="75" t="s">
        <v>274</v>
      </c>
      <c r="D114" s="87">
        <v>3485.481305970945</v>
      </c>
      <c r="E114" s="88">
        <v>3661.8019905024266</v>
      </c>
      <c r="F114" s="88">
        <v>3833.7128695797314</v>
      </c>
      <c r="G114" s="88">
        <v>4069.7585682073932</v>
      </c>
      <c r="H114" s="88">
        <v>4283.931254467685</v>
      </c>
      <c r="I114" s="88">
        <v>4462.0989422575194</v>
      </c>
      <c r="J114" s="88">
        <v>4606.6691230705364</v>
      </c>
      <c r="K114" s="89">
        <v>4690.0426956974961</v>
      </c>
      <c r="L114" s="90">
        <v>33093.496749753736</v>
      </c>
    </row>
    <row r="115" spans="1:12" ht="16.8">
      <c r="A115" s="86">
        <v>54</v>
      </c>
      <c r="B115" s="75" t="s">
        <v>275</v>
      </c>
      <c r="D115" s="87">
        <v>152.66408120152738</v>
      </c>
      <c r="E115" s="88">
        <v>149.40152121249901</v>
      </c>
      <c r="F115" s="88">
        <v>146.63951726142471</v>
      </c>
      <c r="G115" s="88">
        <v>145.29038088500391</v>
      </c>
      <c r="H115" s="88">
        <v>142.65491077377391</v>
      </c>
      <c r="I115" s="88">
        <v>148.58789477717539</v>
      </c>
      <c r="J115" s="88">
        <v>153.40208179824887</v>
      </c>
      <c r="K115" s="89">
        <v>156.17842176672661</v>
      </c>
      <c r="L115" s="90">
        <v>1194.8188096763797</v>
      </c>
    </row>
    <row r="116" spans="1:12" ht="17.399999999999999" thickBot="1">
      <c r="A116" s="103">
        <v>55</v>
      </c>
      <c r="B116" s="104" t="s">
        <v>276</v>
      </c>
      <c r="D116" s="105">
        <v>243.98369141796621</v>
      </c>
      <c r="E116" s="106">
        <v>256.32613933516984</v>
      </c>
      <c r="F116" s="106">
        <v>268.35990087058127</v>
      </c>
      <c r="G116" s="106">
        <v>284.88309977451758</v>
      </c>
      <c r="H116" s="106">
        <v>299.87518781273792</v>
      </c>
      <c r="I116" s="106">
        <v>312.34692595802636</v>
      </c>
      <c r="J116" s="106">
        <v>322.46683861493761</v>
      </c>
      <c r="K116" s="107">
        <v>328.30298869882472</v>
      </c>
      <c r="L116" s="108">
        <v>2316.5447724827618</v>
      </c>
    </row>
    <row r="120" spans="1:12">
      <c r="B120" t="s">
        <v>348</v>
      </c>
      <c r="D120" s="53">
        <v>-176.76646979458337</v>
      </c>
    </row>
    <row r="123" spans="1:12">
      <c r="D123" s="53"/>
      <c r="E123" s="53"/>
    </row>
    <row r="124" spans="1:12">
      <c r="D124" s="53">
        <f>D131+D128-D127</f>
        <v>1101.2985882176313</v>
      </c>
      <c r="E124" s="53">
        <f t="shared" ref="E124:K124" si="32">E131+E128-E127</f>
        <v>1123.4811121510816</v>
      </c>
      <c r="F124" s="53">
        <f t="shared" si="32"/>
        <v>1116.4724899081514</v>
      </c>
      <c r="G124" s="53">
        <f t="shared" si="32"/>
        <v>1255.2050152355498</v>
      </c>
      <c r="H124" s="53">
        <f t="shared" si="32"/>
        <v>1133.0816734035409</v>
      </c>
      <c r="I124" s="53">
        <f t="shared" si="32"/>
        <v>1130.1279509863741</v>
      </c>
      <c r="J124" s="53">
        <f t="shared" si="32"/>
        <v>989.2948305456149</v>
      </c>
      <c r="K124" s="53">
        <f t="shared" si="32"/>
        <v>833.63208037688537</v>
      </c>
    </row>
    <row r="127" spans="1:12" ht="16.8">
      <c r="B127" s="110" t="s">
        <v>287</v>
      </c>
      <c r="D127" s="187">
        <v>5.1119303278452115</v>
      </c>
      <c r="E127" s="187">
        <v>6.1309481710615064</v>
      </c>
      <c r="F127" s="187">
        <v>6.1309481710615064</v>
      </c>
      <c r="G127" s="187">
        <v>0</v>
      </c>
      <c r="H127" s="187">
        <v>0</v>
      </c>
      <c r="I127" s="187">
        <v>0</v>
      </c>
      <c r="J127" s="187">
        <v>0</v>
      </c>
      <c r="K127" s="187">
        <v>0</v>
      </c>
    </row>
    <row r="128" spans="1:12" ht="16.8">
      <c r="B128" s="110" t="s">
        <v>288</v>
      </c>
      <c r="D128" s="187">
        <v>99.762455143961176</v>
      </c>
      <c r="E128" s="187">
        <v>94.650524816115961</v>
      </c>
      <c r="F128" s="187">
        <v>88.519576645054457</v>
      </c>
      <c r="G128" s="187">
        <v>0</v>
      </c>
      <c r="H128" s="187">
        <v>0</v>
      </c>
      <c r="I128" s="187">
        <v>0</v>
      </c>
      <c r="J128" s="187">
        <v>0</v>
      </c>
      <c r="K128" s="187">
        <v>0</v>
      </c>
    </row>
    <row r="129" spans="2:25">
      <c r="D129" s="53"/>
      <c r="E129" s="53"/>
      <c r="F129" s="53"/>
      <c r="G129" s="53"/>
      <c r="H129" s="53"/>
      <c r="I129" s="53"/>
      <c r="J129" s="53"/>
      <c r="K129" s="53"/>
    </row>
    <row r="130" spans="2:25">
      <c r="B130" t="s">
        <v>289</v>
      </c>
      <c r="D130" s="53">
        <f>D128+D60</f>
        <v>8790.8537557518612</v>
      </c>
      <c r="E130" s="53">
        <f t="shared" ref="E130:K130" si="33">E128+E60</f>
        <v>9228.6428232982544</v>
      </c>
      <c r="F130" s="53">
        <f t="shared" si="33"/>
        <v>9670.1740131016595</v>
      </c>
      <c r="G130" s="53">
        <f t="shared" si="33"/>
        <v>10084.411739081483</v>
      </c>
      <c r="H130" s="53">
        <f t="shared" si="33"/>
        <v>10698.35913494616</v>
      </c>
      <c r="I130" s="53">
        <f t="shared" si="33"/>
        <v>11164.301135109312</v>
      </c>
      <c r="J130" s="53">
        <f t="shared" si="33"/>
        <v>11606.75429474597</v>
      </c>
      <c r="K130" s="53">
        <f t="shared" si="33"/>
        <v>11898.738073974182</v>
      </c>
      <c r="L130" s="53"/>
      <c r="N130" s="53">
        <f>D130*N$1</f>
        <v>10258.926332962423</v>
      </c>
      <c r="O130" s="53">
        <f t="shared" ref="O130:U130" si="34">E130*O$1</f>
        <v>10982.084959724922</v>
      </c>
      <c r="P130" s="53">
        <f t="shared" si="34"/>
        <v>11623.549163748194</v>
      </c>
      <c r="Q130" s="53">
        <f t="shared" si="34"/>
        <v>12383.657615592061</v>
      </c>
      <c r="R130" s="53">
        <f t="shared" si="34"/>
        <v>13629.709537921408</v>
      </c>
      <c r="S130" s="53">
        <f t="shared" si="34"/>
        <v>14658.727390398526</v>
      </c>
      <c r="T130" s="53">
        <f t="shared" si="34"/>
        <v>15657.511543612312</v>
      </c>
      <c r="U130" s="53">
        <f t="shared" si="34"/>
        <v>16515.448446676164</v>
      </c>
    </row>
    <row r="131" spans="2:25">
      <c r="B131" t="str">
        <f>B61</f>
        <v>RAV additions (after disposals)</v>
      </c>
      <c r="D131" s="53">
        <f>D61</f>
        <v>1006.6480634015152</v>
      </c>
      <c r="E131" s="53">
        <f t="shared" ref="E131:K131" si="35">E61</f>
        <v>1034.9615355060273</v>
      </c>
      <c r="F131" s="53">
        <f t="shared" si="35"/>
        <v>1034.0838614341585</v>
      </c>
      <c r="G131" s="53">
        <f t="shared" si="35"/>
        <v>1255.2050152355498</v>
      </c>
      <c r="H131" s="53">
        <f t="shared" si="35"/>
        <v>1133.0816734035409</v>
      </c>
      <c r="I131" s="53">
        <f t="shared" si="35"/>
        <v>1130.1279509863741</v>
      </c>
      <c r="J131" s="53">
        <f t="shared" si="35"/>
        <v>989.2948305456149</v>
      </c>
      <c r="K131" s="53">
        <f t="shared" si="35"/>
        <v>833.63208037688537</v>
      </c>
    </row>
    <row r="132" spans="2:25">
      <c r="B132" t="str">
        <f t="shared" ref="B132:B133" si="36">B62</f>
        <v>Depreciation</v>
      </c>
      <c r="D132" s="53">
        <f>D62-D127</f>
        <v>-568.85899585512277</v>
      </c>
      <c r="E132" s="53">
        <f t="shared" ref="E132:K132" si="37">E62-E127</f>
        <v>-593.43034570262205</v>
      </c>
      <c r="F132" s="53">
        <f t="shared" si="37"/>
        <v>-619.84613545433501</v>
      </c>
      <c r="G132" s="53">
        <f t="shared" si="37"/>
        <v>-641.25761937087384</v>
      </c>
      <c r="H132" s="53">
        <f t="shared" si="37"/>
        <v>-667.13967324039038</v>
      </c>
      <c r="I132" s="53">
        <f t="shared" si="37"/>
        <v>-687.6747913497162</v>
      </c>
      <c r="J132" s="53">
        <f t="shared" si="37"/>
        <v>-697.31105131740321</v>
      </c>
      <c r="K132" s="53">
        <f t="shared" si="37"/>
        <v>-703.58778612328263</v>
      </c>
    </row>
    <row r="133" spans="2:25">
      <c r="B133" t="str">
        <f t="shared" si="36"/>
        <v>Closing asset value</v>
      </c>
      <c r="D133" s="53">
        <f>SUM(D130:D132)</f>
        <v>9228.6428232982544</v>
      </c>
      <c r="E133" s="53">
        <f t="shared" ref="E133:K133" si="38">SUM(E130:E132)</f>
        <v>9670.1740131016595</v>
      </c>
      <c r="F133" s="53">
        <f t="shared" si="38"/>
        <v>10084.411739081484</v>
      </c>
      <c r="G133" s="53">
        <f t="shared" si="38"/>
        <v>10698.359134946159</v>
      </c>
      <c r="H133" s="53">
        <f t="shared" si="38"/>
        <v>11164.301135109312</v>
      </c>
      <c r="I133" s="53">
        <f t="shared" si="38"/>
        <v>11606.75429474597</v>
      </c>
      <c r="J133" s="53">
        <f t="shared" si="38"/>
        <v>11898.738073974182</v>
      </c>
      <c r="K133" s="53">
        <f t="shared" si="38"/>
        <v>12028.782368227785</v>
      </c>
      <c r="N133" s="53">
        <f>D133*N$1</f>
        <v>10769.826174789063</v>
      </c>
      <c r="O133" s="53">
        <f t="shared" ref="O133:U133" si="39">E133*O$1</f>
        <v>11507.507075590975</v>
      </c>
      <c r="P133" s="53">
        <f t="shared" si="39"/>
        <v>12121.462910375943</v>
      </c>
      <c r="Q133" s="53">
        <f t="shared" si="39"/>
        <v>13137.585017713882</v>
      </c>
      <c r="R133" s="53">
        <f t="shared" si="39"/>
        <v>14223.319646129263</v>
      </c>
      <c r="S133" s="53">
        <f t="shared" si="39"/>
        <v>15239.668389001457</v>
      </c>
      <c r="T133" s="53">
        <f t="shared" si="39"/>
        <v>16051.397661791172</v>
      </c>
      <c r="U133" s="53">
        <f t="shared" si="39"/>
        <v>16695.949927100166</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290</v>
      </c>
      <c r="D136" s="187">
        <v>1.5</v>
      </c>
      <c r="E136" s="187">
        <v>1.3</v>
      </c>
      <c r="F136" s="187">
        <v>1.3</v>
      </c>
      <c r="G136" s="187">
        <v>1.5</v>
      </c>
      <c r="H136" s="187">
        <v>1.3</v>
      </c>
      <c r="I136" s="187">
        <v>1.3</v>
      </c>
      <c r="J136" s="187">
        <v>1.5</v>
      </c>
      <c r="K136" s="187">
        <v>1.3</v>
      </c>
    </row>
    <row r="137" spans="2:25">
      <c r="B137" t="s">
        <v>291</v>
      </c>
      <c r="D137" s="187">
        <v>28.929052554944597</v>
      </c>
      <c r="E137" s="187">
        <v>28.929052554944597</v>
      </c>
      <c r="F137" s="187">
        <v>32.585753058109198</v>
      </c>
      <c r="G137" s="187">
        <v>32.585753058109198</v>
      </c>
      <c r="H137" s="187">
        <v>32.585753058109198</v>
      </c>
      <c r="I137" s="187">
        <v>32.585753058109198</v>
      </c>
      <c r="J137" s="187">
        <v>32.585753058109198</v>
      </c>
      <c r="K137" s="187">
        <v>32.585753058109198</v>
      </c>
    </row>
    <row r="138" spans="2:25">
      <c r="B138" t="s">
        <v>292</v>
      </c>
      <c r="D138" s="187">
        <v>30.429052554944597</v>
      </c>
      <c r="E138" s="187">
        <v>30.229052554944598</v>
      </c>
      <c r="F138" s="187">
        <v>33.885753058109195</v>
      </c>
      <c r="G138" s="187">
        <v>34.085753058109198</v>
      </c>
      <c r="H138" s="187">
        <v>33.885753058109195</v>
      </c>
      <c r="I138" s="187">
        <v>33.885753058109195</v>
      </c>
      <c r="J138" s="187">
        <v>34.085753058109198</v>
      </c>
      <c r="K138" s="187">
        <v>33.885753058109195</v>
      </c>
    </row>
    <row r="139" spans="2:25">
      <c r="B139" t="s">
        <v>293</v>
      </c>
      <c r="D139" s="187">
        <v>1.6281727480620216</v>
      </c>
      <c r="E139" s="187">
        <v>1.7003333642561302</v>
      </c>
      <c r="F139" s="187">
        <v>1.7739577989284205</v>
      </c>
      <c r="G139" s="187">
        <v>1.8489607346671144</v>
      </c>
      <c r="H139" s="187">
        <v>1.9253597922235597</v>
      </c>
      <c r="I139" s="187">
        <v>2.0049156588382373</v>
      </c>
      <c r="J139" s="187">
        <v>2.0877587738614332</v>
      </c>
      <c r="K139" s="187">
        <v>2.1740249663973876</v>
      </c>
    </row>
    <row r="140" spans="2:25">
      <c r="B140" s="38" t="s">
        <v>294</v>
      </c>
      <c r="C140" s="38"/>
      <c r="D140" s="58">
        <f>D138+D139</f>
        <v>32.057225303006618</v>
      </c>
      <c r="E140" s="58">
        <f t="shared" ref="E140:K140" si="40">E138+E139</f>
        <v>31.92938591920073</v>
      </c>
      <c r="F140" s="58">
        <f t="shared" si="40"/>
        <v>35.659710857037616</v>
      </c>
      <c r="G140" s="58">
        <f t="shared" si="40"/>
        <v>35.934713792776314</v>
      </c>
      <c r="H140" s="58">
        <f t="shared" si="40"/>
        <v>35.811112850332755</v>
      </c>
      <c r="I140" s="58">
        <f t="shared" si="40"/>
        <v>35.890668716947431</v>
      </c>
      <c r="J140" s="58">
        <f t="shared" si="40"/>
        <v>36.173511831970629</v>
      </c>
      <c r="K140" s="58">
        <f t="shared" si="40"/>
        <v>36.059778024506585</v>
      </c>
    </row>
    <row r="141" spans="2:25">
      <c r="D141" s="53"/>
      <c r="E141" s="53"/>
      <c r="F141" s="53"/>
      <c r="G141" s="53"/>
      <c r="H141" s="53"/>
      <c r="I141" s="53"/>
      <c r="J141" s="53"/>
      <c r="K141" s="53"/>
    </row>
    <row r="142" spans="2:25">
      <c r="B142" t="s">
        <v>350</v>
      </c>
      <c r="D142" s="187">
        <v>19.092223163426969</v>
      </c>
      <c r="E142" s="187">
        <v>19.938390494030049</v>
      </c>
      <c r="F142" s="187">
        <v>20.801722802421548</v>
      </c>
      <c r="G142" s="187">
        <v>21.681219642507934</v>
      </c>
      <c r="H142" s="187">
        <v>22.577087638136362</v>
      </c>
      <c r="I142" s="187">
        <v>23.509972899344156</v>
      </c>
      <c r="J142" s="187">
        <v>24.481404979545058</v>
      </c>
      <c r="K142" s="187">
        <v>25.492976633299861</v>
      </c>
    </row>
    <row r="143" spans="2:25">
      <c r="B143" t="s">
        <v>296</v>
      </c>
      <c r="D143" s="187">
        <v>18.768393984911107</v>
      </c>
      <c r="E143" s="187">
        <v>19.600209206322365</v>
      </c>
      <c r="F143" s="187">
        <v>20.448898264956121</v>
      </c>
      <c r="G143" s="187">
        <v>21.313477683598467</v>
      </c>
      <c r="H143" s="187">
        <v>22.194150581484756</v>
      </c>
      <c r="I143" s="187">
        <v>23.111212883511708</v>
      </c>
      <c r="J143" s="187">
        <v>24.066168199858414</v>
      </c>
      <c r="K143" s="187">
        <v>25.060582269876562</v>
      </c>
    </row>
    <row r="144" spans="2:25" ht="16.8">
      <c r="B144" s="179" t="s">
        <v>266</v>
      </c>
      <c r="D144" s="187">
        <f>-D88</f>
        <v>-123</v>
      </c>
      <c r="E144" s="187">
        <f t="shared" ref="E144:K144" si="41">-E88</f>
        <v>-122.8</v>
      </c>
      <c r="F144" s="187">
        <f t="shared" si="41"/>
        <v>-129.80000000000001</v>
      </c>
      <c r="G144" s="187">
        <f t="shared" si="41"/>
        <v>-125.6</v>
      </c>
      <c r="H144" s="187">
        <f t="shared" si="41"/>
        <v>-127.3</v>
      </c>
      <c r="I144" s="187">
        <f t="shared" si="41"/>
        <v>-128.6</v>
      </c>
      <c r="J144" s="187">
        <f t="shared" si="41"/>
        <v>-130.19999999999999</v>
      </c>
      <c r="K144" s="187">
        <f t="shared" si="41"/>
        <v>-131.69999999999999</v>
      </c>
    </row>
    <row r="145" spans="2:21" ht="16.8">
      <c r="B145" s="179" t="s">
        <v>351</v>
      </c>
      <c r="D145" s="187">
        <v>7.367</v>
      </c>
      <c r="E145" s="187">
        <v>6.234</v>
      </c>
      <c r="F145" s="187">
        <v>5.5780000000000003</v>
      </c>
      <c r="G145" s="187">
        <v>3.3689999999999998</v>
      </c>
      <c r="H145" s="187">
        <v>3.3680000000000003</v>
      </c>
      <c r="I145" s="187">
        <v>3.1619999999999999</v>
      </c>
      <c r="J145" s="187">
        <v>3.0940000000000003</v>
      </c>
      <c r="K145" s="187">
        <v>3.0270000000000001</v>
      </c>
    </row>
    <row r="146" spans="2:21">
      <c r="B146" s="38" t="s">
        <v>298</v>
      </c>
      <c r="D146" s="58">
        <f>SUM(D140:D145)</f>
        <v>-45.71515754865532</v>
      </c>
      <c r="E146" s="58">
        <f t="shared" ref="E146:K146" si="42">SUM(E140:E145)</f>
        <v>-45.098014380446848</v>
      </c>
      <c r="F146" s="58">
        <f t="shared" si="42"/>
        <v>-47.31166807558472</v>
      </c>
      <c r="G146" s="58">
        <f t="shared" si="42"/>
        <v>-43.301588881117283</v>
      </c>
      <c r="H146" s="58">
        <f t="shared" si="42"/>
        <v>-43.349648930046122</v>
      </c>
      <c r="I146" s="58">
        <f t="shared" si="42"/>
        <v>-42.926145500196704</v>
      </c>
      <c r="J146" s="58">
        <f t="shared" si="42"/>
        <v>-42.384914988625887</v>
      </c>
      <c r="K146" s="58">
        <f t="shared" si="42"/>
        <v>-42.05966307231698</v>
      </c>
    </row>
    <row r="147" spans="2:21">
      <c r="B147" t="s">
        <v>299</v>
      </c>
      <c r="D147" s="187">
        <v>13.751034124367685</v>
      </c>
      <c r="E147" s="187">
        <v>13.274690050778315</v>
      </c>
      <c r="F147" s="187">
        <v>12.798257977175346</v>
      </c>
      <c r="G147" s="187">
        <v>0</v>
      </c>
      <c r="H147" s="187">
        <v>0</v>
      </c>
      <c r="I147" s="187">
        <v>0</v>
      </c>
      <c r="J147" s="187">
        <v>0</v>
      </c>
      <c r="K147" s="187">
        <v>0</v>
      </c>
    </row>
    <row r="148" spans="2:21">
      <c r="D148" s="53"/>
      <c r="E148" s="53"/>
      <c r="F148" s="53"/>
      <c r="G148" s="53"/>
      <c r="H148" s="53"/>
      <c r="I148" s="53"/>
      <c r="J148" s="53"/>
      <c r="K148" s="53"/>
    </row>
    <row r="149" spans="2:21">
      <c r="B149" t="s">
        <v>300</v>
      </c>
      <c r="D149" s="53">
        <f>SUM(D142:D145,D147)</f>
        <v>-64.021348727294225</v>
      </c>
      <c r="E149" s="53">
        <f t="shared" ref="E149:K149" si="43">SUM(E142:E145,E147)</f>
        <v>-63.752710248869278</v>
      </c>
      <c r="F149" s="53">
        <f t="shared" si="43"/>
        <v>-70.17312095544699</v>
      </c>
      <c r="G149" s="53">
        <f t="shared" si="43"/>
        <v>-79.23630267389359</v>
      </c>
      <c r="H149" s="53">
        <f t="shared" si="43"/>
        <v>-79.160761780378891</v>
      </c>
      <c r="I149" s="53">
        <f t="shared" si="43"/>
        <v>-78.816814217144127</v>
      </c>
      <c r="J149" s="53">
        <f t="shared" si="43"/>
        <v>-78.558426820596523</v>
      </c>
      <c r="K149" s="53">
        <f t="shared" si="43"/>
        <v>-78.119441096823564</v>
      </c>
    </row>
    <row r="152" spans="2:21" ht="16.8">
      <c r="B152" s="75" t="s">
        <v>247</v>
      </c>
      <c r="D152" s="87">
        <f>D189</f>
        <v>74.160747515587701</v>
      </c>
      <c r="E152" s="88">
        <f t="shared" ref="E152:K155" si="44">E189</f>
        <v>94.4584254983384</v>
      </c>
      <c r="F152" s="88">
        <f t="shared" si="44"/>
        <v>106.29772885630427</v>
      </c>
      <c r="G152" s="88">
        <f t="shared" si="44"/>
        <v>115.70724403851708</v>
      </c>
      <c r="H152" s="88">
        <f t="shared" si="44"/>
        <v>121.80970084417964</v>
      </c>
      <c r="I152" s="88">
        <f t="shared" si="44"/>
        <v>125.73565889022741</v>
      </c>
      <c r="J152" s="88">
        <f t="shared" si="44"/>
        <v>125.17835663568664</v>
      </c>
      <c r="K152" s="89">
        <f t="shared" si="44"/>
        <v>125.1393357053325</v>
      </c>
    </row>
    <row r="153" spans="2:21" ht="16.8">
      <c r="B153" s="75" t="s">
        <v>248</v>
      </c>
      <c r="D153" s="87">
        <f>D190</f>
        <v>35.942999336114895</v>
      </c>
      <c r="E153" s="88">
        <f t="shared" si="44"/>
        <v>31.160292249879337</v>
      </c>
      <c r="F153" s="88">
        <f t="shared" si="44"/>
        <v>31.777099215366718</v>
      </c>
      <c r="G153" s="88">
        <f t="shared" si="44"/>
        <v>31.18043803768256</v>
      </c>
      <c r="H153" s="88">
        <f t="shared" si="44"/>
        <v>31.99254597530528</v>
      </c>
      <c r="I153" s="88">
        <f t="shared" si="44"/>
        <v>29.571763005229077</v>
      </c>
      <c r="J153" s="88">
        <f t="shared" si="44"/>
        <v>31.466486913817501</v>
      </c>
      <c r="K153" s="89">
        <f t="shared" si="44"/>
        <v>31.937080597643327</v>
      </c>
    </row>
    <row r="154" spans="2:21" ht="16.8">
      <c r="B154" s="75" t="s">
        <v>249</v>
      </c>
      <c r="D154" s="87">
        <f>D191</f>
        <v>-15.645321353364194</v>
      </c>
      <c r="E154" s="88">
        <f t="shared" si="44"/>
        <v>-19.320988891913455</v>
      </c>
      <c r="F154" s="88">
        <f t="shared" si="44"/>
        <v>-22.367584033153918</v>
      </c>
      <c r="G154" s="88">
        <f t="shared" si="44"/>
        <v>-25.077981232020001</v>
      </c>
      <c r="H154" s="88">
        <f t="shared" si="44"/>
        <v>-28.066587929257523</v>
      </c>
      <c r="I154" s="88">
        <f t="shared" si="44"/>
        <v>-30.129065259769845</v>
      </c>
      <c r="J154" s="88">
        <f t="shared" si="44"/>
        <v>-31.50550784417165</v>
      </c>
      <c r="K154" s="89">
        <f t="shared" si="44"/>
        <v>-31.870232104770764</v>
      </c>
    </row>
    <row r="155" spans="2:21" ht="16.8">
      <c r="B155" s="75" t="s">
        <v>250</v>
      </c>
      <c r="D155" s="87">
        <f>D192</f>
        <v>94.4584254983384</v>
      </c>
      <c r="E155" s="88">
        <f t="shared" si="44"/>
        <v>106.29772885630427</v>
      </c>
      <c r="F155" s="88">
        <f t="shared" si="44"/>
        <v>115.70724403851708</v>
      </c>
      <c r="G155" s="88">
        <f t="shared" si="44"/>
        <v>121.80970084417964</v>
      </c>
      <c r="H155" s="88">
        <f t="shared" si="44"/>
        <v>125.73565889022741</v>
      </c>
      <c r="I155" s="88">
        <f t="shared" si="44"/>
        <v>125.17835663568664</v>
      </c>
      <c r="J155" s="88">
        <f t="shared" si="44"/>
        <v>125.1393357053325</v>
      </c>
      <c r="K155" s="89">
        <f t="shared" si="44"/>
        <v>125.20618419820505</v>
      </c>
    </row>
    <row r="157" spans="2:21" ht="15.6">
      <c r="L157" s="119" t="s">
        <v>301</v>
      </c>
    </row>
    <row r="158" spans="2:21" ht="15.6">
      <c r="B158" t="s">
        <v>289</v>
      </c>
      <c r="D158" s="122">
        <f>D130+D152</f>
        <v>8865.0145032674482</v>
      </c>
      <c r="E158" s="122">
        <f t="shared" ref="E158:K158" si="45">E130+E152</f>
        <v>9323.1012487965927</v>
      </c>
      <c r="F158" s="122">
        <f t="shared" si="45"/>
        <v>9776.4717419579647</v>
      </c>
      <c r="G158" s="122">
        <f t="shared" si="45"/>
        <v>10200.118983119999</v>
      </c>
      <c r="H158" s="122">
        <f t="shared" si="45"/>
        <v>10820.16883579034</v>
      </c>
      <c r="I158" s="122">
        <f t="shared" si="45"/>
        <v>11290.036793999539</v>
      </c>
      <c r="J158" s="122">
        <f t="shared" si="45"/>
        <v>11731.932651381656</v>
      </c>
      <c r="K158" s="122">
        <f t="shared" si="45"/>
        <v>12023.877409679515</v>
      </c>
      <c r="L158" s="120">
        <f>(K158/D158)^(1/7)-1</f>
        <v>4.4502054278215075E-2</v>
      </c>
      <c r="M158" t="s">
        <v>302</v>
      </c>
      <c r="N158" s="114">
        <f t="shared" ref="N158:U159" si="46">D158*N$1</f>
        <v>10345.471925313112</v>
      </c>
      <c r="O158" s="109">
        <f t="shared" si="46"/>
        <v>11094.490486067945</v>
      </c>
      <c r="P158" s="109">
        <f t="shared" si="46"/>
        <v>11751.319033833473</v>
      </c>
      <c r="Q158" s="109">
        <f t="shared" si="46"/>
        <v>12525.746111271359</v>
      </c>
      <c r="R158" s="109">
        <f t="shared" si="46"/>
        <v>13784.895096796894</v>
      </c>
      <c r="S158" s="109">
        <f t="shared" si="46"/>
        <v>14823.818310521394</v>
      </c>
      <c r="T158" s="109">
        <f t="shared" si="46"/>
        <v>15826.377146713854</v>
      </c>
      <c r="U158" s="109">
        <f t="shared" si="46"/>
        <v>16689.141844635167</v>
      </c>
    </row>
    <row r="159" spans="2:21" ht="15.6">
      <c r="B159" t="s">
        <v>250</v>
      </c>
      <c r="D159" s="122">
        <f>D133+D155</f>
        <v>9323.1012487965927</v>
      </c>
      <c r="E159" s="122">
        <f t="shared" ref="E159:K159" si="47">E133+E155</f>
        <v>9776.4717419579647</v>
      </c>
      <c r="F159" s="122">
        <f t="shared" si="47"/>
        <v>10200.118983120001</v>
      </c>
      <c r="G159" s="122">
        <f t="shared" si="47"/>
        <v>10820.168835790339</v>
      </c>
      <c r="H159" s="122">
        <f t="shared" si="47"/>
        <v>11290.036793999539</v>
      </c>
      <c r="I159" s="122">
        <f t="shared" si="47"/>
        <v>11731.932651381656</v>
      </c>
      <c r="J159" s="122">
        <f t="shared" si="47"/>
        <v>12023.877409679515</v>
      </c>
      <c r="K159" s="122">
        <f t="shared" si="47"/>
        <v>12153.98855242599</v>
      </c>
      <c r="L159" s="121">
        <f>(K159/D159)^(1/7)-1</f>
        <v>3.8606899216365953E-2</v>
      </c>
      <c r="N159" s="109">
        <f t="shared" si="46"/>
        <v>10880.059157345624</v>
      </c>
      <c r="O159" s="109">
        <f t="shared" si="46"/>
        <v>11634.001372929977</v>
      </c>
      <c r="P159" s="109">
        <f t="shared" si="46"/>
        <v>12260.543017710241</v>
      </c>
      <c r="Q159" s="109">
        <f t="shared" si="46"/>
        <v>13287.167330350536</v>
      </c>
      <c r="R159" s="109">
        <f t="shared" si="46"/>
        <v>14383.506875555413</v>
      </c>
      <c r="S159" s="109">
        <f t="shared" si="46"/>
        <v>15404.027571264114</v>
      </c>
      <c r="T159" s="109">
        <f t="shared" si="46"/>
        <v>16220.210625657666</v>
      </c>
      <c r="U159" s="114">
        <f t="shared" si="46"/>
        <v>16869.736110767273</v>
      </c>
    </row>
    <row r="160" spans="2:21">
      <c r="N160" s="109"/>
      <c r="O160" s="109"/>
      <c r="P160" s="109"/>
      <c r="Q160" s="109"/>
      <c r="R160" s="109"/>
      <c r="S160" s="109"/>
      <c r="T160" s="109"/>
      <c r="U160" s="109"/>
    </row>
    <row r="161" spans="1:21">
      <c r="B161" t="s">
        <v>289</v>
      </c>
      <c r="D161" s="53"/>
      <c r="M161" t="s">
        <v>303</v>
      </c>
      <c r="N161" s="115">
        <f>D158*N$3</f>
        <v>10190.343073497943</v>
      </c>
      <c r="O161" s="109">
        <f t="shared" ref="O161:U161" si="48">E158*O$2</f>
        <v>11109.080786647326</v>
      </c>
      <c r="P161" s="109">
        <f t="shared" si="48"/>
        <v>11830.542739804843</v>
      </c>
      <c r="Q161" s="109">
        <f t="shared" si="48"/>
        <v>12730.845244033135</v>
      </c>
      <c r="R161" s="109">
        <f t="shared" si="48"/>
        <v>13956.062043876655</v>
      </c>
      <c r="S161" s="109">
        <f t="shared" si="48"/>
        <v>14917.918229426556</v>
      </c>
      <c r="T161" s="109">
        <f t="shared" si="48"/>
        <v>15969.420452853978</v>
      </c>
      <c r="U161" s="109">
        <f t="shared" si="48"/>
        <v>16857.204927057257</v>
      </c>
    </row>
    <row r="162" spans="1:21">
      <c r="B162" t="s">
        <v>250</v>
      </c>
      <c r="D162" s="53"/>
      <c r="E162" s="53"/>
      <c r="F162" s="53"/>
      <c r="G162" s="53"/>
      <c r="H162" s="53"/>
      <c r="I162" s="53"/>
      <c r="J162" s="53"/>
      <c r="K162" s="53"/>
      <c r="N162" s="109">
        <f t="shared" ref="N162:U162" si="49">D159*N$2</f>
        <v>11009.699667202407</v>
      </c>
      <c r="O162" s="109">
        <f t="shared" si="49"/>
        <v>11649.301181171297</v>
      </c>
      <c r="P162" s="109">
        <f t="shared" si="49"/>
        <v>12343.199752012821</v>
      </c>
      <c r="Q162" s="109">
        <f t="shared" si="49"/>
        <v>13504.734130132885</v>
      </c>
      <c r="R162" s="109">
        <f t="shared" si="49"/>
        <v>14562.106780951983</v>
      </c>
      <c r="S162" s="109">
        <f t="shared" si="49"/>
        <v>15501.810592811267</v>
      </c>
      <c r="T162" s="109">
        <f t="shared" si="49"/>
        <v>16366.81351099741</v>
      </c>
      <c r="U162" s="115">
        <f t="shared" si="49"/>
        <v>17039.61781450114</v>
      </c>
    </row>
    <row r="163" spans="1:21">
      <c r="D163" s="189"/>
      <c r="E163" s="189"/>
      <c r="F163" s="189"/>
      <c r="G163" s="189"/>
      <c r="H163" s="189"/>
      <c r="I163" s="189"/>
      <c r="J163" s="189"/>
      <c r="K163" s="189"/>
    </row>
    <row r="164" spans="1:21">
      <c r="D164" s="53"/>
    </row>
    <row r="165" spans="1:21">
      <c r="B165" t="s">
        <v>304</v>
      </c>
      <c r="D165" s="190">
        <f t="shared" ref="D165" si="50">D62-D127-D166</f>
        <v>-568.85899585512277</v>
      </c>
      <c r="E165" s="190">
        <f>E62-E127-E166</f>
        <v>-549.89961863661063</v>
      </c>
      <c r="F165" s="190">
        <f t="shared" ref="F165:K165" si="51">F62-F127-F166</f>
        <v>-536.88830227380822</v>
      </c>
      <c r="G165" s="190">
        <f t="shared" si="51"/>
        <v>-523.09693133301403</v>
      </c>
      <c r="H165" s="190">
        <f t="shared" si="51"/>
        <v>-510.35729242605208</v>
      </c>
      <c r="I165" s="190">
        <f t="shared" si="51"/>
        <v>-499.08660917668203</v>
      </c>
      <c r="J165" s="190">
        <f t="shared" si="51"/>
        <v>-479.55827686084967</v>
      </c>
      <c r="K165" s="190">
        <f t="shared" si="51"/>
        <v>-462.2100604895204</v>
      </c>
    </row>
    <row r="166" spans="1:21">
      <c r="B166" t="s">
        <v>305</v>
      </c>
      <c r="D166" s="193">
        <v>0</v>
      </c>
      <c r="E166" s="193">
        <v>-43.530727066011465</v>
      </c>
      <c r="F166" s="193">
        <v>-82.957833180526791</v>
      </c>
      <c r="G166" s="193">
        <v>-118.16068803785984</v>
      </c>
      <c r="H166" s="193">
        <v>-156.7823808143383</v>
      </c>
      <c r="I166" s="193">
        <v>-188.58818217303417</v>
      </c>
      <c r="J166" s="193">
        <v>-217.75277445655351</v>
      </c>
      <c r="K166" s="193">
        <v>-241.37772563376222</v>
      </c>
    </row>
    <row r="167" spans="1:21">
      <c r="D167" s="53"/>
      <c r="E167" s="53"/>
      <c r="F167" s="53"/>
      <c r="G167" s="53"/>
      <c r="H167" s="53"/>
      <c r="I167" s="53"/>
      <c r="J167" s="53"/>
      <c r="K167" s="53"/>
    </row>
    <row r="169" spans="1:21">
      <c r="B169" t="s">
        <v>352</v>
      </c>
      <c r="D169" s="192">
        <v>98.2</v>
      </c>
      <c r="E169" s="192">
        <v>86.4</v>
      </c>
      <c r="F169" s="192">
        <v>80.599999999999994</v>
      </c>
      <c r="G169" s="192">
        <v>94.8</v>
      </c>
      <c r="H169" s="192">
        <v>80.2</v>
      </c>
      <c r="I169" s="192">
        <v>54.8</v>
      </c>
      <c r="J169" s="192">
        <v>15.6</v>
      </c>
      <c r="K169" s="192">
        <v>1.4</v>
      </c>
    </row>
    <row r="170" spans="1:21">
      <c r="B170" t="s">
        <v>353</v>
      </c>
      <c r="D170" s="192">
        <v>-45.1</v>
      </c>
      <c r="E170" s="192">
        <v>-33.4</v>
      </c>
      <c r="F170" s="192">
        <v>-29.6</v>
      </c>
      <c r="G170" s="192">
        <v>-37.299999999999997</v>
      </c>
      <c r="H170" s="192">
        <v>-31.2</v>
      </c>
      <c r="I170" s="192">
        <v>-26.3</v>
      </c>
      <c r="J170" s="192">
        <v>-11.9</v>
      </c>
      <c r="K170" s="192">
        <v>-1.4</v>
      </c>
    </row>
    <row r="171" spans="1:21">
      <c r="D171" s="192"/>
      <c r="E171" s="192"/>
      <c r="F171" s="192"/>
      <c r="G171" s="192"/>
      <c r="H171" s="192"/>
      <c r="I171" s="192"/>
      <c r="J171" s="192"/>
      <c r="K171" s="192"/>
    </row>
    <row r="172" spans="1:21" s="188" customFormat="1">
      <c r="D172" s="194"/>
      <c r="E172" s="194"/>
      <c r="F172" s="194"/>
      <c r="G172" s="194"/>
      <c r="H172" s="194"/>
      <c r="I172" s="194"/>
      <c r="J172" s="194"/>
      <c r="K172" s="194"/>
    </row>
    <row r="174" spans="1:21" ht="16.8">
      <c r="A174" s="86">
        <v>1</v>
      </c>
      <c r="B174" s="75" t="s">
        <v>241</v>
      </c>
      <c r="D174" s="87">
        <f>D183</f>
        <v>33.012850677690459</v>
      </c>
      <c r="E174" s="88">
        <f t="shared" ref="E174:K174" si="52">E183</f>
        <v>31.160292249879337</v>
      </c>
      <c r="F174" s="88">
        <f t="shared" si="52"/>
        <v>31.777099215366718</v>
      </c>
      <c r="G174" s="88">
        <f t="shared" si="52"/>
        <v>31.18043803768256</v>
      </c>
      <c r="H174" s="88">
        <f t="shared" si="52"/>
        <v>31.99254597530528</v>
      </c>
      <c r="I174" s="88">
        <f t="shared" si="52"/>
        <v>29.571763005229077</v>
      </c>
      <c r="J174" s="88">
        <f t="shared" si="52"/>
        <v>31.466486913817501</v>
      </c>
      <c r="K174" s="89">
        <f t="shared" si="52"/>
        <v>31.937080597643327</v>
      </c>
      <c r="L174" s="172">
        <v>243.40743312371282</v>
      </c>
    </row>
    <row r="175" spans="1:21" ht="16.8">
      <c r="A175" s="86">
        <v>2</v>
      </c>
      <c r="B175" s="75" t="s">
        <v>242</v>
      </c>
      <c r="D175" s="87">
        <f t="shared" ref="D175:K176" si="53">D184</f>
        <v>85.312778991450955</v>
      </c>
      <c r="E175" s="88">
        <f t="shared" si="53"/>
        <v>80.525343054347672</v>
      </c>
      <c r="F175" s="88">
        <f t="shared" si="53"/>
        <v>82.119313742936924</v>
      </c>
      <c r="G175" s="88">
        <f t="shared" si="53"/>
        <v>80.577404391287175</v>
      </c>
      <c r="H175" s="88">
        <f t="shared" si="53"/>
        <v>82.676077592097144</v>
      </c>
      <c r="I175" s="88">
        <f t="shared" si="53"/>
        <v>76.420219092366168</v>
      </c>
      <c r="J175" s="88">
        <f t="shared" si="53"/>
        <v>81.316620304166364</v>
      </c>
      <c r="K175" s="89">
        <f t="shared" si="53"/>
        <v>82.532742332977904</v>
      </c>
      <c r="L175" s="172">
        <v>629.02064258851954</v>
      </c>
    </row>
    <row r="176" spans="1:21" ht="16.8">
      <c r="A176" s="86">
        <v>3</v>
      </c>
      <c r="B176" s="75" t="s">
        <v>243</v>
      </c>
      <c r="D176" s="87">
        <f t="shared" si="53"/>
        <v>118.32562966914142</v>
      </c>
      <c r="E176" s="88">
        <f t="shared" si="53"/>
        <v>111.68563530422701</v>
      </c>
      <c r="F176" s="88">
        <f t="shared" si="53"/>
        <v>113.89641295830364</v>
      </c>
      <c r="G176" s="88">
        <f t="shared" si="53"/>
        <v>111.75784242896974</v>
      </c>
      <c r="H176" s="88">
        <f t="shared" si="53"/>
        <v>114.66862356740242</v>
      </c>
      <c r="I176" s="88">
        <f t="shared" si="53"/>
        <v>105.99198209759524</v>
      </c>
      <c r="J176" s="88">
        <f t="shared" si="53"/>
        <v>112.78310721798387</v>
      </c>
      <c r="K176" s="89">
        <f t="shared" si="53"/>
        <v>114.46982293062123</v>
      </c>
      <c r="L176" s="172">
        <v>872.42807571223227</v>
      </c>
    </row>
    <row r="179" spans="1:13" ht="17.399999999999999" thickBot="1">
      <c r="B179" s="185" t="s">
        <v>354</v>
      </c>
    </row>
    <row r="180" spans="1:13" ht="16.8">
      <c r="A180" s="68"/>
      <c r="B180" s="69" t="s">
        <v>237</v>
      </c>
      <c r="D180" s="70">
        <v>41729</v>
      </c>
      <c r="E180" s="71">
        <v>42094</v>
      </c>
      <c r="F180" s="71">
        <v>42460</v>
      </c>
      <c r="G180" s="71">
        <v>42825</v>
      </c>
      <c r="H180" s="71">
        <v>43190</v>
      </c>
      <c r="I180" s="71">
        <v>43555</v>
      </c>
      <c r="J180" s="71">
        <v>43921</v>
      </c>
      <c r="K180" s="72">
        <v>44286</v>
      </c>
      <c r="L180" s="180" t="s">
        <v>238</v>
      </c>
      <c r="M180" s="181" t="s">
        <v>310</v>
      </c>
    </row>
    <row r="181" spans="1:13" ht="16.8">
      <c r="A181" s="74"/>
      <c r="B181" s="75" t="s">
        <v>239</v>
      </c>
      <c r="D181" s="76" t="s">
        <v>240</v>
      </c>
      <c r="E181" s="77" t="s">
        <v>240</v>
      </c>
      <c r="F181" s="77" t="s">
        <v>240</v>
      </c>
      <c r="G181" s="77" t="s">
        <v>240</v>
      </c>
      <c r="H181" s="77" t="s">
        <v>240</v>
      </c>
      <c r="I181" s="77" t="s">
        <v>240</v>
      </c>
      <c r="J181" s="77" t="s">
        <v>240</v>
      </c>
      <c r="K181" s="78" t="s">
        <v>240</v>
      </c>
      <c r="L181" s="182" t="s">
        <v>240</v>
      </c>
      <c r="M181" s="79" t="s">
        <v>240</v>
      </c>
    </row>
    <row r="182" spans="1:13" ht="16.8">
      <c r="A182" s="80"/>
      <c r="B182" s="81" t="s">
        <v>207</v>
      </c>
      <c r="D182" s="82"/>
      <c r="E182" s="83"/>
      <c r="F182" s="83"/>
      <c r="G182" s="83"/>
      <c r="H182" s="83"/>
      <c r="I182" s="83"/>
      <c r="J182" s="83"/>
      <c r="K182" s="84"/>
      <c r="L182" s="183"/>
      <c r="M182" s="85"/>
    </row>
    <row r="183" spans="1:13" ht="16.8">
      <c r="A183" s="86">
        <v>1</v>
      </c>
      <c r="B183" s="75" t="s">
        <v>241</v>
      </c>
      <c r="D183" s="87">
        <v>33.012850677690459</v>
      </c>
      <c r="E183" s="88">
        <v>31.160292249879337</v>
      </c>
      <c r="F183" s="88">
        <v>31.777099215366718</v>
      </c>
      <c r="G183" s="88">
        <v>31.18043803768256</v>
      </c>
      <c r="H183" s="88">
        <v>31.99254597530528</v>
      </c>
      <c r="I183" s="88">
        <v>29.571763005229077</v>
      </c>
      <c r="J183" s="88">
        <v>31.466486913817501</v>
      </c>
      <c r="K183" s="89">
        <v>31.937080597643327</v>
      </c>
      <c r="L183" s="172">
        <v>252.09855667261428</v>
      </c>
      <c r="M183" s="90">
        <v>31.512319584076785</v>
      </c>
    </row>
    <row r="184" spans="1:13" ht="16.8">
      <c r="A184" s="86">
        <v>2</v>
      </c>
      <c r="B184" s="75" t="s">
        <v>242</v>
      </c>
      <c r="D184" s="87">
        <v>85.312778991450955</v>
      </c>
      <c r="E184" s="88">
        <v>80.525343054347672</v>
      </c>
      <c r="F184" s="88">
        <v>82.119313742936924</v>
      </c>
      <c r="G184" s="88">
        <v>80.577404391287175</v>
      </c>
      <c r="H184" s="88">
        <v>82.676077592097144</v>
      </c>
      <c r="I184" s="88">
        <v>76.420219092366168</v>
      </c>
      <c r="J184" s="88">
        <v>81.316620304166364</v>
      </c>
      <c r="K184" s="89">
        <v>82.532742332977904</v>
      </c>
      <c r="L184" s="172">
        <v>651.48049950163033</v>
      </c>
      <c r="M184" s="90">
        <v>81.435062437703792</v>
      </c>
    </row>
    <row r="185" spans="1:13" ht="16.8">
      <c r="A185" s="86">
        <v>3</v>
      </c>
      <c r="B185" s="75" t="s">
        <v>243</v>
      </c>
      <c r="D185" s="87">
        <v>118.32562966914142</v>
      </c>
      <c r="E185" s="88">
        <v>111.68563530422701</v>
      </c>
      <c r="F185" s="88">
        <v>113.89641295830364</v>
      </c>
      <c r="G185" s="88">
        <v>111.75784242896974</v>
      </c>
      <c r="H185" s="88">
        <v>114.66862356740242</v>
      </c>
      <c r="I185" s="88">
        <v>105.99198209759524</v>
      </c>
      <c r="J185" s="88">
        <v>112.78310721798387</v>
      </c>
      <c r="K185" s="89">
        <v>114.46982293062123</v>
      </c>
      <c r="L185" s="172">
        <v>903.57905617424467</v>
      </c>
      <c r="M185" s="90">
        <v>112.94738202178058</v>
      </c>
    </row>
    <row r="186" spans="1:13" ht="16.8">
      <c r="A186" s="80"/>
      <c r="B186" s="81" t="s">
        <v>244</v>
      </c>
      <c r="D186" s="82">
        <v>0</v>
      </c>
      <c r="E186" s="83">
        <v>0</v>
      </c>
      <c r="F186" s="83">
        <v>0</v>
      </c>
      <c r="G186" s="83">
        <v>0</v>
      </c>
      <c r="H186" s="83">
        <v>0</v>
      </c>
      <c r="I186" s="83">
        <v>0</v>
      </c>
      <c r="J186" s="83">
        <v>0</v>
      </c>
      <c r="K186" s="84">
        <v>0</v>
      </c>
      <c r="L186" s="183">
        <v>0</v>
      </c>
      <c r="M186" s="85">
        <v>0</v>
      </c>
    </row>
    <row r="187" spans="1:13" ht="16.8">
      <c r="A187" s="86">
        <v>4</v>
      </c>
      <c r="B187" s="75" t="s">
        <v>311</v>
      </c>
      <c r="D187" s="87">
        <v>74.160747515587701</v>
      </c>
      <c r="E187" s="88">
        <v>94.4584254983384</v>
      </c>
      <c r="F187" s="88">
        <v>106.29772885630427</v>
      </c>
      <c r="G187" s="88">
        <v>115.70724403851708</v>
      </c>
      <c r="H187" s="88">
        <v>121.80970084417964</v>
      </c>
      <c r="I187" s="88">
        <v>125.73565889022741</v>
      </c>
      <c r="J187" s="88">
        <v>125.17835663568664</v>
      </c>
      <c r="K187" s="89">
        <v>125.1393357053325</v>
      </c>
      <c r="L187" s="172">
        <v>0</v>
      </c>
      <c r="M187" s="90">
        <v>111.06089974802173</v>
      </c>
    </row>
    <row r="188" spans="1:13" ht="16.8">
      <c r="A188" s="86">
        <v>5</v>
      </c>
      <c r="B188" s="75" t="s">
        <v>246</v>
      </c>
      <c r="D188" s="87">
        <v>0</v>
      </c>
      <c r="E188" s="88">
        <v>0</v>
      </c>
      <c r="F188" s="88">
        <v>0</v>
      </c>
      <c r="G188" s="88">
        <v>0</v>
      </c>
      <c r="H188" s="88">
        <v>0</v>
      </c>
      <c r="I188" s="88">
        <v>0</v>
      </c>
      <c r="J188" s="88">
        <v>0</v>
      </c>
      <c r="K188" s="89">
        <v>0</v>
      </c>
      <c r="L188" s="172">
        <v>0</v>
      </c>
      <c r="M188" s="90">
        <v>0</v>
      </c>
    </row>
    <row r="189" spans="1:13" ht="16.8">
      <c r="A189" s="86">
        <v>6</v>
      </c>
      <c r="B189" s="75" t="s">
        <v>247</v>
      </c>
      <c r="D189" s="87">
        <v>74.160747515587701</v>
      </c>
      <c r="E189" s="88">
        <v>94.4584254983384</v>
      </c>
      <c r="F189" s="88">
        <v>106.29772885630427</v>
      </c>
      <c r="G189" s="88">
        <v>115.70724403851708</v>
      </c>
      <c r="H189" s="88">
        <v>121.80970084417964</v>
      </c>
      <c r="I189" s="88">
        <v>125.73565889022741</v>
      </c>
      <c r="J189" s="88">
        <v>125.17835663568664</v>
      </c>
      <c r="K189" s="89">
        <v>125.1393357053325</v>
      </c>
      <c r="L189" s="172">
        <v>0</v>
      </c>
      <c r="M189" s="90">
        <v>111.06089974802173</v>
      </c>
    </row>
    <row r="190" spans="1:13" ht="16.8">
      <c r="A190" s="86">
        <v>7</v>
      </c>
      <c r="B190" s="75" t="s">
        <v>248</v>
      </c>
      <c r="D190" s="87">
        <v>35.942999336114895</v>
      </c>
      <c r="E190" s="88">
        <v>31.160292249879337</v>
      </c>
      <c r="F190" s="88">
        <v>31.777099215366718</v>
      </c>
      <c r="G190" s="88">
        <v>31.18043803768256</v>
      </c>
      <c r="H190" s="88">
        <v>31.99254597530528</v>
      </c>
      <c r="I190" s="88">
        <v>29.571763005229077</v>
      </c>
      <c r="J190" s="88">
        <v>31.466486913817501</v>
      </c>
      <c r="K190" s="89">
        <v>31.937080597643327</v>
      </c>
      <c r="L190" s="172">
        <v>255.02870533103871</v>
      </c>
      <c r="M190" s="90">
        <v>31.878588166379838</v>
      </c>
    </row>
    <row r="191" spans="1:13" ht="16.8">
      <c r="A191" s="86">
        <v>8</v>
      </c>
      <c r="B191" s="75" t="s">
        <v>249</v>
      </c>
      <c r="D191" s="87">
        <v>-15.645321353364194</v>
      </c>
      <c r="E191" s="88">
        <v>-19.320988891913455</v>
      </c>
      <c r="F191" s="88">
        <v>-22.367584033153918</v>
      </c>
      <c r="G191" s="88">
        <v>-25.077981232020001</v>
      </c>
      <c r="H191" s="88">
        <v>-28.066587929257523</v>
      </c>
      <c r="I191" s="88">
        <v>-30.129065259769845</v>
      </c>
      <c r="J191" s="88">
        <v>-31.50550784417165</v>
      </c>
      <c r="K191" s="89">
        <v>-31.870232104770764</v>
      </c>
      <c r="L191" s="172">
        <v>-203.98326864842136</v>
      </c>
      <c r="M191" s="90">
        <v>-25.49790858105267</v>
      </c>
    </row>
    <row r="192" spans="1:13" ht="16.8">
      <c r="A192" s="86">
        <v>9</v>
      </c>
      <c r="B192" s="75" t="s">
        <v>250</v>
      </c>
      <c r="D192" s="87">
        <v>94.4584254983384</v>
      </c>
      <c r="E192" s="88">
        <v>106.29772885630427</v>
      </c>
      <c r="F192" s="88">
        <v>115.70724403851708</v>
      </c>
      <c r="G192" s="88">
        <v>121.80970084417964</v>
      </c>
      <c r="H192" s="88">
        <v>125.73565889022741</v>
      </c>
      <c r="I192" s="88">
        <v>125.17835663568664</v>
      </c>
      <c r="J192" s="88">
        <v>125.1393357053325</v>
      </c>
      <c r="K192" s="89">
        <v>125.20618419820505</v>
      </c>
      <c r="L192" s="172">
        <v>0</v>
      </c>
      <c r="M192" s="90">
        <v>117.44157933334888</v>
      </c>
    </row>
    <row r="193" spans="1:13" ht="16.8">
      <c r="A193" s="80"/>
      <c r="B193" s="81" t="s">
        <v>251</v>
      </c>
      <c r="D193" s="91">
        <v>0</v>
      </c>
      <c r="E193" s="92">
        <v>0</v>
      </c>
      <c r="F193" s="92">
        <v>0</v>
      </c>
      <c r="G193" s="92">
        <v>0</v>
      </c>
      <c r="H193" s="92">
        <v>0</v>
      </c>
      <c r="I193" s="92">
        <v>0</v>
      </c>
      <c r="J193" s="92">
        <v>0</v>
      </c>
      <c r="K193" s="93">
        <v>0</v>
      </c>
      <c r="L193" s="184">
        <v>0</v>
      </c>
      <c r="M193" s="94">
        <v>0</v>
      </c>
    </row>
    <row r="194" spans="1:13" ht="16.8">
      <c r="A194" s="86">
        <v>10</v>
      </c>
      <c r="B194" s="75" t="s">
        <v>252</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72">
        <v>619.93604258851951</v>
      </c>
      <c r="M194" s="90">
        <v>77.492005323564939</v>
      </c>
    </row>
    <row r="195" spans="1:13" ht="16.8">
      <c r="A195" s="86">
        <v>11</v>
      </c>
      <c r="B195" s="75" t="s">
        <v>253</v>
      </c>
      <c r="D195" s="87">
        <v>0</v>
      </c>
      <c r="E195" s="88">
        <v>0</v>
      </c>
      <c r="F195" s="88">
        <v>0</v>
      </c>
      <c r="G195" s="88">
        <v>0</v>
      </c>
      <c r="H195" s="88">
        <v>0</v>
      </c>
      <c r="I195" s="88">
        <v>0</v>
      </c>
      <c r="J195" s="88">
        <v>0</v>
      </c>
      <c r="K195" s="89">
        <v>0</v>
      </c>
      <c r="L195" s="172">
        <v>0</v>
      </c>
      <c r="M195" s="90">
        <v>0</v>
      </c>
    </row>
    <row r="196" spans="1:13" ht="16.8">
      <c r="A196" s="86">
        <v>12</v>
      </c>
      <c r="B196" s="75" t="s">
        <v>254</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72">
        <v>195.13882051652158</v>
      </c>
      <c r="M196" s="90">
        <v>24.392352564565197</v>
      </c>
    </row>
    <row r="197" spans="1:13" ht="16.8">
      <c r="A197" s="86">
        <v>13</v>
      </c>
      <c r="B197" s="75" t="s">
        <v>255</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72">
        <v>38.677549126287644</v>
      </c>
      <c r="M197" s="90">
        <v>4.8346936407859555</v>
      </c>
    </row>
    <row r="198" spans="1:13" ht="16.8">
      <c r="A198" s="86">
        <v>14</v>
      </c>
      <c r="B198" s="75" t="s">
        <v>256</v>
      </c>
      <c r="D198" s="87">
        <v>0</v>
      </c>
      <c r="E198" s="88">
        <v>0</v>
      </c>
      <c r="F198" s="88">
        <v>0</v>
      </c>
      <c r="G198" s="88">
        <v>0</v>
      </c>
      <c r="H198" s="88">
        <v>0</v>
      </c>
      <c r="I198" s="88">
        <v>0</v>
      </c>
      <c r="J198" s="88">
        <v>0</v>
      </c>
      <c r="K198" s="89">
        <v>0</v>
      </c>
      <c r="L198" s="172">
        <v>0</v>
      </c>
      <c r="M198" s="90">
        <v>0</v>
      </c>
    </row>
    <row r="199" spans="1:13" ht="16.8">
      <c r="A199" s="86">
        <v>15</v>
      </c>
      <c r="B199" s="75" t="s">
        <v>257</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72">
        <v>7.0928230769456135</v>
      </c>
      <c r="M199" s="90">
        <v>0.88660288461820169</v>
      </c>
    </row>
    <row r="200" spans="1:13" ht="16.8">
      <c r="A200" s="86">
        <v>16</v>
      </c>
      <c r="B200" s="75" t="s">
        <v>258</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72">
        <v>83.035157295435894</v>
      </c>
      <c r="M200" s="90">
        <v>10.379394661929487</v>
      </c>
    </row>
    <row r="201" spans="1:13" ht="16.8">
      <c r="A201" s="86">
        <v>17</v>
      </c>
      <c r="B201" s="75" t="s">
        <v>259</v>
      </c>
      <c r="D201" s="87">
        <v>2.0016092127672556</v>
      </c>
      <c r="E201" s="88">
        <v>0.82522992535408668</v>
      </c>
      <c r="F201" s="88">
        <v>0.15069905537749376</v>
      </c>
      <c r="G201" s="88">
        <v>0.12384729257669767</v>
      </c>
      <c r="H201" s="88">
        <v>1.0117778450783115</v>
      </c>
      <c r="I201" s="88">
        <v>0</v>
      </c>
      <c r="J201" s="88">
        <v>0.94578803093084196</v>
      </c>
      <c r="K201" s="89">
        <v>0.90950595778206589</v>
      </c>
      <c r="L201" s="172">
        <v>5.9684573198667525</v>
      </c>
      <c r="M201" s="90">
        <v>0.74605716498334407</v>
      </c>
    </row>
    <row r="202" spans="1:13" ht="16.8">
      <c r="A202" s="80"/>
      <c r="B202" s="81" t="s">
        <v>260</v>
      </c>
      <c r="D202" s="91">
        <v>0</v>
      </c>
      <c r="E202" s="92">
        <v>0</v>
      </c>
      <c r="F202" s="92">
        <v>0</v>
      </c>
      <c r="G202" s="92">
        <v>0</v>
      </c>
      <c r="H202" s="92">
        <v>0</v>
      </c>
      <c r="I202" s="92">
        <v>0</v>
      </c>
      <c r="J202" s="92">
        <v>0</v>
      </c>
      <c r="K202" s="93">
        <v>0</v>
      </c>
      <c r="L202" s="184">
        <v>0</v>
      </c>
      <c r="M202" s="94">
        <v>0</v>
      </c>
    </row>
    <row r="203" spans="1:13" ht="16.8">
      <c r="A203" s="86">
        <v>18</v>
      </c>
      <c r="B203" s="75" t="s">
        <v>252</v>
      </c>
      <c r="D203" s="87">
        <v>85.312778991450955</v>
      </c>
      <c r="E203" s="88">
        <v>80.525343054347672</v>
      </c>
      <c r="F203" s="88">
        <v>82.119313742936924</v>
      </c>
      <c r="G203" s="88">
        <v>80.577404391287175</v>
      </c>
      <c r="H203" s="88">
        <v>82.676077592097144</v>
      </c>
      <c r="I203" s="88">
        <v>76.420219092366168</v>
      </c>
      <c r="J203" s="88">
        <v>81.316620304166364</v>
      </c>
      <c r="K203" s="89">
        <v>82.532742332977904</v>
      </c>
      <c r="L203" s="172">
        <v>651.48049950163033</v>
      </c>
      <c r="M203" s="90">
        <v>81.435062437703792</v>
      </c>
    </row>
    <row r="204" spans="1:13" ht="16.8">
      <c r="A204" s="86">
        <v>19</v>
      </c>
      <c r="B204" s="75" t="s">
        <v>253</v>
      </c>
      <c r="D204" s="87">
        <v>0</v>
      </c>
      <c r="E204" s="88">
        <v>0</v>
      </c>
      <c r="F204" s="88">
        <v>0</v>
      </c>
      <c r="G204" s="88">
        <v>0</v>
      </c>
      <c r="H204" s="88">
        <v>0</v>
      </c>
      <c r="I204" s="88">
        <v>0</v>
      </c>
      <c r="J204" s="88">
        <v>0</v>
      </c>
      <c r="K204" s="89">
        <v>0</v>
      </c>
      <c r="L204" s="172">
        <v>0</v>
      </c>
      <c r="M204" s="90">
        <v>0</v>
      </c>
    </row>
    <row r="205" spans="1:13" ht="16.8">
      <c r="A205" s="86">
        <v>20</v>
      </c>
      <c r="B205" s="75" t="s">
        <v>254</v>
      </c>
      <c r="D205" s="87">
        <v>15.645321353364194</v>
      </c>
      <c r="E205" s="88">
        <v>19.320988891913455</v>
      </c>
      <c r="F205" s="88">
        <v>22.367584033153918</v>
      </c>
      <c r="G205" s="88">
        <v>25.077981232020001</v>
      </c>
      <c r="H205" s="88">
        <v>28.066587929257523</v>
      </c>
      <c r="I205" s="88">
        <v>30.129065259769845</v>
      </c>
      <c r="J205" s="88">
        <v>31.50550784417165</v>
      </c>
      <c r="K205" s="89">
        <v>31.870232104770764</v>
      </c>
      <c r="L205" s="172">
        <v>203.98326864842136</v>
      </c>
      <c r="M205" s="90">
        <v>25.49790858105267</v>
      </c>
    </row>
    <row r="206" spans="1:13" ht="16.8">
      <c r="A206" s="86">
        <v>21</v>
      </c>
      <c r="B206" s="75" t="s">
        <v>255</v>
      </c>
      <c r="D206" s="87">
        <v>3.7441708649106857</v>
      </c>
      <c r="E206" s="88">
        <v>4.3487886349813039</v>
      </c>
      <c r="F206" s="88">
        <v>4.7024402737473219</v>
      </c>
      <c r="G206" s="88">
        <v>4.9166512424454467</v>
      </c>
      <c r="H206" s="88">
        <v>5.0112093934661219</v>
      </c>
      <c r="I206" s="88">
        <v>5.0812626969356156</v>
      </c>
      <c r="J206" s="88">
        <v>5.0689746491843719</v>
      </c>
      <c r="K206" s="89">
        <v>5.0694947644200248</v>
      </c>
      <c r="L206" s="172">
        <v>37.942992520090883</v>
      </c>
      <c r="M206" s="90">
        <v>4.7428740650113603</v>
      </c>
    </row>
    <row r="207" spans="1:13" ht="16.8">
      <c r="A207" s="86">
        <v>22</v>
      </c>
      <c r="B207" s="75" t="s">
        <v>256</v>
      </c>
      <c r="D207" s="87">
        <v>0</v>
      </c>
      <c r="E207" s="88">
        <v>0</v>
      </c>
      <c r="F207" s="88">
        <v>0</v>
      </c>
      <c r="G207" s="88">
        <v>0</v>
      </c>
      <c r="H207" s="88">
        <v>0</v>
      </c>
      <c r="I207" s="88">
        <v>0</v>
      </c>
      <c r="J207" s="88">
        <v>0</v>
      </c>
      <c r="K207" s="89">
        <v>0</v>
      </c>
      <c r="L207" s="172">
        <v>0</v>
      </c>
      <c r="M207" s="90">
        <v>0</v>
      </c>
    </row>
    <row r="208" spans="1:13" ht="16.8">
      <c r="A208" s="86">
        <v>23</v>
      </c>
      <c r="B208" s="75" t="s">
        <v>257</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72">
        <v>7.0928230769456135</v>
      </c>
      <c r="M208" s="90">
        <v>0.88660288461820169</v>
      </c>
    </row>
    <row r="209" spans="1:13" ht="16.8">
      <c r="A209" s="86">
        <v>24</v>
      </c>
      <c r="B209" s="75" t="s">
        <v>258</v>
      </c>
      <c r="D209" s="87">
        <v>12.238898857271282</v>
      </c>
      <c r="E209" s="88">
        <v>12.269320008809279</v>
      </c>
      <c r="F209" s="88">
        <v>13.501323356904841</v>
      </c>
      <c r="G209" s="88">
        <v>13.736881640130386</v>
      </c>
      <c r="H209" s="88">
        <v>13.774963236275942</v>
      </c>
      <c r="I209" s="88">
        <v>13.918750363974231</v>
      </c>
      <c r="J209" s="88">
        <v>14.168478775789014</v>
      </c>
      <c r="K209" s="89">
        <v>14.224393965579983</v>
      </c>
      <c r="L209" s="172">
        <v>107.83301020473495</v>
      </c>
      <c r="M209" s="90">
        <v>13.479126275591868</v>
      </c>
    </row>
    <row r="210" spans="1:13" ht="16.8">
      <c r="A210" s="86">
        <v>25</v>
      </c>
      <c r="B210" s="75" t="s">
        <v>259</v>
      </c>
      <c r="D210" s="87">
        <v>1.8187516285821019</v>
      </c>
      <c r="E210" s="88">
        <v>1.217890877687094</v>
      </c>
      <c r="F210" s="88">
        <v>1.0973211650022119</v>
      </c>
      <c r="G210" s="88">
        <v>0.29915892061240168</v>
      </c>
      <c r="H210" s="88">
        <v>1.2130923041139008</v>
      </c>
      <c r="I210" s="88">
        <v>0.14460761535328986</v>
      </c>
      <c r="J210" s="88">
        <v>1.2863891373609391</v>
      </c>
      <c r="K210" s="89">
        <v>1.2092005155466103</v>
      </c>
      <c r="L210" s="172">
        <v>8.2864121642585502</v>
      </c>
      <c r="M210" s="90">
        <v>1.0358015205323188</v>
      </c>
    </row>
    <row r="211" spans="1:13" ht="16.8">
      <c r="A211" s="80"/>
      <c r="B211" s="81" t="s">
        <v>261</v>
      </c>
      <c r="D211" s="91">
        <v>0</v>
      </c>
      <c r="E211" s="92">
        <v>0</v>
      </c>
      <c r="F211" s="92">
        <v>0</v>
      </c>
      <c r="G211" s="92">
        <v>0</v>
      </c>
      <c r="H211" s="92">
        <v>0</v>
      </c>
      <c r="I211" s="92">
        <v>0</v>
      </c>
      <c r="J211" s="92">
        <v>0</v>
      </c>
      <c r="K211" s="93">
        <v>0</v>
      </c>
      <c r="L211" s="91">
        <v>0</v>
      </c>
      <c r="M211" s="184">
        <v>0</v>
      </c>
    </row>
    <row r="212" spans="1:13" ht="16.8">
      <c r="A212" s="86">
        <v>26</v>
      </c>
      <c r="B212" s="75" t="s">
        <v>262</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72">
        <v>949.84884992357684</v>
      </c>
      <c r="M212" s="90">
        <v>118.7311062404471</v>
      </c>
    </row>
    <row r="213" spans="1:13" ht="16.8">
      <c r="A213" s="86">
        <v>27</v>
      </c>
      <c r="B213" s="75" t="s">
        <v>312</v>
      </c>
      <c r="D213" s="87">
        <v>0</v>
      </c>
      <c r="E213" s="88">
        <v>3.7106038241035293</v>
      </c>
      <c r="F213" s="88">
        <v>6.0364438354306174</v>
      </c>
      <c r="G213" s="88">
        <v>20.850581449170846</v>
      </c>
      <c r="H213" s="88">
        <v>9.1750949396110855</v>
      </c>
      <c r="I213" s="88">
        <v>0</v>
      </c>
      <c r="J213" s="88">
        <v>0</v>
      </c>
      <c r="K213" s="88">
        <v>0</v>
      </c>
      <c r="L213" s="172">
        <v>39.772724048316078</v>
      </c>
      <c r="M213" s="90">
        <v>4.9715905060395098</v>
      </c>
    </row>
    <row r="214" spans="1:13" ht="16.8">
      <c r="A214" s="86">
        <v>28</v>
      </c>
      <c r="B214" s="75" t="s">
        <v>264</v>
      </c>
      <c r="D214" s="96">
        <v>113.97553115199239</v>
      </c>
      <c r="E214" s="88">
        <v>117.24346896430818</v>
      </c>
      <c r="F214" s="88">
        <v>120.39300058545147</v>
      </c>
      <c r="G214" s="88">
        <v>137.55601536883614</v>
      </c>
      <c r="H214" s="88">
        <v>132.00818266001866</v>
      </c>
      <c r="I214" s="88">
        <v>117.52358286418433</v>
      </c>
      <c r="J214" s="88">
        <v>124.73063970685706</v>
      </c>
      <c r="K214" s="88">
        <v>126.19115267024478</v>
      </c>
      <c r="L214" s="172">
        <v>989.62157397189299</v>
      </c>
      <c r="M214" s="90">
        <v>123.70269674648662</v>
      </c>
    </row>
    <row r="215" spans="1:13" ht="16.8">
      <c r="A215" s="86">
        <v>29</v>
      </c>
      <c r="B215" s="75" t="s">
        <v>168</v>
      </c>
      <c r="D215" s="96">
        <v>0</v>
      </c>
      <c r="E215" s="88">
        <v>0</v>
      </c>
      <c r="F215" s="88">
        <v>0</v>
      </c>
      <c r="G215" s="88">
        <v>0</v>
      </c>
      <c r="H215" s="88">
        <v>0</v>
      </c>
      <c r="I215" s="88">
        <v>0</v>
      </c>
      <c r="J215" s="88">
        <v>0</v>
      </c>
      <c r="K215" s="88">
        <v>0</v>
      </c>
      <c r="L215" s="172">
        <v>0</v>
      </c>
      <c r="M215" s="90">
        <v>0</v>
      </c>
    </row>
    <row r="216" spans="1:13" ht="16.8">
      <c r="A216" s="86">
        <v>30</v>
      </c>
      <c r="B216" s="75" t="s">
        <v>265</v>
      </c>
      <c r="D216" s="96">
        <v>0</v>
      </c>
      <c r="E216" s="88">
        <v>0</v>
      </c>
      <c r="F216" s="88">
        <v>0</v>
      </c>
      <c r="G216" s="88">
        <v>0</v>
      </c>
      <c r="H216" s="88">
        <v>0</v>
      </c>
      <c r="I216" s="88">
        <v>0</v>
      </c>
      <c r="J216" s="88">
        <v>0</v>
      </c>
      <c r="K216" s="88">
        <v>0</v>
      </c>
      <c r="L216" s="172">
        <v>0</v>
      </c>
      <c r="M216" s="90">
        <v>0</v>
      </c>
    </row>
    <row r="217" spans="1:13" ht="16.8">
      <c r="A217" s="86">
        <v>31</v>
      </c>
      <c r="B217" s="75" t="s">
        <v>266</v>
      </c>
      <c r="D217" s="96">
        <v>0</v>
      </c>
      <c r="E217" s="88">
        <v>0</v>
      </c>
      <c r="F217" s="88">
        <v>0</v>
      </c>
      <c r="G217" s="88">
        <v>0</v>
      </c>
      <c r="H217" s="88">
        <v>0</v>
      </c>
      <c r="I217" s="88">
        <v>0</v>
      </c>
      <c r="J217" s="88">
        <v>0</v>
      </c>
      <c r="K217" s="88">
        <v>0</v>
      </c>
      <c r="L217" s="172">
        <v>0</v>
      </c>
      <c r="M217" s="90">
        <v>0</v>
      </c>
    </row>
    <row r="218" spans="1:13" ht="16.8">
      <c r="A218" s="86">
        <v>32</v>
      </c>
      <c r="B218" s="75" t="s">
        <v>267</v>
      </c>
      <c r="D218" s="96">
        <v>113.97553115199239</v>
      </c>
      <c r="E218" s="88">
        <v>117.24346896430818</v>
      </c>
      <c r="F218" s="88">
        <v>120.39300058545147</v>
      </c>
      <c r="G218" s="88">
        <v>137.55601536883614</v>
      </c>
      <c r="H218" s="88">
        <v>132.00818266001866</v>
      </c>
      <c r="I218" s="88">
        <v>117.52358286418433</v>
      </c>
      <c r="J218" s="88">
        <v>124.73063970685706</v>
      </c>
      <c r="K218" s="88">
        <v>126.19115267024478</v>
      </c>
      <c r="L218" s="172">
        <v>989.62157397189299</v>
      </c>
      <c r="M218" s="90">
        <v>123.70269674648662</v>
      </c>
    </row>
    <row r="219" spans="1:13" ht="16.8">
      <c r="A219" s="80"/>
      <c r="B219" s="81" t="s">
        <v>268</v>
      </c>
      <c r="D219" s="91">
        <v>0</v>
      </c>
      <c r="E219" s="92">
        <v>0</v>
      </c>
      <c r="F219" s="92">
        <v>0</v>
      </c>
      <c r="G219" s="92">
        <v>0</v>
      </c>
      <c r="H219" s="92">
        <v>0</v>
      </c>
      <c r="I219" s="92">
        <v>0</v>
      </c>
      <c r="J219" s="92">
        <v>0</v>
      </c>
      <c r="K219" s="93">
        <v>0</v>
      </c>
      <c r="L219" s="91">
        <v>0</v>
      </c>
      <c r="M219" s="184">
        <v>0</v>
      </c>
    </row>
    <row r="220" spans="1:13" ht="16.8">
      <c r="A220" s="86">
        <f>A218+1</f>
        <v>33</v>
      </c>
      <c r="B220" s="75" t="s">
        <v>268</v>
      </c>
      <c r="D220" s="87">
        <v>119.69211564141293</v>
      </c>
      <c r="E220" s="88">
        <v>118.58202939873651</v>
      </c>
      <c r="F220" s="88">
        <v>124.66581524861344</v>
      </c>
      <c r="G220" s="88">
        <v>125.48039851967327</v>
      </c>
      <c r="H220" s="88">
        <v>131.64069004089222</v>
      </c>
      <c r="I220" s="88">
        <v>126.52192213062875</v>
      </c>
      <c r="J220" s="88">
        <v>134.23014729630094</v>
      </c>
      <c r="K220" s="89">
        <v>135.80588783982361</v>
      </c>
      <c r="L220" s="172">
        <v>1016.6190061160817</v>
      </c>
      <c r="M220" s="90">
        <v>127.07737576451021</v>
      </c>
    </row>
    <row r="221" spans="1:13" ht="16.8">
      <c r="A221" s="86">
        <f>+A220+1</f>
        <v>34</v>
      </c>
      <c r="B221" s="75" t="s">
        <v>269</v>
      </c>
      <c r="D221" s="87">
        <v>119.69994390743108</v>
      </c>
      <c r="E221" s="88">
        <v>118.58883728716589</v>
      </c>
      <c r="F221" s="88">
        <v>124.24009563853161</v>
      </c>
      <c r="G221" s="88">
        <v>125.55563156558647</v>
      </c>
      <c r="H221" s="88">
        <v>131.81503475003785</v>
      </c>
      <c r="I221" s="88">
        <v>126.68543752505576</v>
      </c>
      <c r="J221" s="88">
        <v>134.38616451554529</v>
      </c>
      <c r="K221" s="89">
        <v>135.95691657439207</v>
      </c>
      <c r="L221" s="172">
        <v>1016.9280617637459</v>
      </c>
      <c r="M221" s="90">
        <v>127.11600772046823</v>
      </c>
    </row>
    <row r="222" spans="1:13" ht="16.8">
      <c r="A222" s="80"/>
      <c r="B222" s="81" t="s">
        <v>270</v>
      </c>
      <c r="D222" s="91">
        <v>0</v>
      </c>
      <c r="E222" s="92">
        <v>0</v>
      </c>
      <c r="F222" s="92">
        <v>0</v>
      </c>
      <c r="G222" s="92">
        <v>0</v>
      </c>
      <c r="H222" s="92">
        <v>0</v>
      </c>
      <c r="I222" s="92">
        <v>0</v>
      </c>
      <c r="J222" s="92">
        <v>0</v>
      </c>
      <c r="K222" s="93">
        <v>0</v>
      </c>
      <c r="L222" s="91">
        <v>0</v>
      </c>
      <c r="M222" s="184">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72">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72">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72">
        <v>980.54182424082012</v>
      </c>
      <c r="M225" s="90">
        <v>122.56772803010251</v>
      </c>
    </row>
    <row r="226" spans="1:13" ht="16.8">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72">
        <v>1016.9280617637459</v>
      </c>
      <c r="M226" s="90">
        <v>127.11600772046823</v>
      </c>
    </row>
    <row r="227" spans="1:13" ht="16.8">
      <c r="A227" s="86">
        <f>A226+1</f>
        <v>39</v>
      </c>
      <c r="B227" s="98">
        <v>43190</v>
      </c>
      <c r="D227" s="96">
        <v>119.69211564141293</v>
      </c>
      <c r="E227" s="88">
        <v>118.58202939873651</v>
      </c>
      <c r="F227" s="88">
        <v>124.66581524861344</v>
      </c>
      <c r="G227" s="88">
        <v>125.48039851967327</v>
      </c>
      <c r="H227" s="88">
        <v>131.64069004089222</v>
      </c>
      <c r="I227" s="88">
        <v>126.52192213062875</v>
      </c>
      <c r="J227" s="88">
        <v>134.23014729630094</v>
      </c>
      <c r="K227" s="88">
        <v>135.80588783982361</v>
      </c>
      <c r="L227" s="172">
        <v>1016.6190061160817</v>
      </c>
      <c r="M227" s="90">
        <v>127.07737576451021</v>
      </c>
    </row>
    <row r="228" spans="1:13" ht="16.8">
      <c r="A228" s="86">
        <f>A227+1</f>
        <v>40</v>
      </c>
      <c r="B228" s="98">
        <v>43555</v>
      </c>
      <c r="D228" s="96">
        <v>0</v>
      </c>
      <c r="E228" s="88">
        <v>0</v>
      </c>
      <c r="F228" s="88">
        <v>0</v>
      </c>
      <c r="G228" s="88">
        <v>0</v>
      </c>
      <c r="H228" s="88">
        <v>0</v>
      </c>
      <c r="I228" s="88">
        <v>0</v>
      </c>
      <c r="J228" s="88">
        <v>0</v>
      </c>
      <c r="K228" s="88">
        <v>0</v>
      </c>
      <c r="L228" s="172">
        <v>0</v>
      </c>
      <c r="M228" s="90">
        <v>0</v>
      </c>
    </row>
    <row r="229" spans="1:13" ht="16.8">
      <c r="A229" s="86">
        <f>A228+1</f>
        <v>41</v>
      </c>
      <c r="B229" s="98">
        <v>43921</v>
      </c>
      <c r="D229" s="96">
        <v>0</v>
      </c>
      <c r="E229" s="88">
        <v>0</v>
      </c>
      <c r="F229" s="88">
        <v>0</v>
      </c>
      <c r="G229" s="88">
        <v>0</v>
      </c>
      <c r="H229" s="88">
        <v>0</v>
      </c>
      <c r="I229" s="88">
        <v>0</v>
      </c>
      <c r="J229" s="88">
        <v>0</v>
      </c>
      <c r="K229" s="88">
        <v>0</v>
      </c>
      <c r="L229" s="172">
        <v>0</v>
      </c>
      <c r="M229" s="90">
        <v>0</v>
      </c>
    </row>
    <row r="230" spans="1:13" ht="17.399999999999999" thickBot="1">
      <c r="A230" s="103">
        <f>A229+1</f>
        <v>42</v>
      </c>
      <c r="B230" s="211">
        <v>44286</v>
      </c>
      <c r="D230" s="214">
        <v>0</v>
      </c>
      <c r="E230" s="106">
        <v>0</v>
      </c>
      <c r="F230" s="106">
        <v>0</v>
      </c>
      <c r="G230" s="106">
        <v>0</v>
      </c>
      <c r="H230" s="106">
        <v>0</v>
      </c>
      <c r="I230" s="106">
        <v>0</v>
      </c>
      <c r="J230" s="106">
        <v>0</v>
      </c>
      <c r="K230" s="106">
        <v>0</v>
      </c>
      <c r="L230" s="215">
        <v>0</v>
      </c>
      <c r="M230" s="108">
        <v>0</v>
      </c>
    </row>
    <row r="231" spans="1:13" ht="16.8">
      <c r="A231" s="80"/>
      <c r="B231" s="81" t="s">
        <v>313</v>
      </c>
      <c r="D231" s="91">
        <v>0</v>
      </c>
      <c r="E231" s="92">
        <v>0</v>
      </c>
      <c r="F231" s="92">
        <v>0</v>
      </c>
      <c r="G231" s="92">
        <v>0</v>
      </c>
      <c r="H231" s="92">
        <v>0</v>
      </c>
      <c r="I231" s="97">
        <v>0</v>
      </c>
      <c r="J231" s="92">
        <v>0</v>
      </c>
      <c r="K231" s="93">
        <v>0</v>
      </c>
      <c r="L231" s="95">
        <v>0</v>
      </c>
      <c r="M231" s="184">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8">
      <c r="A236" s="86">
        <f>A235+1</f>
        <v>47</v>
      </c>
      <c r="B236" s="98">
        <v>43190</v>
      </c>
      <c r="D236" s="96">
        <v>0</v>
      </c>
      <c r="E236" s="88">
        <v>3.7106038241035293</v>
      </c>
      <c r="F236" s="88">
        <v>6.0364438354306174</v>
      </c>
      <c r="G236" s="88">
        <v>20.850581449170846</v>
      </c>
      <c r="H236" s="88">
        <v>9.1750949396110855</v>
      </c>
      <c r="I236" s="88">
        <v>0</v>
      </c>
      <c r="J236" s="88">
        <v>0</v>
      </c>
      <c r="K236" s="89">
        <v>0</v>
      </c>
      <c r="L236" s="90">
        <v>39.772724048316078</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314</v>
      </c>
      <c r="D240" s="91">
        <v>0</v>
      </c>
      <c r="E240" s="92">
        <v>0</v>
      </c>
      <c r="F240" s="92">
        <v>0</v>
      </c>
      <c r="G240" s="92">
        <v>0</v>
      </c>
      <c r="H240" s="92">
        <v>0</v>
      </c>
      <c r="I240" s="97">
        <v>0</v>
      </c>
      <c r="J240" s="92">
        <v>0</v>
      </c>
      <c r="K240" s="93">
        <v>0</v>
      </c>
      <c r="L240" s="91">
        <v>0</v>
      </c>
      <c r="M240" s="184">
        <v>0</v>
      </c>
    </row>
    <row r="241" spans="1:13" ht="16.8">
      <c r="A241" s="86">
        <f>A239+1</f>
        <v>51</v>
      </c>
      <c r="B241" s="75" t="s">
        <v>273</v>
      </c>
      <c r="D241" s="87">
        <v>82.253314255507149</v>
      </c>
      <c r="E241" s="88">
        <v>98.122487251383205</v>
      </c>
      <c r="F241" s="88">
        <v>108.60139200340234</v>
      </c>
      <c r="G241" s="88">
        <v>116.28787233787716</v>
      </c>
      <c r="H241" s="88">
        <v>121.27805889317816</v>
      </c>
      <c r="I241" s="88">
        <v>122.97344377869351</v>
      </c>
      <c r="J241" s="88">
        <v>122.67605636941849</v>
      </c>
      <c r="K241" s="89">
        <v>122.68864386302093</v>
      </c>
      <c r="L241" s="90">
        <v>894.88126875248099</v>
      </c>
      <c r="M241" s="90">
        <v>111.86015859406012</v>
      </c>
    </row>
    <row r="242" spans="1:13" ht="16.8">
      <c r="A242" s="86">
        <f>A241+1</f>
        <v>52</v>
      </c>
      <c r="B242" s="75" t="s">
        <v>26</v>
      </c>
      <c r="D242" s="216">
        <v>0.6</v>
      </c>
      <c r="E242" s="217">
        <v>0.6</v>
      </c>
      <c r="F242" s="217">
        <v>0.6</v>
      </c>
      <c r="G242" s="217">
        <v>0.6</v>
      </c>
      <c r="H242" s="217">
        <v>0.6</v>
      </c>
      <c r="I242" s="217">
        <v>0.6</v>
      </c>
      <c r="J242" s="217">
        <v>0.6</v>
      </c>
      <c r="K242" s="218">
        <v>0.6</v>
      </c>
      <c r="L242" s="219">
        <v>0.59999999999999987</v>
      </c>
      <c r="M242" s="219">
        <v>0.6</v>
      </c>
    </row>
    <row r="243" spans="1:13" ht="16.8">
      <c r="A243" s="86">
        <f>A242+1</f>
        <v>53</v>
      </c>
      <c r="B243" s="75" t="s">
        <v>274</v>
      </c>
      <c r="D243" s="87">
        <v>32.901325702202861</v>
      </c>
      <c r="E243" s="88">
        <v>39.248994900553285</v>
      </c>
      <c r="F243" s="88">
        <v>43.440556801360941</v>
      </c>
      <c r="G243" s="88">
        <v>46.515148935150869</v>
      </c>
      <c r="H243" s="88">
        <v>48.511223557271265</v>
      </c>
      <c r="I243" s="88">
        <v>49.189377511477403</v>
      </c>
      <c r="J243" s="88">
        <v>49.0704225477674</v>
      </c>
      <c r="K243" s="89">
        <v>49.075457545208373</v>
      </c>
      <c r="L243" s="90">
        <v>357.95250750099245</v>
      </c>
      <c r="M243" s="90">
        <v>44.744063437624057</v>
      </c>
    </row>
    <row r="244" spans="1:13" ht="16.8">
      <c r="A244" s="86">
        <f>A243+1</f>
        <v>54</v>
      </c>
      <c r="B244" s="75" t="s">
        <v>275</v>
      </c>
      <c r="D244" s="87">
        <v>1.4410780657564852</v>
      </c>
      <c r="E244" s="88">
        <v>1.6013589919425737</v>
      </c>
      <c r="F244" s="88">
        <v>1.6616012976520556</v>
      </c>
      <c r="G244" s="88">
        <v>1.660590816984886</v>
      </c>
      <c r="H244" s="88">
        <v>1.6154237444571331</v>
      </c>
      <c r="I244" s="88">
        <v>1.6380062711321977</v>
      </c>
      <c r="J244" s="88">
        <v>1.6340450708406544</v>
      </c>
      <c r="K244" s="89">
        <v>1.6342127362554386</v>
      </c>
      <c r="L244" s="90">
        <v>12.886316995021424</v>
      </c>
      <c r="M244" s="90">
        <v>1.610789624377678</v>
      </c>
    </row>
    <row r="245" spans="1:13" ht="17.399999999999999" thickBot="1">
      <c r="A245" s="103">
        <f>A244+1</f>
        <v>55</v>
      </c>
      <c r="B245" s="104" t="s">
        <v>276</v>
      </c>
      <c r="D245" s="105">
        <v>2.3030927991542005</v>
      </c>
      <c r="E245" s="106">
        <v>2.7474296430387302</v>
      </c>
      <c r="F245" s="106">
        <v>3.0408389760952663</v>
      </c>
      <c r="G245" s="106">
        <v>3.2560604254605607</v>
      </c>
      <c r="H245" s="106">
        <v>3.3957856490089888</v>
      </c>
      <c r="I245" s="106">
        <v>3.4432564258034182</v>
      </c>
      <c r="J245" s="106">
        <v>3.4349295783437173</v>
      </c>
      <c r="K245" s="107">
        <v>3.4352820281645862</v>
      </c>
      <c r="L245" s="108">
        <v>25.056675525069465</v>
      </c>
      <c r="M245" s="108">
        <v>3.1320844406336832</v>
      </c>
    </row>
    <row r="246" spans="1:13" ht="16.8">
      <c r="A246" s="212"/>
      <c r="B246" s="213"/>
    </row>
    <row r="247" spans="1:13" ht="16.8">
      <c r="A247" s="212"/>
      <c r="B247" s="213"/>
    </row>
    <row r="248" spans="1:13">
      <c r="B248" t="s">
        <v>355</v>
      </c>
      <c r="D248" s="53">
        <v>0.5</v>
      </c>
      <c r="E248" s="53">
        <v>0.4</v>
      </c>
      <c r="F248" s="53">
        <v>0.4</v>
      </c>
      <c r="G248" s="53">
        <v>0.5</v>
      </c>
      <c r="H248" s="53">
        <v>0.4</v>
      </c>
      <c r="I248" s="53">
        <v>0.4</v>
      </c>
      <c r="J248" s="53">
        <v>0.5</v>
      </c>
      <c r="K248" s="53">
        <v>0.4</v>
      </c>
    </row>
    <row r="249" spans="1:13">
      <c r="B249" t="s">
        <v>356</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293</v>
      </c>
      <c r="D250" s="53">
        <v>0.97533863299335366</v>
      </c>
      <c r="E250" s="53">
        <v>1.0185656412076189</v>
      </c>
      <c r="F250" s="53">
        <v>1.0626695334719087</v>
      </c>
      <c r="G250" s="53">
        <v>1.1075992013471012</v>
      </c>
      <c r="H250" s="53">
        <v>1.1533652003467634</v>
      </c>
      <c r="I250" s="53">
        <v>1.2010222504250916</v>
      </c>
      <c r="J250" s="53">
        <v>1.2506484898126564</v>
      </c>
      <c r="K250" s="53">
        <v>1.3023252854117153</v>
      </c>
    </row>
    <row r="251" spans="1:13">
      <c r="D251" s="53">
        <f>SUM(D248:D250)</f>
        <v>10.271521977223172</v>
      </c>
      <c r="E251" s="53">
        <f t="shared" ref="E251:K251" si="54">SUM(E248:E250)</f>
        <v>10.214748985437437</v>
      </c>
      <c r="F251" s="53">
        <f t="shared" si="54"/>
        <v>11.357789408220997</v>
      </c>
      <c r="G251" s="53">
        <f t="shared" si="54"/>
        <v>11.50271907609619</v>
      </c>
      <c r="H251" s="53">
        <f t="shared" si="54"/>
        <v>11.448485075095853</v>
      </c>
      <c r="I251" s="53">
        <f t="shared" si="54"/>
        <v>11.496142125174181</v>
      </c>
      <c r="J251" s="53">
        <f t="shared" si="54"/>
        <v>11.645768364561745</v>
      </c>
      <c r="K251" s="53">
        <f t="shared" si="54"/>
        <v>11.597445160160804</v>
      </c>
    </row>
    <row r="253" spans="1:13">
      <c r="B253" t="s">
        <v>357</v>
      </c>
      <c r="D253" s="53">
        <v>1.9673768800481106</v>
      </c>
      <c r="E253" s="53">
        <v>2.0545710233718428</v>
      </c>
      <c r="F253" s="53">
        <v>2.1435339486838436</v>
      </c>
      <c r="G253" s="53">
        <v>2.2341625640341967</v>
      </c>
      <c r="H253" s="53">
        <v>2.3264781611800895</v>
      </c>
      <c r="I253" s="53">
        <v>2.4226082388000507</v>
      </c>
      <c r="J253" s="53">
        <v>2.5227104112272687</v>
      </c>
      <c r="K253" s="53">
        <v>2.6269488054191794</v>
      </c>
    </row>
    <row r="257" spans="2:4">
      <c r="B257" t="s">
        <v>358</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AG147"/>
  <sheetViews>
    <sheetView topLeftCell="A100" workbookViewId="0">
      <selection activeCell="H123" sqref="H123"/>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381</v>
      </c>
      <c r="C2" s="1" t="s">
        <v>384</v>
      </c>
      <c r="D2" s="2" t="s">
        <v>40</v>
      </c>
      <c r="E2" s="47" t="s">
        <v>41</v>
      </c>
      <c r="G2" s="112" t="s">
        <v>362</v>
      </c>
      <c r="H2" s="113" t="str">
        <f>RPI!$B$1</f>
        <v>Updated Oct 2019</v>
      </c>
      <c r="J2" s="224" t="s">
        <v>398</v>
      </c>
      <c r="K2">
        <f>1-0.4689</f>
        <v>0.53110000000000002</v>
      </c>
    </row>
    <row r="3" spans="1:11" ht="15.6" thickBot="1">
      <c r="C3" s="4" t="s">
        <v>42</v>
      </c>
      <c r="D3" s="64">
        <f>SUMPRODUCT(D81:K81,RPI!$E$2:$L$2)/1000</f>
        <v>1.4227487975585782</v>
      </c>
      <c r="E3" s="232">
        <f>L81/1000</f>
        <v>1.1588637620875542</v>
      </c>
    </row>
    <row r="4" spans="1:11" ht="15.6" thickBot="1">
      <c r="C4" s="3" t="s">
        <v>43</v>
      </c>
      <c r="D4" s="62">
        <f>SUMPRODUCT(D82:K82,RPI!$E$2:$L$2)/1000</f>
        <v>6.1368774763378324</v>
      </c>
      <c r="E4" s="63">
        <f t="shared" ref="E4:E8" si="0">L82/1000</f>
        <v>4.806417480663975</v>
      </c>
    </row>
    <row r="5" spans="1:11" ht="15.6" thickBot="1">
      <c r="C5" s="4" t="s">
        <v>44</v>
      </c>
      <c r="D5" s="64">
        <f>SUMPRODUCT(D83:K83,RPI!$E$2:$L$2)/1000</f>
        <v>4.2990109444783879</v>
      </c>
      <c r="E5" s="232">
        <f t="shared" si="0"/>
        <v>3.5388032894308616</v>
      </c>
    </row>
    <row r="6" spans="1:11" ht="15.6" thickBot="1">
      <c r="C6" s="3" t="s">
        <v>45</v>
      </c>
      <c r="D6" s="62">
        <f>SUMPRODUCT(D84:K84,RPI!$E$2:$L$2)/1000</f>
        <v>0.21697059091807439</v>
      </c>
      <c r="E6" s="63">
        <f t="shared" si="0"/>
        <v>0.16746373793475025</v>
      </c>
    </row>
    <row r="7" spans="1:11" ht="15.6" thickBot="1">
      <c r="C7" s="4" t="s">
        <v>46</v>
      </c>
      <c r="D7" s="64">
        <f>SUMPRODUCT(D85:K85,RPI!$E$2:$L$2)/1000</f>
        <v>2.0550636343973276</v>
      </c>
      <c r="E7" s="232">
        <f t="shared" si="0"/>
        <v>1.623853135909078</v>
      </c>
    </row>
    <row r="8" spans="1:11" ht="15.6" thickBot="1">
      <c r="C8" s="3" t="s">
        <v>47</v>
      </c>
      <c r="D8" s="62">
        <f>SUMPRODUCT(D86:K86,RPI!$E$2:$L$2)/1000</f>
        <v>-0.83914178700081965</v>
      </c>
      <c r="E8" s="63">
        <f t="shared" si="0"/>
        <v>-0.71075472506614579</v>
      </c>
    </row>
    <row r="9" spans="1:11" ht="16.2" thickBot="1">
      <c r="C9" s="5" t="s">
        <v>48</v>
      </c>
      <c r="D9" s="67">
        <f>SUM(D3:D8)</f>
        <v>13.291529656689383</v>
      </c>
      <c r="E9" s="233">
        <f>SUM(E3:E8)</f>
        <v>10.584646680960073</v>
      </c>
    </row>
    <row r="10" spans="1:11" ht="15.6" thickBot="1">
      <c r="C10" s="3" t="s">
        <v>52</v>
      </c>
      <c r="D10" s="62">
        <f>SUMPRODUCT(D88:K88,RPI!$E$2:$L$2)/1000</f>
        <v>0.89416672601474101</v>
      </c>
      <c r="E10" s="63">
        <f>L88/1000</f>
        <v>0.70798416071864323</v>
      </c>
    </row>
    <row r="11" spans="1:11" ht="15.6" thickBot="1">
      <c r="C11" s="4"/>
      <c r="D11" s="64"/>
      <c r="E11" s="232"/>
    </row>
    <row r="12" spans="1:11" ht="15.6" thickBot="1">
      <c r="C12" s="3" t="s">
        <v>49</v>
      </c>
      <c r="D12" s="62">
        <f>SUMPRODUCT(D90:K90,RPI!$E$2:$L$2)/1000</f>
        <v>0.28922566338576178</v>
      </c>
      <c r="E12" s="63">
        <f t="shared" ref="E12:E14" si="1">L90/1000</f>
        <v>0.23082055237155213</v>
      </c>
    </row>
    <row r="13" spans="1:11" ht="15.6" thickBot="1">
      <c r="C13" s="4" t="s">
        <v>46</v>
      </c>
      <c r="D13" s="64">
        <f>SUMPRODUCT(D91:K91,RPI!$E$2:$L$2)/1000</f>
        <v>0.79680469644730745</v>
      </c>
      <c r="E13" s="232">
        <f t="shared" si="1"/>
        <v>0.62900752334068022</v>
      </c>
    </row>
    <row r="14" spans="1:11" ht="15.6" thickBot="1">
      <c r="C14" s="3" t="s">
        <v>47</v>
      </c>
      <c r="D14" s="62">
        <f>SUMPRODUCT(D92:K92,RPI!$E$2:$L$2)/1000</f>
        <v>-8.7192675275370966E-3</v>
      </c>
      <c r="E14" s="63">
        <f t="shared" si="1"/>
        <v>-7.4676505501305715E-3</v>
      </c>
    </row>
    <row r="15" spans="1:11" ht="16.2" thickBot="1">
      <c r="C15" s="5" t="s">
        <v>50</v>
      </c>
      <c r="D15" s="67">
        <f>SUM(D12:D14)</f>
        <v>1.077311092305532</v>
      </c>
      <c r="E15" s="233">
        <f>SUM(E12:E14)</f>
        <v>0.85236042516210175</v>
      </c>
    </row>
    <row r="16" spans="1:11" ht="15.6" thickBot="1">
      <c r="C16" s="3"/>
      <c r="D16" s="62"/>
      <c r="E16" s="63"/>
    </row>
    <row r="17" spans="1:12" ht="16.2" thickBot="1">
      <c r="C17" s="5" t="s">
        <v>153</v>
      </c>
      <c r="D17" s="67">
        <f>D9+D15</f>
        <v>14.368840748994915</v>
      </c>
      <c r="E17" s="233">
        <f>E9+E15</f>
        <v>11.437007106122175</v>
      </c>
    </row>
    <row r="18" spans="1:12" ht="15.6" thickBot="1">
      <c r="C18" s="3"/>
      <c r="D18" s="62"/>
      <c r="E18" s="63"/>
    </row>
    <row r="19" spans="1:12" ht="16.2" thickBot="1">
      <c r="C19" s="5" t="s">
        <v>53</v>
      </c>
      <c r="D19" s="67">
        <f>E19*RPI!E4</f>
        <v>10.190343073497942</v>
      </c>
      <c r="E19" s="233">
        <f>D97/1000</f>
        <v>8.8650145032674477</v>
      </c>
    </row>
    <row r="20" spans="1:12" ht="16.2" thickBot="1">
      <c r="C20" s="6" t="s">
        <v>54</v>
      </c>
      <c r="D20" s="65">
        <f>E20*RPI!L3</f>
        <v>17.494583636097488</v>
      </c>
      <c r="E20" s="66">
        <f>K100/1000</f>
        <v>12.478505771510635</v>
      </c>
    </row>
    <row r="23" spans="1:12" ht="13.8" thickBot="1">
      <c r="A23" s="38" t="s">
        <v>360</v>
      </c>
    </row>
    <row r="24" spans="1:12" ht="13.8" thickBot="1">
      <c r="C24" s="14" t="s">
        <v>58</v>
      </c>
      <c r="D24" s="15" t="s">
        <v>59</v>
      </c>
      <c r="E24" s="15" t="s">
        <v>60</v>
      </c>
      <c r="F24" s="15" t="s">
        <v>61</v>
      </c>
      <c r="G24" s="15" t="s">
        <v>62</v>
      </c>
      <c r="H24" s="15" t="s">
        <v>63</v>
      </c>
      <c r="I24" s="15" t="s">
        <v>64</v>
      </c>
      <c r="J24" s="15" t="s">
        <v>65</v>
      </c>
      <c r="K24" s="15" t="s">
        <v>66</v>
      </c>
      <c r="L24" s="15" t="s">
        <v>118</v>
      </c>
    </row>
    <row r="25" spans="1:12">
      <c r="C25" s="16"/>
      <c r="D25" s="26"/>
      <c r="E25" s="26"/>
      <c r="F25" s="26"/>
      <c r="G25" s="26"/>
      <c r="H25" s="26"/>
      <c r="I25" s="26"/>
      <c r="J25" s="26"/>
      <c r="K25" s="26"/>
      <c r="L25" s="26"/>
    </row>
    <row r="26" spans="1:12">
      <c r="A26" t="s">
        <v>338</v>
      </c>
      <c r="C26" s="17" t="s">
        <v>119</v>
      </c>
      <c r="D26" s="27">
        <f>'ET workings 16-17'!D15+'ET workings 16-17'!D16+'ET workings 16-17'!D20</f>
        <v>1550.5495936697737</v>
      </c>
      <c r="E26" s="27">
        <f>'ET workings 16-17'!E15+'ET workings 16-17'!E16+'ET workings 16-17'!E20</f>
        <v>1492.3183286019096</v>
      </c>
      <c r="F26" s="27">
        <f>'ET workings 16-17'!F15+'ET workings 16-17'!F16+'ET workings 16-17'!F20</f>
        <v>1366.6924618767082</v>
      </c>
      <c r="G26" s="27">
        <f>'ET workings 16-17'!G15+'ET workings 16-17'!G16+'ET workings 16-17'!G20</f>
        <v>1257.9109606415332</v>
      </c>
      <c r="H26" s="27">
        <f>'ET workings 16-17'!H15+'ET workings 16-17'!H16+'ET workings 16-17'!H20</f>
        <v>1082.3336058772115</v>
      </c>
      <c r="I26" s="27">
        <f>'ET workings 16-17'!I15+'ET workings 16-17'!I16+'ET workings 16-17'!I20</f>
        <v>1067.3824104137695</v>
      </c>
      <c r="J26" s="27">
        <f>'ET workings 16-17'!J15+'ET workings 16-17'!J16+'ET workings 16-17'!J20</f>
        <v>922.3425530105784</v>
      </c>
      <c r="K26" s="27">
        <f>'ET workings 16-17'!K15+'ET workings 16-17'!K16+'ET workings 16-17'!K20</f>
        <v>764.55461809090639</v>
      </c>
      <c r="L26" s="28">
        <f>SUM(D26:K26)</f>
        <v>9504.084532182389</v>
      </c>
    </row>
    <row r="27" spans="1:12">
      <c r="C27" s="18" t="s">
        <v>386</v>
      </c>
      <c r="D27" s="29">
        <f>'ET workings 16-17'!D21+'ET workings 16-17'!D17</f>
        <v>193.29832303253795</v>
      </c>
      <c r="E27" s="29">
        <f>'ET workings 16-17'!E21+'ET workings 16-17'!E17</f>
        <v>199.59947067705875</v>
      </c>
      <c r="F27" s="29">
        <f>'ET workings 16-17'!F21+'ET workings 16-17'!F17</f>
        <v>211.8404097294482</v>
      </c>
      <c r="G27" s="29">
        <f>'ET workings 16-17'!G21+'ET workings 16-17'!G17</f>
        <v>218.80082198852523</v>
      </c>
      <c r="H27" s="29">
        <f>'ET workings 16-17'!H21+'ET workings 16-17'!H17</f>
        <v>250.70365695048378</v>
      </c>
      <c r="I27" s="29">
        <f>'ET workings 16-17'!I21+'ET workings 16-17'!I17</f>
        <v>262.17988486431767</v>
      </c>
      <c r="J27" s="29">
        <f>'ET workings 16-17'!J21+'ET workings 16-17'!J17</f>
        <v>241.53371821955682</v>
      </c>
      <c r="K27" s="29">
        <f>'ET workings 16-17'!K21+'ET workings 16-17'!K17</f>
        <v>213.3605883818999</v>
      </c>
      <c r="L27" s="30">
        <f t="shared" ref="L27:L38" si="2">SUM(D27:K27)</f>
        <v>1791.3168738438285</v>
      </c>
    </row>
    <row r="28" spans="1:12">
      <c r="C28" s="19" t="s">
        <v>71</v>
      </c>
      <c r="D28" s="31">
        <f>SUM(D26:D27)</f>
        <v>1743.8479167023115</v>
      </c>
      <c r="E28" s="31">
        <f t="shared" ref="E28:K28" si="3">SUM(E26:E27)</f>
        <v>1691.9177992789682</v>
      </c>
      <c r="F28" s="31">
        <f t="shared" si="3"/>
        <v>1578.5328716061563</v>
      </c>
      <c r="G28" s="31">
        <f t="shared" si="3"/>
        <v>1476.7117826300585</v>
      </c>
      <c r="H28" s="31">
        <f t="shared" si="3"/>
        <v>1333.0372628276953</v>
      </c>
      <c r="I28" s="31">
        <f t="shared" si="3"/>
        <v>1329.5622952780873</v>
      </c>
      <c r="J28" s="31">
        <f t="shared" si="3"/>
        <v>1163.8762712301352</v>
      </c>
      <c r="K28" s="31">
        <f t="shared" si="3"/>
        <v>977.91520647280629</v>
      </c>
      <c r="L28" s="28">
        <f t="shared" si="2"/>
        <v>11295.40140602622</v>
      </c>
    </row>
    <row r="29" spans="1:12">
      <c r="A29" t="s">
        <v>346</v>
      </c>
      <c r="C29" s="17" t="s">
        <v>121</v>
      </c>
      <c r="D29" s="27">
        <f>'ET workings 16-17'!D38+'ET workings 16-17'!D39+'ET workings 16-17'!D43</f>
        <v>998.97199999999998</v>
      </c>
      <c r="E29" s="27">
        <f>'ET workings 16-17'!E38+'ET workings 16-17'!E39+'ET workings 16-17'!E43</f>
        <v>678.91846701391705</v>
      </c>
      <c r="F29" s="27">
        <f>'ET workings 16-17'!F38+'ET workings 16-17'!F39+'ET workings 16-17'!F43</f>
        <v>1366.6924618767082</v>
      </c>
      <c r="G29" s="27">
        <f>'ET workings 16-17'!G38+'ET workings 16-17'!G39+'ET workings 16-17'!G43</f>
        <v>1257.9109606415332</v>
      </c>
      <c r="H29" s="27">
        <f>'ET workings 16-17'!H38+'ET workings 16-17'!H39+'ET workings 16-17'!H43</f>
        <v>1082.3336058772115</v>
      </c>
      <c r="I29" s="27">
        <f>'ET workings 16-17'!I38+'ET workings 16-17'!I39+'ET workings 16-17'!I43</f>
        <v>1067.3824104137693</v>
      </c>
      <c r="J29" s="27">
        <f>'ET workings 16-17'!J38+'ET workings 16-17'!J39+'ET workings 16-17'!J43</f>
        <v>922.34255301057851</v>
      </c>
      <c r="K29" s="27">
        <f>'ET workings 16-17'!K38+'ET workings 16-17'!K39+'ET workings 16-17'!K43</f>
        <v>764.55461809090639</v>
      </c>
      <c r="L29" s="28">
        <f t="shared" si="2"/>
        <v>8139.1070769246253</v>
      </c>
    </row>
    <row r="30" spans="1:12">
      <c r="C30" s="18" t="s">
        <v>387</v>
      </c>
      <c r="D30" s="29">
        <f>'ET workings 16-17'!D40+'ET workings 16-17'!D44</f>
        <v>199.958</v>
      </c>
      <c r="E30" s="29">
        <f>'ET workings 16-17'!E40+'ET workings 16-17'!E44</f>
        <v>219.64813756433946</v>
      </c>
      <c r="F30" s="29">
        <f>'ET workings 16-17'!F40+'ET workings 16-17'!F44</f>
        <v>211.8404097294482</v>
      </c>
      <c r="G30" s="29">
        <f>'ET workings 16-17'!G40+'ET workings 16-17'!G44</f>
        <v>218.80082198852523</v>
      </c>
      <c r="H30" s="29">
        <f>'ET workings 16-17'!H40+'ET workings 16-17'!H44</f>
        <v>250.70365695048378</v>
      </c>
      <c r="I30" s="29">
        <f>'ET workings 16-17'!I40+'ET workings 16-17'!I44</f>
        <v>262.17988486431767</v>
      </c>
      <c r="J30" s="29">
        <f>'ET workings 16-17'!J40+'ET workings 16-17'!J44</f>
        <v>241.53371821955682</v>
      </c>
      <c r="K30" s="29">
        <f>'ET workings 16-17'!K40+'ET workings 16-17'!K44</f>
        <v>213.3605883818999</v>
      </c>
      <c r="L30" s="30">
        <f t="shared" si="2"/>
        <v>1818.0252176985714</v>
      </c>
    </row>
    <row r="31" spans="1:12">
      <c r="C31" s="19" t="s">
        <v>77</v>
      </c>
      <c r="D31" s="31">
        <f>SUM(D29:D30)</f>
        <v>1198.93</v>
      </c>
      <c r="E31" s="31">
        <f t="shared" ref="E31:K31" si="4">SUM(E29:E30)</f>
        <v>898.56660457825649</v>
      </c>
      <c r="F31" s="31">
        <f t="shared" si="4"/>
        <v>1578.5328716061563</v>
      </c>
      <c r="G31" s="31">
        <f t="shared" si="4"/>
        <v>1476.7117826300585</v>
      </c>
      <c r="H31" s="31">
        <f t="shared" si="4"/>
        <v>1333.0372628276953</v>
      </c>
      <c r="I31" s="31">
        <f t="shared" si="4"/>
        <v>1329.562295278087</v>
      </c>
      <c r="J31" s="31">
        <f t="shared" si="4"/>
        <v>1163.8762712301354</v>
      </c>
      <c r="K31" s="31">
        <f t="shared" si="4"/>
        <v>977.91520647280629</v>
      </c>
      <c r="L31" s="28">
        <f t="shared" si="2"/>
        <v>9957.1322946231958</v>
      </c>
    </row>
    <row r="32" spans="1:12">
      <c r="A32" t="s">
        <v>233</v>
      </c>
      <c r="C32" s="17" t="s">
        <v>388</v>
      </c>
      <c r="D32" s="27">
        <f>D26-(D26-D29)*$K$2</f>
        <v>1257.606733671757</v>
      </c>
      <c r="E32" s="27">
        <f t="shared" ref="E32:K33" si="5">E26-(E26-E29)*$K$2</f>
        <v>1060.3216621125266</v>
      </c>
      <c r="F32" s="27">
        <f t="shared" si="5"/>
        <v>1366.6924618767082</v>
      </c>
      <c r="G32" s="27">
        <f t="shared" si="5"/>
        <v>1257.9109606415332</v>
      </c>
      <c r="H32" s="27">
        <f t="shared" si="5"/>
        <v>1082.3336058772115</v>
      </c>
      <c r="I32" s="27">
        <f t="shared" si="5"/>
        <v>1067.3824104137693</v>
      </c>
      <c r="J32" s="27">
        <f t="shared" si="5"/>
        <v>922.34255301057851</v>
      </c>
      <c r="K32" s="27">
        <f t="shared" si="5"/>
        <v>764.55461809090639</v>
      </c>
      <c r="L32" s="28">
        <f t="shared" si="2"/>
        <v>8779.1450056949907</v>
      </c>
    </row>
    <row r="33" spans="3:14">
      <c r="C33" s="18" t="s">
        <v>389</v>
      </c>
      <c r="D33" s="29">
        <f>D27-(D27-D30)*$K$2</f>
        <v>196.83527746995705</v>
      </c>
      <c r="E33" s="29">
        <f t="shared" si="5"/>
        <v>210.24731766089354</v>
      </c>
      <c r="F33" s="29">
        <f t="shared" si="5"/>
        <v>211.8404097294482</v>
      </c>
      <c r="G33" s="29">
        <f t="shared" si="5"/>
        <v>218.80082198852523</v>
      </c>
      <c r="H33" s="29">
        <f t="shared" si="5"/>
        <v>250.70365695048378</v>
      </c>
      <c r="I33" s="29">
        <f t="shared" si="5"/>
        <v>262.17988486431767</v>
      </c>
      <c r="J33" s="29">
        <f t="shared" si="5"/>
        <v>241.53371821955682</v>
      </c>
      <c r="K33" s="29">
        <f t="shared" si="5"/>
        <v>213.3605883818999</v>
      </c>
      <c r="L33" s="30">
        <f t="shared" si="2"/>
        <v>1805.5016752650822</v>
      </c>
    </row>
    <row r="34" spans="3:14">
      <c r="C34" s="19" t="s">
        <v>78</v>
      </c>
      <c r="D34" s="31">
        <f>SUM(D32:D33)</f>
        <v>1454.4420111417139</v>
      </c>
      <c r="E34" s="31">
        <f t="shared" ref="E34:K34" si="6">SUM(E32:E33)</f>
        <v>1270.5689797734201</v>
      </c>
      <c r="F34" s="31">
        <f t="shared" si="6"/>
        <v>1578.5328716061563</v>
      </c>
      <c r="G34" s="31">
        <f t="shared" si="6"/>
        <v>1476.7117826300585</v>
      </c>
      <c r="H34" s="31">
        <f t="shared" si="6"/>
        <v>1333.0372628276953</v>
      </c>
      <c r="I34" s="31">
        <f t="shared" si="6"/>
        <v>1329.562295278087</v>
      </c>
      <c r="J34" s="31">
        <f t="shared" si="6"/>
        <v>1163.8762712301354</v>
      </c>
      <c r="K34" s="31">
        <f t="shared" si="6"/>
        <v>977.91520647280629</v>
      </c>
      <c r="L34" s="28">
        <f t="shared" si="2"/>
        <v>10584.646680960073</v>
      </c>
    </row>
    <row r="35" spans="3:14">
      <c r="C35" s="20"/>
      <c r="D35" s="32"/>
      <c r="E35" s="32"/>
      <c r="F35" s="32"/>
      <c r="G35" s="32"/>
      <c r="H35" s="32"/>
      <c r="I35" s="32"/>
      <c r="J35" s="32"/>
      <c r="K35" s="32"/>
      <c r="L35" s="33"/>
    </row>
    <row r="36" spans="3:14">
      <c r="C36" s="17" t="s">
        <v>79</v>
      </c>
      <c r="D36" s="27">
        <f>'ET workings 16-17'!D55</f>
        <v>218.16630167125729</v>
      </c>
      <c r="E36" s="27">
        <f>'ET workings 16-17'!E55</f>
        <v>190.58534696601322</v>
      </c>
      <c r="F36" s="27">
        <f>'ET workings 16-17'!F55</f>
        <v>236.77993074092333</v>
      </c>
      <c r="G36" s="27">
        <f>'ET workings 16-17'!G55</f>
        <v>221.50676739450864</v>
      </c>
      <c r="H36" s="27">
        <f>'ET workings 16-17'!H55</f>
        <v>199.95558942415431</v>
      </c>
      <c r="I36" s="27">
        <f>'ET workings 16-17'!I55</f>
        <v>199.43434429171313</v>
      </c>
      <c r="J36" s="27">
        <f>'ET workings 16-17'!J55</f>
        <v>174.58144068452032</v>
      </c>
      <c r="K36" s="27">
        <f>'ET workings 16-17'!K55</f>
        <v>146.68728097092097</v>
      </c>
      <c r="L36" s="28">
        <f t="shared" si="2"/>
        <v>1587.6970021440113</v>
      </c>
    </row>
    <row r="37" spans="3:14">
      <c r="C37" s="18" t="s">
        <v>80</v>
      </c>
      <c r="D37" s="29">
        <f>'ET workings 16-17'!D54</f>
        <v>1236.2757094704566</v>
      </c>
      <c r="E37" s="29">
        <f>'ET workings 16-17'!E54</f>
        <v>1079.983632807407</v>
      </c>
      <c r="F37" s="29">
        <f>'ET workings 16-17'!F54</f>
        <v>1341.7529408652331</v>
      </c>
      <c r="G37" s="29">
        <f>'ET workings 16-17'!G54</f>
        <v>1255.2050152355498</v>
      </c>
      <c r="H37" s="29">
        <f>'ET workings 16-17'!H54</f>
        <v>1133.0816734035409</v>
      </c>
      <c r="I37" s="29">
        <f>'ET workings 16-17'!I54</f>
        <v>1130.1279509863741</v>
      </c>
      <c r="J37" s="29">
        <f>'ET workings 16-17'!J54</f>
        <v>989.2948305456149</v>
      </c>
      <c r="K37" s="29">
        <f>'ET workings 16-17'!K54</f>
        <v>831.22792550188535</v>
      </c>
      <c r="L37" s="30">
        <f t="shared" si="2"/>
        <v>8996.9496788160614</v>
      </c>
    </row>
    <row r="38" spans="3:14" ht="13.8" thickBot="1">
      <c r="C38" s="21" t="s">
        <v>390</v>
      </c>
      <c r="D38" s="34">
        <f t="shared" ref="D38:K38" si="7">SUM(D36:D37)</f>
        <v>1454.4420111417139</v>
      </c>
      <c r="E38" s="34">
        <f t="shared" si="7"/>
        <v>1270.5689797734203</v>
      </c>
      <c r="F38" s="34">
        <f t="shared" si="7"/>
        <v>1578.5328716061565</v>
      </c>
      <c r="G38" s="34">
        <f t="shared" si="7"/>
        <v>1476.7117826300585</v>
      </c>
      <c r="H38" s="34">
        <f t="shared" si="7"/>
        <v>1333.0372628276953</v>
      </c>
      <c r="I38" s="34">
        <f t="shared" si="7"/>
        <v>1329.5622952780873</v>
      </c>
      <c r="J38" s="34">
        <f t="shared" si="7"/>
        <v>1163.8762712301352</v>
      </c>
      <c r="K38" s="34">
        <f t="shared" si="7"/>
        <v>977.91520647280629</v>
      </c>
      <c r="L38" s="35">
        <f t="shared" si="2"/>
        <v>10584.646680960073</v>
      </c>
    </row>
    <row r="39" spans="3:14">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'ET workings 16-17'!D130</f>
        <v>8790.8537557518612</v>
      </c>
      <c r="E42" s="36">
        <f>D46</f>
        <v>9281.5039995726129</v>
      </c>
      <c r="F42" s="36">
        <f t="shared" ref="F42:K42" si="9">E46</f>
        <v>9765.7713979736418</v>
      </c>
      <c r="G42" s="36">
        <f t="shared" si="9"/>
        <v>10483.677187164541</v>
      </c>
      <c r="H42" s="36">
        <f t="shared" si="9"/>
        <v>11083.14972580731</v>
      </c>
      <c r="I42" s="36">
        <f t="shared" si="9"/>
        <v>11534.616868748553</v>
      </c>
      <c r="J42" s="36">
        <f t="shared" si="9"/>
        <v>11962.595171163304</v>
      </c>
      <c r="K42" s="36">
        <f t="shared" si="9"/>
        <v>12240.10409316961</v>
      </c>
    </row>
    <row r="43" spans="3:14">
      <c r="C43" s="17" t="s">
        <v>86</v>
      </c>
      <c r="D43" s="27">
        <f>'ET workings 16-17'!D131</f>
        <v>1059.5092396758732</v>
      </c>
      <c r="E43" s="27">
        <f>'ET workings 16-17'!E131</f>
        <v>1079.983632807407</v>
      </c>
      <c r="F43" s="27">
        <f>'ET workings 16-17'!F131</f>
        <v>1341.7529408652331</v>
      </c>
      <c r="G43" s="27">
        <f>'ET workings 16-17'!G131</f>
        <v>1255.2050152355498</v>
      </c>
      <c r="H43" s="27">
        <f>'ET workings 16-17'!H131</f>
        <v>1133.0816734035409</v>
      </c>
      <c r="I43" s="27">
        <f>'ET workings 16-17'!I131</f>
        <v>1130.1279509863741</v>
      </c>
      <c r="J43" s="27">
        <f>'ET workings 16-17'!J131</f>
        <v>989.2948305456149</v>
      </c>
      <c r="K43" s="27">
        <f>'ET workings 16-17'!K131</f>
        <v>831.22792550188535</v>
      </c>
    </row>
    <row r="44" spans="3:14">
      <c r="C44" s="18" t="s">
        <v>92</v>
      </c>
      <c r="D44" s="29">
        <f>'ET workings 16-17'!D165</f>
        <v>-568.85899585512277</v>
      </c>
      <c r="E44" s="29">
        <f>'ET workings 16-17'!E165</f>
        <v>-549.89961863661074</v>
      </c>
      <c r="F44" s="29">
        <f>'ET workings 16-17'!F165</f>
        <v>-536.88830227380834</v>
      </c>
      <c r="G44" s="29">
        <f>'ET workings 16-17'!G165</f>
        <v>-523.09693133301403</v>
      </c>
      <c r="H44" s="29">
        <f>'ET workings 16-17'!H165</f>
        <v>-510.35729242605214</v>
      </c>
      <c r="I44" s="29">
        <f>'ET workings 16-17'!I165</f>
        <v>-499.08660917668203</v>
      </c>
      <c r="J44" s="29">
        <f>'ET workings 16-17'!J165</f>
        <v>-479.55827686084973</v>
      </c>
      <c r="K44" s="29">
        <f>'ET workings 16-17'!K165</f>
        <v>-462.2100604895204</v>
      </c>
    </row>
    <row r="45" spans="3:14">
      <c r="C45" s="17" t="s">
        <v>93</v>
      </c>
      <c r="D45" s="27">
        <f>'ET workings 16-17'!D166</f>
        <v>0</v>
      </c>
      <c r="E45" s="27">
        <f>'ET workings 16-17'!E166</f>
        <v>-45.816615769767488</v>
      </c>
      <c r="F45" s="27">
        <f>'ET workings 16-17'!F166</f>
        <v>-86.95884940052585</v>
      </c>
      <c r="G45" s="27">
        <f>'ET workings 16-17'!G166</f>
        <v>-132.63554525976781</v>
      </c>
      <c r="H45" s="27">
        <f>'ET workings 16-17'!H166</f>
        <v>-171.25723803624626</v>
      </c>
      <c r="I45" s="27">
        <f>'ET workings 16-17'!I166</f>
        <v>-203.06303939494214</v>
      </c>
      <c r="J45" s="27">
        <f>'ET workings 16-17'!J166</f>
        <v>-232.22763167846148</v>
      </c>
      <c r="K45" s="27">
        <f>'ET workings 16-17'!K166</f>
        <v>-255.85258285567019</v>
      </c>
      <c r="N45" s="132" t="s">
        <v>301</v>
      </c>
    </row>
    <row r="46" spans="3:14" ht="13.8" thickBot="1">
      <c r="C46" s="25" t="s">
        <v>94</v>
      </c>
      <c r="D46" s="37">
        <f>SUM(D42:D45)</f>
        <v>9281.5039995726129</v>
      </c>
      <c r="E46" s="37">
        <f t="shared" ref="E46:K46" si="10">SUM(E42:E45)</f>
        <v>9765.7713979736418</v>
      </c>
      <c r="F46" s="37">
        <f t="shared" si="10"/>
        <v>10483.677187164541</v>
      </c>
      <c r="G46" s="37">
        <f t="shared" si="10"/>
        <v>11083.14972580731</v>
      </c>
      <c r="H46" s="37">
        <f t="shared" si="10"/>
        <v>11534.616868748553</v>
      </c>
      <c r="I46" s="37">
        <f t="shared" si="10"/>
        <v>11962.595171163304</v>
      </c>
      <c r="J46" s="37">
        <f t="shared" si="10"/>
        <v>12240.10409316961</v>
      </c>
      <c r="K46" s="37">
        <f t="shared" si="10"/>
        <v>12353.269375326305</v>
      </c>
      <c r="N46" s="133">
        <f>(K46/D46)^(1/7)-1</f>
        <v>4.1687975003579236E-2</v>
      </c>
    </row>
    <row r="47" spans="3:14">
      <c r="D47" s="53">
        <f>D46-'ET workings 16-17'!D133</f>
        <v>0</v>
      </c>
      <c r="E47" s="53">
        <f>E46-'ET workings 16-17'!E133</f>
        <v>0</v>
      </c>
      <c r="F47" s="53">
        <f>F46-'ET workings 16-17'!F133</f>
        <v>0</v>
      </c>
      <c r="G47" s="53">
        <f>G46-'ET workings 16-17'!G133</f>
        <v>0</v>
      </c>
      <c r="H47" s="53">
        <f>H46-'ET workings 16-17'!H133</f>
        <v>0</v>
      </c>
      <c r="I47" s="53">
        <f>I46-'ET workings 16-17'!I133</f>
        <v>0</v>
      </c>
      <c r="J47" s="53">
        <f>J46-'ET workings 16-17'!J133</f>
        <v>0</v>
      </c>
      <c r="K47" s="53">
        <f>K46-'ET workings 16-17'!K133</f>
        <v>0</v>
      </c>
    </row>
    <row r="49" spans="1:33" ht="13.8" thickBot="1">
      <c r="A49" s="38" t="s">
        <v>363</v>
      </c>
    </row>
    <row r="50" spans="1:33" ht="13.8" thickBot="1">
      <c r="C50" s="7" t="s">
        <v>58</v>
      </c>
      <c r="D50" s="8" t="s">
        <v>59</v>
      </c>
      <c r="E50" s="8" t="s">
        <v>60</v>
      </c>
      <c r="F50" s="8" t="s">
        <v>61</v>
      </c>
      <c r="G50" s="8" t="s">
        <v>62</v>
      </c>
      <c r="H50" s="8" t="s">
        <v>63</v>
      </c>
      <c r="I50" s="8" t="s">
        <v>64</v>
      </c>
      <c r="J50" s="8" t="s">
        <v>65</v>
      </c>
      <c r="K50" s="8" t="s">
        <v>66</v>
      </c>
      <c r="P50" s="204"/>
    </row>
    <row r="51" spans="1:33">
      <c r="C51" s="22" t="s">
        <v>91</v>
      </c>
      <c r="D51" s="41">
        <f>'ET workings 16-17'!D58</f>
        <v>8691.0913006079008</v>
      </c>
      <c r="E51" s="41">
        <f>D55</f>
        <v>9186.8534747564972</v>
      </c>
      <c r="F51" s="41">
        <f t="shared" ref="F51:K51" si="11">E55</f>
        <v>9677.2518213285875</v>
      </c>
      <c r="G51" s="41">
        <f t="shared" si="11"/>
        <v>10401.288558690549</v>
      </c>
      <c r="H51" s="41">
        <f t="shared" si="11"/>
        <v>11083.149725807309</v>
      </c>
      <c r="I51" s="41">
        <f t="shared" si="11"/>
        <v>11534.616868748553</v>
      </c>
      <c r="J51" s="41">
        <f t="shared" si="11"/>
        <v>11962.595171163302</v>
      </c>
      <c r="K51" s="41">
        <f t="shared" si="11"/>
        <v>12240.104093169606</v>
      </c>
      <c r="P51" s="42"/>
    </row>
    <row r="52" spans="1:33">
      <c r="C52" s="10" t="s">
        <v>85</v>
      </c>
      <c r="D52" s="42">
        <f>'ET workings 16-17'!D59</f>
        <v>0</v>
      </c>
      <c r="E52" s="42">
        <f>'ET workings 16-17'!E59</f>
        <v>0</v>
      </c>
      <c r="F52" s="42">
        <f>'ET workings 16-17'!F59</f>
        <v>0</v>
      </c>
      <c r="G52" s="42">
        <f>'ET workings 16-17'!G59</f>
        <v>82.388628473992952</v>
      </c>
      <c r="H52" s="42">
        <f>'ET workings 16-17'!H59</f>
        <v>0</v>
      </c>
      <c r="I52" s="42">
        <f>'ET workings 16-17'!I59</f>
        <v>0</v>
      </c>
      <c r="J52" s="42">
        <f>'ET workings 16-17'!J59</f>
        <v>0</v>
      </c>
      <c r="K52" s="42">
        <f>'ET workings 16-17'!K59</f>
        <v>0</v>
      </c>
      <c r="P52" s="42"/>
    </row>
    <row r="53" spans="1:33">
      <c r="C53" s="11" t="s">
        <v>86</v>
      </c>
      <c r="D53" s="43">
        <f>'ET workings 16-17'!D61</f>
        <v>1059.5092396758732</v>
      </c>
      <c r="E53" s="43">
        <f>'ET workings 16-17'!E61</f>
        <v>1079.983632807407</v>
      </c>
      <c r="F53" s="43">
        <f>'ET workings 16-17'!F61</f>
        <v>1341.7529408652331</v>
      </c>
      <c r="G53" s="43">
        <f>'ET workings 16-17'!G61</f>
        <v>1255.2050152355498</v>
      </c>
      <c r="H53" s="43">
        <f>'ET workings 16-17'!H61</f>
        <v>1133.0816734035409</v>
      </c>
      <c r="I53" s="43">
        <f>'ET workings 16-17'!I61</f>
        <v>1130.1279509863741</v>
      </c>
      <c r="J53" s="43">
        <f>'ET workings 16-17'!J61</f>
        <v>989.2948305456149</v>
      </c>
      <c r="K53" s="43">
        <f>'ET workings 16-17'!K61</f>
        <v>831.22792550188535</v>
      </c>
      <c r="P53" s="42"/>
    </row>
    <row r="54" spans="1:33">
      <c r="C54" s="10" t="s">
        <v>87</v>
      </c>
      <c r="D54" s="42">
        <f>'ET workings 16-17'!D62</f>
        <v>-563.74706552727753</v>
      </c>
      <c r="E54" s="42">
        <f>'ET workings 16-17'!E62</f>
        <v>-589.58528623531674</v>
      </c>
      <c r="F54" s="42">
        <f>'ET workings 16-17'!F62</f>
        <v>-617.71620350327271</v>
      </c>
      <c r="G54" s="42">
        <f>'ET workings 16-17'!G62</f>
        <v>-655.73247659278184</v>
      </c>
      <c r="H54" s="42">
        <f>'ET workings 16-17'!H62</f>
        <v>-681.61453046229838</v>
      </c>
      <c r="I54" s="42">
        <f>'ET workings 16-17'!I62</f>
        <v>-702.1496485716242</v>
      </c>
      <c r="J54" s="42">
        <f>'ET workings 16-17'!J62</f>
        <v>-711.78590853931121</v>
      </c>
      <c r="K54" s="42">
        <f>'ET workings 16-17'!K62</f>
        <v>-718.06264334519062</v>
      </c>
      <c r="P54" s="42"/>
    </row>
    <row r="55" spans="1:33">
      <c r="C55" s="39" t="s">
        <v>94</v>
      </c>
      <c r="D55" s="45">
        <f>'ET workings 16-17'!D63</f>
        <v>9186.8534747564972</v>
      </c>
      <c r="E55" s="45">
        <f>'ET workings 16-17'!E63</f>
        <v>9677.2518213285875</v>
      </c>
      <c r="F55" s="45">
        <f>'ET workings 16-17'!F63</f>
        <v>10401.288558690549</v>
      </c>
      <c r="G55" s="45">
        <f>'ET workings 16-17'!G63</f>
        <v>11083.149725807309</v>
      </c>
      <c r="H55" s="45">
        <f>'ET workings 16-17'!H63</f>
        <v>11534.616868748553</v>
      </c>
      <c r="I55" s="45">
        <f>'ET workings 16-17'!I63</f>
        <v>11962.595171163302</v>
      </c>
      <c r="J55" s="45">
        <f>'ET workings 16-17'!J63</f>
        <v>12240.104093169606</v>
      </c>
      <c r="K55" s="45">
        <f>'ET workings 16-17'!K63</f>
        <v>12353.269375326303</v>
      </c>
      <c r="P55" s="50"/>
    </row>
    <row r="56" spans="1:33" ht="13.8" thickBot="1">
      <c r="C56" s="40" t="s">
        <v>163</v>
      </c>
      <c r="D56" s="46">
        <f>'ET workings 16-17'!D128-'ET workings 16-17'!D127</f>
        <v>94.650524816115961</v>
      </c>
      <c r="E56" s="46">
        <f>'ET workings 16-17'!E128-'ET workings 16-17'!E127</f>
        <v>88.519576645054457</v>
      </c>
      <c r="F56" s="46">
        <f>'ET workings 16-17'!F128-'ET workings 16-17'!F127</f>
        <v>82.388628473992952</v>
      </c>
      <c r="G56" s="46">
        <f>'ET workings 16-17'!G128-'ET workings 16-17'!G127</f>
        <v>0</v>
      </c>
      <c r="H56" s="46">
        <f>'ET workings 16-17'!H128-'ET workings 16-17'!H127</f>
        <v>0</v>
      </c>
      <c r="I56" s="46">
        <f>'ET workings 16-17'!I128-'ET workings 16-17'!I127</f>
        <v>0</v>
      </c>
      <c r="J56" s="46">
        <f>'ET workings 16-17'!J128-'ET workings 16-17'!J127</f>
        <v>0</v>
      </c>
      <c r="K56" s="46">
        <f>'ET workings 16-17'!K128-'ET workings 16-17'!K127</f>
        <v>0</v>
      </c>
      <c r="P56" s="42"/>
    </row>
    <row r="57" spans="1:33">
      <c r="D57" s="53">
        <f>D55-'ET workings 16-17'!D63</f>
        <v>0</v>
      </c>
      <c r="E57" s="53">
        <f>E55-'ET workings 16-17'!E63</f>
        <v>0</v>
      </c>
      <c r="F57" s="53">
        <f>F55-'ET workings 16-17'!F63</f>
        <v>0</v>
      </c>
      <c r="G57" s="53">
        <f>G55-'ET workings 16-17'!G63</f>
        <v>0</v>
      </c>
      <c r="H57" s="53">
        <f>H55-'ET workings 16-17'!H63</f>
        <v>0</v>
      </c>
      <c r="I57" s="53">
        <f>I55-'ET workings 16-17'!I63</f>
        <v>0</v>
      </c>
      <c r="J57" s="53">
        <f>J55-'ET workings 16-17'!J63</f>
        <v>0</v>
      </c>
      <c r="K57" s="53">
        <f>K55-'ET workings 16-17'!K63</f>
        <v>0</v>
      </c>
      <c r="P57" s="53"/>
    </row>
    <row r="58" spans="1:33" ht="13.8" thickBot="1">
      <c r="P58" s="207"/>
    </row>
    <row r="59" spans="1:33" ht="13.8" thickBot="1">
      <c r="C59" s="7" t="s">
        <v>58</v>
      </c>
      <c r="D59" s="8" t="s">
        <v>59</v>
      </c>
      <c r="E59" s="8" t="s">
        <v>60</v>
      </c>
      <c r="F59" s="8" t="s">
        <v>61</v>
      </c>
      <c r="G59" s="8" t="s">
        <v>62</v>
      </c>
      <c r="H59" s="8" t="s">
        <v>63</v>
      </c>
      <c r="I59" s="8" t="s">
        <v>64</v>
      </c>
      <c r="J59" s="8" t="s">
        <v>65</v>
      </c>
      <c r="K59" s="8" t="s">
        <v>66</v>
      </c>
      <c r="P59" s="204"/>
      <c r="S59" s="204"/>
      <c r="T59" s="204"/>
      <c r="U59" s="204"/>
      <c r="W59" s="204"/>
      <c r="X59" s="204"/>
      <c r="Y59" s="204"/>
      <c r="Z59" s="204"/>
      <c r="AA59" s="204"/>
      <c r="AB59" s="204"/>
      <c r="AC59" s="204"/>
      <c r="AD59" s="204"/>
      <c r="AE59" s="204"/>
    </row>
    <row r="60" spans="1:33">
      <c r="C60" s="22" t="s">
        <v>79</v>
      </c>
      <c r="D60" s="41">
        <f>'ET workings 16-17'!D74</f>
        <v>218.16630167125729</v>
      </c>
      <c r="E60" s="41">
        <f>'ET workings 16-17'!E74</f>
        <v>190.58534696601322</v>
      </c>
      <c r="F60" s="41">
        <f>'ET workings 16-17'!F74</f>
        <v>236.77993074092333</v>
      </c>
      <c r="G60" s="41">
        <f>'ET workings 16-17'!G74</f>
        <v>221.50676739450864</v>
      </c>
      <c r="H60" s="41">
        <f>'ET workings 16-17'!H74</f>
        <v>199.95558942415431</v>
      </c>
      <c r="I60" s="41">
        <f>'ET workings 16-17'!I74</f>
        <v>199.43434429171313</v>
      </c>
      <c r="J60" s="41">
        <f>'ET workings 16-17'!J74</f>
        <v>174.58144068452032</v>
      </c>
      <c r="K60" s="41">
        <f>'ET workings 16-17'!K74</f>
        <v>146.68728097092097</v>
      </c>
      <c r="L60" s="28">
        <f t="shared" ref="L60:L73" si="12">SUM(D60:K60)</f>
        <v>1587.6970021440113</v>
      </c>
      <c r="P60" s="42"/>
      <c r="S60" s="42"/>
      <c r="T60" s="42"/>
      <c r="U60" s="42"/>
      <c r="V60" s="109"/>
      <c r="W60" s="42"/>
      <c r="X60" s="42"/>
      <c r="Y60" s="42"/>
      <c r="Z60" s="42"/>
      <c r="AA60" s="42"/>
      <c r="AB60" s="42"/>
      <c r="AC60" s="42"/>
      <c r="AD60" s="42"/>
      <c r="AE60" s="50"/>
      <c r="AF60" s="109"/>
      <c r="AG60" s="109"/>
    </row>
    <row r="61" spans="1:33">
      <c r="C61" s="10" t="s">
        <v>98</v>
      </c>
      <c r="D61" s="42">
        <f>'ET workings 16-17'!D75</f>
        <v>94.24723304227993</v>
      </c>
      <c r="E61" s="42">
        <f>'ET workings 16-17'!E75</f>
        <v>87.678224204681584</v>
      </c>
      <c r="F61" s="42">
        <f>'ET workings 16-17'!F75</f>
        <v>87.676243763178761</v>
      </c>
      <c r="G61" s="42">
        <f>'ET workings 16-17'!G75</f>
        <v>87.677481779017953</v>
      </c>
      <c r="H61" s="42">
        <f>'ET workings 16-17'!H75</f>
        <v>87.676244486345595</v>
      </c>
      <c r="I61" s="42">
        <f>'ET workings 16-17'!I75</f>
        <v>87.676244488148086</v>
      </c>
      <c r="J61" s="42">
        <f>'ET workings 16-17'!J75</f>
        <v>87.676244492723825</v>
      </c>
      <c r="K61" s="42">
        <f>'ET workings 16-17'!K75</f>
        <v>87.676244462267519</v>
      </c>
      <c r="L61" s="28">
        <f t="shared" si="12"/>
        <v>707.98416071864324</v>
      </c>
      <c r="P61" s="42"/>
      <c r="S61" s="42"/>
      <c r="T61" s="42"/>
      <c r="U61" s="42"/>
      <c r="V61" s="109"/>
      <c r="W61" s="42"/>
      <c r="X61" s="42"/>
      <c r="Y61" s="42"/>
      <c r="Z61" s="42"/>
      <c r="AA61" s="42"/>
      <c r="AB61" s="42"/>
      <c r="AC61" s="42"/>
      <c r="AD61" s="42"/>
      <c r="AE61" s="50"/>
      <c r="AF61" s="109"/>
      <c r="AG61" s="109"/>
    </row>
    <row r="62" spans="1:33">
      <c r="C62" s="11" t="s">
        <v>99</v>
      </c>
      <c r="D62" s="43">
        <f>'ET workings 16-17'!D140</f>
        <v>32.057225303006618</v>
      </c>
      <c r="E62" s="43">
        <f>'ET workings 16-17'!E140</f>
        <v>31.92938591920073</v>
      </c>
      <c r="F62" s="43">
        <f>'ET workings 16-17'!F140</f>
        <v>35.659710857037616</v>
      </c>
      <c r="G62" s="43">
        <f>'ET workings 16-17'!G140</f>
        <v>35.934713792776314</v>
      </c>
      <c r="H62" s="43">
        <f>'ET workings 16-17'!H140</f>
        <v>35.812887852638035</v>
      </c>
      <c r="I62" s="43">
        <f>'ET workings 16-17'!I140</f>
        <v>35.894367111750718</v>
      </c>
      <c r="J62" s="43">
        <f>'ET workings 16-17'!J140</f>
        <v>36.179291313938684</v>
      </c>
      <c r="K62" s="43">
        <f>'ET workings 16-17'!K140</f>
        <v>36.06780611139515</v>
      </c>
      <c r="L62" s="28">
        <f t="shared" si="12"/>
        <v>279.53538826174383</v>
      </c>
      <c r="P62" s="42"/>
      <c r="S62" s="42"/>
      <c r="T62" s="42"/>
      <c r="U62" s="42"/>
      <c r="V62" s="109"/>
      <c r="W62" s="42"/>
      <c r="X62" s="42"/>
      <c r="Y62" s="42"/>
      <c r="Z62" s="42"/>
      <c r="AA62" s="42"/>
      <c r="AB62" s="42"/>
      <c r="AC62" s="42"/>
      <c r="AD62" s="42"/>
      <c r="AE62" s="50"/>
      <c r="AF62" s="109"/>
      <c r="AG62" s="109"/>
    </row>
    <row r="63" spans="1:33">
      <c r="C63" s="10" t="s">
        <v>100</v>
      </c>
      <c r="D63" s="42">
        <f>'ET workings 16-17'!D78</f>
        <v>0</v>
      </c>
      <c r="E63" s="42">
        <f>'ET workings 16-17'!E78</f>
        <v>0</v>
      </c>
      <c r="F63" s="42">
        <f>'ET workings 16-17'!F78</f>
        <v>0</v>
      </c>
      <c r="G63" s="42">
        <f>'ET workings 16-17'!G78</f>
        <v>0</v>
      </c>
      <c r="H63" s="42">
        <f>'ET workings 16-17'!H78</f>
        <v>0</v>
      </c>
      <c r="I63" s="42">
        <f>'ET workings 16-17'!I78</f>
        <v>0</v>
      </c>
      <c r="J63" s="42">
        <f>'ET workings 16-17'!J78</f>
        <v>0</v>
      </c>
      <c r="K63" s="42">
        <f>'ET workings 16-17'!K78</f>
        <v>0</v>
      </c>
      <c r="L63" s="28">
        <f t="shared" si="12"/>
        <v>0</v>
      </c>
      <c r="P63" s="42"/>
      <c r="S63" s="42"/>
      <c r="T63" s="42"/>
      <c r="U63" s="42"/>
      <c r="V63" s="109"/>
      <c r="W63" s="42"/>
      <c r="X63" s="42"/>
      <c r="Y63" s="42"/>
      <c r="Z63" s="42"/>
      <c r="AA63" s="42"/>
      <c r="AB63" s="42"/>
      <c r="AC63" s="42"/>
      <c r="AD63" s="42"/>
      <c r="AE63" s="50"/>
      <c r="AF63" s="109"/>
      <c r="AG63" s="109"/>
    </row>
    <row r="64" spans="1:33">
      <c r="C64" s="11" t="s">
        <v>101</v>
      </c>
      <c r="D64" s="43">
        <f>'ET workings 16-17'!D79</f>
        <v>15.168246288518162</v>
      </c>
      <c r="E64" s="43">
        <f>'ET workings 16-17'!E79</f>
        <v>16.275110005972994</v>
      </c>
      <c r="F64" s="43">
        <f>'ET workings 16-17'!F79</f>
        <v>15.614702904478012</v>
      </c>
      <c r="G64" s="43">
        <f>'ET workings 16-17'!G79</f>
        <v>14.911674359737152</v>
      </c>
      <c r="H64" s="43">
        <f>'ET workings 16-17'!H79</f>
        <v>13.033415757853545</v>
      </c>
      <c r="I64" s="43">
        <f>'ET workings 16-17'!I79</f>
        <v>12.556067765830047</v>
      </c>
      <c r="J64" s="43">
        <f>'ET workings 16-17'!J79</f>
        <v>11.285100906339711</v>
      </c>
      <c r="K64" s="43">
        <f>'ET workings 16-17'!K79</f>
        <v>9.8268179419485548</v>
      </c>
      <c r="L64" s="28">
        <f t="shared" si="12"/>
        <v>108.67113593067819</v>
      </c>
      <c r="P64" s="42"/>
      <c r="S64" s="42"/>
      <c r="T64" s="42"/>
      <c r="U64" s="42"/>
      <c r="V64" s="109"/>
      <c r="W64" s="42"/>
      <c r="X64" s="42"/>
      <c r="Y64" s="42"/>
      <c r="Z64" s="42"/>
      <c r="AA64" s="42"/>
      <c r="AB64" s="42"/>
      <c r="AC64" s="42"/>
      <c r="AD64" s="42"/>
      <c r="AE64" s="50"/>
      <c r="AF64" s="109"/>
      <c r="AG64" s="109"/>
    </row>
    <row r="65" spans="1:33">
      <c r="C65" s="10" t="s">
        <v>102</v>
      </c>
      <c r="D65" s="42">
        <f>'ET workings 16-17'!D81</f>
        <v>88.862565273695353</v>
      </c>
      <c r="E65" s="42">
        <f>'ET workings 16-17'!E81</f>
        <v>75.694462973245706</v>
      </c>
      <c r="F65" s="42">
        <f>'ET workings 16-17'!F81</f>
        <v>85.005188730726488</v>
      </c>
      <c r="G65" s="42">
        <f>'ET workings 16-17'!G81</f>
        <v>77.239404209058463</v>
      </c>
      <c r="H65" s="42">
        <f>'ET workings 16-17'!H81</f>
        <v>65.310639490039904</v>
      </c>
      <c r="I65" s="42">
        <f>'ET workings 16-17'!I81</f>
        <v>64.602799469914444</v>
      </c>
      <c r="J65" s="42">
        <f>'ET workings 16-17'!J81</f>
        <v>66.970081750621844</v>
      </c>
      <c r="K65" s="42">
        <f>'ET workings 16-17'!K81</f>
        <v>72.725559385800139</v>
      </c>
      <c r="L65" s="28">
        <f t="shared" si="12"/>
        <v>596.4107012831023</v>
      </c>
      <c r="P65" s="42"/>
      <c r="S65" s="42"/>
      <c r="T65" s="42"/>
      <c r="U65" s="42"/>
      <c r="V65" s="109"/>
      <c r="W65" s="42"/>
      <c r="X65" s="42"/>
      <c r="Y65" s="42"/>
      <c r="Z65" s="42"/>
      <c r="AA65" s="42"/>
      <c r="AB65" s="42"/>
      <c r="AC65" s="42"/>
      <c r="AD65" s="42"/>
      <c r="AE65" s="50"/>
      <c r="AF65" s="109"/>
      <c r="AG65" s="109"/>
    </row>
    <row r="66" spans="1:33">
      <c r="C66" s="11" t="s">
        <v>103</v>
      </c>
      <c r="D66" s="43">
        <f>'ET workings 16-17'!D76+'ET workings 16-17'!D77</f>
        <v>961.54557689113221</v>
      </c>
      <c r="E66" s="43">
        <f>'ET workings 16-17'!E76+'ET workings 16-17'!E77</f>
        <v>998.51288389564331</v>
      </c>
      <c r="F66" s="43">
        <f>'ET workings 16-17'!F76+'ET workings 16-17'!F77</f>
        <v>1043.0706466749966</v>
      </c>
      <c r="G66" s="43">
        <f>'ET workings 16-17'!G76+'ET workings 16-17'!G77</f>
        <v>1102.1509277030123</v>
      </c>
      <c r="H66" s="43">
        <f>'ET workings 16-17'!H76+'ET workings 16-17'!H77</f>
        <v>1149.8626942640769</v>
      </c>
      <c r="I66" s="43">
        <f>'ET workings 16-17'!I76+'ET workings 16-17'!I77</f>
        <v>1188.6222795856804</v>
      </c>
      <c r="J66" s="43">
        <f>'ET workings 16-17'!J76+'ET workings 16-17'!J77</f>
        <v>1212.9345638353038</v>
      </c>
      <c r="K66" s="43">
        <f>'ET workings 16-17'!K76+'ET workings 16-17'!K77</f>
        <v>1227.3731072995938</v>
      </c>
      <c r="L66" s="28">
        <f t="shared" si="12"/>
        <v>8884.0726801494384</v>
      </c>
      <c r="P66" s="42"/>
      <c r="S66" s="42"/>
      <c r="T66" s="42"/>
      <c r="U66" s="42"/>
      <c r="V66" s="109"/>
      <c r="W66" s="42"/>
      <c r="X66" s="42"/>
      <c r="Y66" s="42"/>
      <c r="Z66" s="42"/>
      <c r="AA66" s="42"/>
      <c r="AB66" s="42"/>
      <c r="AC66" s="42"/>
      <c r="AD66" s="42"/>
      <c r="AE66" s="50"/>
      <c r="AF66" s="109"/>
      <c r="AG66" s="109"/>
    </row>
    <row r="67" spans="1:33">
      <c r="C67" s="10" t="s">
        <v>168</v>
      </c>
      <c r="D67" s="42">
        <f>'ET workings 16-17'!D86</f>
        <v>13.751034124367685</v>
      </c>
      <c r="E67" s="42">
        <f>'ET workings 16-17'!E86</f>
        <v>13.274690050778315</v>
      </c>
      <c r="F67" s="42">
        <f>'ET workings 16-17'!F86</f>
        <v>12.798257977175346</v>
      </c>
      <c r="G67" s="42">
        <f>'ET workings 16-17'!G86</f>
        <v>0</v>
      </c>
      <c r="H67" s="42">
        <f>'ET workings 16-17'!H86</f>
        <v>0</v>
      </c>
      <c r="I67" s="42">
        <f>'ET workings 16-17'!I86</f>
        <v>0</v>
      </c>
      <c r="J67" s="42">
        <f>'ET workings 16-17'!J86</f>
        <v>0</v>
      </c>
      <c r="K67" s="42">
        <f>'ET workings 16-17'!K86</f>
        <v>0</v>
      </c>
      <c r="L67" s="28">
        <f t="shared" si="12"/>
        <v>39.823982152321349</v>
      </c>
      <c r="P67" s="42"/>
      <c r="S67" s="42"/>
      <c r="T67" s="42"/>
      <c r="U67" s="42"/>
      <c r="V67" s="109"/>
      <c r="W67" s="42"/>
      <c r="X67" s="42"/>
      <c r="Y67" s="42"/>
      <c r="Z67" s="42"/>
      <c r="AA67" s="42"/>
      <c r="AB67" s="42"/>
      <c r="AC67" s="42"/>
      <c r="AD67" s="42"/>
      <c r="AE67" s="50"/>
      <c r="AF67" s="109"/>
      <c r="AG67" s="109"/>
    </row>
    <row r="68" spans="1:33">
      <c r="C68" s="11" t="s">
        <v>169</v>
      </c>
      <c r="D68" s="43">
        <f>'ET workings 16-17'!D149+'ET workings 16-17'!D88-'ET workings 16-17'!D147</f>
        <v>45.227617148338091</v>
      </c>
      <c r="E68" s="43">
        <f>'ET workings 16-17'!E149+'ET workings 16-17'!E88-'ET workings 16-17'!E147</f>
        <v>45.772599700352401</v>
      </c>
      <c r="F68" s="43">
        <f>'ET workings 16-17'!F149+'ET workings 16-17'!F88-'ET workings 16-17'!F147</f>
        <v>46.828621067377675</v>
      </c>
      <c r="G68" s="43">
        <f>'ET workings 16-17'!G149+'ET workings 16-17'!G88-'ET workings 16-17'!G147</f>
        <v>46.363697326106404</v>
      </c>
      <c r="H68" s="43">
        <f>'ET workings 16-17'!H149+'ET workings 16-17'!H88-'ET workings 16-17'!H147</f>
        <v>48.180513129054177</v>
      </c>
      <c r="I68" s="43">
        <f>'ET workings 16-17'!I149+'ET workings 16-17'!I88-'ET workings 16-17'!I147</f>
        <v>49.869186184150607</v>
      </c>
      <c r="J68" s="43">
        <f>'ET workings 16-17'!J149+'ET workings 16-17'!J88-'ET workings 16-17'!J147</f>
        <v>51.775966016016483</v>
      </c>
      <c r="K68" s="43">
        <f>'ET workings 16-17'!K149+'ET workings 16-17'!K88-'ET workings 16-17'!K147</f>
        <v>53.767239539173673</v>
      </c>
      <c r="L68" s="28">
        <f t="shared" si="12"/>
        <v>387.78544011056948</v>
      </c>
      <c r="P68" s="42"/>
      <c r="S68" s="42"/>
      <c r="T68" s="42"/>
      <c r="U68" s="42"/>
      <c r="V68" s="109"/>
      <c r="W68" s="42"/>
      <c r="X68" s="42"/>
      <c r="Y68" s="42"/>
      <c r="Z68" s="42"/>
      <c r="AA68" s="42"/>
      <c r="AB68" s="42"/>
      <c r="AC68" s="42"/>
      <c r="AD68" s="42"/>
      <c r="AE68" s="50"/>
      <c r="AF68" s="109"/>
      <c r="AG68" s="109"/>
    </row>
    <row r="69" spans="1:33" ht="13.8" thickBot="1">
      <c r="C69" s="23" t="s">
        <v>107</v>
      </c>
      <c r="D69" s="44">
        <f>SUM(D60:D68)</f>
        <v>1469.0257997425954</v>
      </c>
      <c r="E69" s="44">
        <f t="shared" ref="E69:K69" si="13">SUM(E60:E68)</f>
        <v>1459.7227037158884</v>
      </c>
      <c r="F69" s="44">
        <f t="shared" si="13"/>
        <v>1563.4333027158939</v>
      </c>
      <c r="G69" s="44">
        <f t="shared" si="13"/>
        <v>1585.7846665642173</v>
      </c>
      <c r="H69" s="44">
        <f t="shared" si="13"/>
        <v>1599.8319844041623</v>
      </c>
      <c r="I69" s="44">
        <f t="shared" si="13"/>
        <v>1638.6552888971873</v>
      </c>
      <c r="J69" s="44">
        <f t="shared" si="13"/>
        <v>1641.4026889994648</v>
      </c>
      <c r="K69" s="44">
        <f t="shared" si="13"/>
        <v>1634.1240557110998</v>
      </c>
      <c r="L69" s="28">
        <f t="shared" ref="L69" si="14">SUM(D69:K69)</f>
        <v>12591.980490750508</v>
      </c>
      <c r="P69" s="50"/>
      <c r="S69" s="42"/>
      <c r="T69" s="42"/>
      <c r="U69" s="42"/>
      <c r="V69" s="109"/>
      <c r="W69" s="42"/>
      <c r="X69" s="42"/>
      <c r="Y69" s="42"/>
      <c r="Z69" s="42"/>
      <c r="AA69" s="42"/>
      <c r="AB69" s="42"/>
      <c r="AC69" s="42"/>
      <c r="AD69" s="42"/>
      <c r="AE69" s="50"/>
      <c r="AF69" s="109"/>
      <c r="AG69" s="109"/>
    </row>
    <row r="70" spans="1:33" ht="13.8" thickBot="1">
      <c r="L70" s="28"/>
      <c r="S70" s="42"/>
      <c r="T70" s="42"/>
      <c r="U70" s="42"/>
      <c r="V70" s="109"/>
      <c r="W70" s="42"/>
      <c r="X70" s="42"/>
      <c r="Y70" s="42"/>
      <c r="Z70" s="42"/>
      <c r="AA70" s="42"/>
      <c r="AB70" s="42"/>
      <c r="AC70" s="42"/>
      <c r="AD70" s="42"/>
      <c r="AE70" s="50"/>
      <c r="AF70" s="109"/>
      <c r="AG70" s="109"/>
    </row>
    <row r="71" spans="1:33" ht="13.8" thickBot="1">
      <c r="C71" s="7" t="s">
        <v>58</v>
      </c>
      <c r="D71" s="8" t="s">
        <v>59</v>
      </c>
      <c r="E71" s="8" t="s">
        <v>60</v>
      </c>
      <c r="F71" s="8" t="s">
        <v>61</v>
      </c>
      <c r="G71" s="8" t="s">
        <v>62</v>
      </c>
      <c r="H71" s="8" t="s">
        <v>63</v>
      </c>
      <c r="I71" s="8" t="s">
        <v>64</v>
      </c>
      <c r="J71" s="8" t="s">
        <v>65</v>
      </c>
      <c r="K71" s="8" t="s">
        <v>66</v>
      </c>
      <c r="L71" s="28"/>
      <c r="P71" s="204"/>
      <c r="S71" s="42"/>
      <c r="T71" s="42"/>
      <c r="U71" s="42"/>
      <c r="V71" s="109"/>
      <c r="W71" s="42"/>
      <c r="X71" s="42"/>
      <c r="Y71" s="42"/>
      <c r="Z71" s="42"/>
      <c r="AA71" s="42"/>
      <c r="AB71" s="42"/>
      <c r="AC71" s="42"/>
      <c r="AD71" s="42"/>
      <c r="AE71" s="50"/>
      <c r="AF71" s="109"/>
      <c r="AG71" s="109"/>
    </row>
    <row r="72" spans="1:33">
      <c r="C72" s="10" t="s">
        <v>392</v>
      </c>
      <c r="D72" s="42">
        <f>'ET workings 16-17'!D91+'ET workings 16-17'!D86</f>
        <v>1346.0257997425954</v>
      </c>
      <c r="E72" s="42">
        <f>'ET workings 16-17'!E91+'ET workings 16-17'!E86</f>
        <v>1336.9227037158885</v>
      </c>
      <c r="F72" s="42">
        <f>'ET workings 16-17'!F91+'ET workings 16-17'!F86</f>
        <v>1433.6333027158942</v>
      </c>
      <c r="G72" s="42">
        <f>'ET workings 16-17'!G91+'ET workings 16-17'!G86</f>
        <v>1460.184666564217</v>
      </c>
      <c r="H72" s="42">
        <f>'ET workings 16-17'!H91+'ET workings 16-17'!H86</f>
        <v>1472.5319844041626</v>
      </c>
      <c r="I72" s="42">
        <f>'ET workings 16-17'!I91+'ET workings 16-17'!I86</f>
        <v>1510.0552888971874</v>
      </c>
      <c r="J72" s="42">
        <f>'ET workings 16-17'!J91+'ET workings 16-17'!J86</f>
        <v>1511.2026889994647</v>
      </c>
      <c r="K72" s="42">
        <f>'ET workings 16-17'!K91+'ET workings 16-17'!K86</f>
        <v>1502.4240557110998</v>
      </c>
      <c r="L72" s="28">
        <f t="shared" si="12"/>
        <v>11572.980490750509</v>
      </c>
      <c r="P72" s="42"/>
      <c r="S72" s="42"/>
      <c r="T72" s="42"/>
      <c r="U72" s="42"/>
      <c r="V72" s="109"/>
      <c r="W72" s="42"/>
      <c r="X72" s="42"/>
      <c r="Y72" s="42"/>
      <c r="Z72" s="42"/>
      <c r="AA72" s="42"/>
      <c r="AB72" s="42"/>
      <c r="AC72" s="42"/>
      <c r="AD72" s="42"/>
      <c r="AE72" s="50"/>
      <c r="AF72" s="109"/>
      <c r="AG72" s="109"/>
    </row>
    <row r="73" spans="1:33">
      <c r="C73" s="11" t="s">
        <v>175</v>
      </c>
      <c r="D73" s="43">
        <f>'ET workings 16-17'!D88</f>
        <v>123</v>
      </c>
      <c r="E73" s="43">
        <f>'ET workings 16-17'!E88</f>
        <v>122.8</v>
      </c>
      <c r="F73" s="43">
        <f>'ET workings 16-17'!F88</f>
        <v>129.80000000000001</v>
      </c>
      <c r="G73" s="43">
        <f>'ET workings 16-17'!G88</f>
        <v>125.6</v>
      </c>
      <c r="H73" s="43">
        <f>'ET workings 16-17'!H88</f>
        <v>127.3</v>
      </c>
      <c r="I73" s="43">
        <f>'ET workings 16-17'!I88</f>
        <v>128.6</v>
      </c>
      <c r="J73" s="43">
        <f>'ET workings 16-17'!J88</f>
        <v>130.19999999999999</v>
      </c>
      <c r="K73" s="43">
        <f>'ET workings 16-17'!K88</f>
        <v>131.69999999999999</v>
      </c>
      <c r="L73" s="28">
        <f t="shared" si="12"/>
        <v>1019</v>
      </c>
      <c r="N73" s="132" t="s">
        <v>301</v>
      </c>
      <c r="P73" s="42"/>
      <c r="S73" s="42"/>
      <c r="T73" s="42"/>
      <c r="U73" s="42"/>
      <c r="V73" s="109"/>
      <c r="W73" s="42"/>
      <c r="X73" s="42"/>
      <c r="Y73" s="42"/>
      <c r="Z73" s="42"/>
      <c r="AA73" s="42"/>
      <c r="AB73" s="42"/>
      <c r="AC73" s="42"/>
      <c r="AD73" s="42"/>
      <c r="AE73" s="50"/>
      <c r="AF73" s="109"/>
      <c r="AG73" s="109"/>
    </row>
    <row r="74" spans="1:33" ht="13.8" thickBot="1">
      <c r="C74" s="23" t="s">
        <v>107</v>
      </c>
      <c r="D74" s="44">
        <f t="shared" ref="D74:L74" si="15">D72+D73</f>
        <v>1469.0257997425954</v>
      </c>
      <c r="E74" s="44">
        <f t="shared" si="15"/>
        <v>1459.7227037158884</v>
      </c>
      <c r="F74" s="44">
        <f t="shared" si="15"/>
        <v>1563.4333027158941</v>
      </c>
      <c r="G74" s="44">
        <f t="shared" si="15"/>
        <v>1585.7846665642169</v>
      </c>
      <c r="H74" s="44">
        <f t="shared" si="15"/>
        <v>1599.8319844041625</v>
      </c>
      <c r="I74" s="44">
        <f t="shared" si="15"/>
        <v>1638.6552888971873</v>
      </c>
      <c r="J74" s="44">
        <f t="shared" si="15"/>
        <v>1641.4026889994648</v>
      </c>
      <c r="K74" s="44">
        <f t="shared" si="15"/>
        <v>1634.1240557110998</v>
      </c>
      <c r="L74" s="28">
        <f t="shared" si="15"/>
        <v>12591.980490750509</v>
      </c>
      <c r="N74" s="133">
        <f>(K74/D74)^(1/7)-1</f>
        <v>1.5331693510320488E-2</v>
      </c>
      <c r="P74" s="50"/>
      <c r="S74" s="50"/>
      <c r="T74" s="50"/>
      <c r="U74" s="50"/>
      <c r="V74" s="109"/>
      <c r="W74" s="50"/>
      <c r="X74" s="50"/>
      <c r="Y74" s="50"/>
      <c r="Z74" s="50"/>
      <c r="AA74" s="50"/>
      <c r="AB74" s="50"/>
      <c r="AC74" s="50"/>
      <c r="AD74" s="50"/>
      <c r="AE74" s="50"/>
      <c r="AF74" s="109"/>
      <c r="AG74" s="109"/>
    </row>
    <row r="75" spans="1:33">
      <c r="D75" s="53"/>
      <c r="E75" s="53"/>
      <c r="F75" s="53"/>
      <c r="G75" s="53"/>
      <c r="H75" s="53"/>
      <c r="I75" s="53"/>
      <c r="J75" s="53"/>
      <c r="K75" s="53"/>
      <c r="L75" s="53"/>
      <c r="P75" s="53"/>
      <c r="AE75" s="38"/>
    </row>
    <row r="76" spans="1:33">
      <c r="D76" s="53"/>
      <c r="E76" s="53"/>
      <c r="F76" s="53"/>
      <c r="G76" s="53"/>
      <c r="H76" s="53"/>
      <c r="I76" s="53"/>
      <c r="J76" s="53"/>
      <c r="K76" s="53"/>
      <c r="L76" s="53"/>
      <c r="AE76" s="38"/>
    </row>
    <row r="77" spans="1:33">
      <c r="D77" s="53"/>
      <c r="E77" s="53"/>
      <c r="F77" s="53"/>
      <c r="G77" s="53"/>
      <c r="H77" s="53"/>
      <c r="I77" s="53"/>
      <c r="J77" s="53"/>
      <c r="K77" s="53"/>
      <c r="L77" s="53"/>
      <c r="AE77" s="38"/>
    </row>
    <row r="78" spans="1:33" ht="13.8" thickBot="1"/>
    <row r="79" spans="1:33" ht="13.8" thickBot="1">
      <c r="A79" s="38"/>
      <c r="C79" s="14" t="s">
        <v>58</v>
      </c>
      <c r="D79" s="15" t="s">
        <v>59</v>
      </c>
      <c r="E79" s="15" t="s">
        <v>60</v>
      </c>
      <c r="F79" s="15" t="s">
        <v>61</v>
      </c>
      <c r="G79" s="15" t="s">
        <v>62</v>
      </c>
      <c r="H79" s="15" t="s">
        <v>63</v>
      </c>
      <c r="I79" s="15" t="s">
        <v>64</v>
      </c>
      <c r="J79" s="15" t="s">
        <v>65</v>
      </c>
      <c r="K79" s="15" t="s">
        <v>66</v>
      </c>
      <c r="L79" s="15" t="s">
        <v>118</v>
      </c>
      <c r="P79" s="205"/>
    </row>
    <row r="80" spans="1:33">
      <c r="C80" s="124"/>
      <c r="D80" s="125"/>
      <c r="E80" s="125"/>
      <c r="F80" s="125"/>
      <c r="G80" s="125"/>
      <c r="H80" s="125"/>
      <c r="I80" s="125"/>
      <c r="J80" s="125"/>
      <c r="K80" s="125"/>
      <c r="L80" s="125"/>
      <c r="P80" s="206"/>
    </row>
    <row r="81" spans="1:16">
      <c r="C81" s="17" t="str">
        <f>C3</f>
        <v>TO capex - load-related</v>
      </c>
      <c r="D81" s="165">
        <f>'ET workings 16-17'!D15</f>
        <v>241.91835100747039</v>
      </c>
      <c r="E81" s="165">
        <f>'ET workings 16-17'!E15</f>
        <v>206.22285805015076</v>
      </c>
      <c r="F81" s="165">
        <f>'ET workings 16-17'!F15</f>
        <v>183.4765697039528</v>
      </c>
      <c r="G81" s="165">
        <f>'ET workings 16-17'!G15</f>
        <v>187.40173539185469</v>
      </c>
      <c r="H81" s="165">
        <f>'ET workings 16-17'!H15</f>
        <v>142.92705896695065</v>
      </c>
      <c r="I81" s="165">
        <f>'ET workings 16-17'!I15</f>
        <v>124.46128971626086</v>
      </c>
      <c r="J81" s="165">
        <f>'ET workings 16-17'!J15</f>
        <v>44.072350609794569</v>
      </c>
      <c r="K81" s="165">
        <f>'ET workings 16-17'!K15</f>
        <v>28.383548641119383</v>
      </c>
      <c r="L81" s="165">
        <f>SUM(D81:K81)</f>
        <v>1158.8637620875541</v>
      </c>
      <c r="M81" s="53">
        <f>E3</f>
        <v>1.1588637620875542</v>
      </c>
      <c r="N81" s="53">
        <f>E3-L81/1000</f>
        <v>0</v>
      </c>
      <c r="P81" s="165"/>
    </row>
    <row r="82" spans="1:16">
      <c r="C82" s="17" t="str">
        <f>C4</f>
        <v>TO capex - non-load related</v>
      </c>
      <c r="D82" s="165">
        <f>'ET workings 16-17'!D16</f>
        <v>506.11836500601339</v>
      </c>
      <c r="E82" s="165">
        <f>'ET workings 16-17'!E16</f>
        <v>499.20409814951984</v>
      </c>
      <c r="F82" s="165">
        <f>'ET workings 16-17'!F16</f>
        <v>485.07329761796098</v>
      </c>
      <c r="G82" s="165">
        <f>'ET workings 16-17'!G16</f>
        <v>489.14143160750723</v>
      </c>
      <c r="H82" s="165">
        <f>'ET workings 16-17'!H16</f>
        <v>622.61892466629627</v>
      </c>
      <c r="I82" s="165">
        <f>'ET workings 16-17'!I16</f>
        <v>715.79753719305393</v>
      </c>
      <c r="J82" s="165">
        <f>'ET workings 16-17'!J16</f>
        <v>784.25081046797004</v>
      </c>
      <c r="K82" s="165">
        <f>'ET workings 16-17'!K16</f>
        <v>704.21301595565285</v>
      </c>
      <c r="L82" s="165">
        <f>SUM(D82:K82)</f>
        <v>4806.4174806639749</v>
      </c>
      <c r="M82" s="53">
        <f>E4</f>
        <v>4.806417480663975</v>
      </c>
      <c r="N82" s="53">
        <f>E4-L82/1000</f>
        <v>0</v>
      </c>
      <c r="P82" s="165"/>
    </row>
    <row r="83" spans="1:16">
      <c r="C83" s="18" t="str">
        <f>C5</f>
        <v xml:space="preserve">Uncertainty mechanism capex </v>
      </c>
      <c r="D83" s="166">
        <f>'ET workings 16-17'!D20</f>
        <v>802.5128776562899</v>
      </c>
      <c r="E83" s="166">
        <f>'ET workings 16-17'!E20</f>
        <v>786.89137240223897</v>
      </c>
      <c r="F83" s="166">
        <f>'ET workings 16-17'!F20</f>
        <v>698.14259455479441</v>
      </c>
      <c r="G83" s="166">
        <f>'ET workings 16-17'!G20</f>
        <v>581.36779364217136</v>
      </c>
      <c r="H83" s="166">
        <f>'ET workings 16-17'!H20</f>
        <v>316.78762224396468</v>
      </c>
      <c r="I83" s="166">
        <f>'ET workings 16-17'!I20</f>
        <v>227.12358350445467</v>
      </c>
      <c r="J83" s="166">
        <f>'ET workings 16-17'!J20</f>
        <v>94.019391932813818</v>
      </c>
      <c r="K83" s="166">
        <f>'ET workings 16-17'!K20</f>
        <v>31.958053494134088</v>
      </c>
      <c r="L83" s="166">
        <f t="shared" ref="L83:L92" si="16">SUM(D83:K83)</f>
        <v>3538.8032894308617</v>
      </c>
      <c r="M83" s="53">
        <f>E5</f>
        <v>3.5388032894308616</v>
      </c>
      <c r="N83" s="53">
        <f>E5-L83/1000</f>
        <v>0</v>
      </c>
      <c r="P83" s="165"/>
    </row>
    <row r="84" spans="1:16">
      <c r="C84" s="17" t="str">
        <f>C6</f>
        <v xml:space="preserve">Uncertainty mechanism opex </v>
      </c>
      <c r="D84" s="165">
        <f>'ET workings 16-17'!D21</f>
        <v>1.0854967381420191</v>
      </c>
      <c r="E84" s="165">
        <f>'ET workings 16-17'!E21</f>
        <v>3.1874299535058723</v>
      </c>
      <c r="F84" s="165">
        <f>'ET workings 16-17'!F21</f>
        <v>8.7933031383547409</v>
      </c>
      <c r="G84" s="165">
        <f>'ET workings 16-17'!G21</f>
        <v>14.449105184117492</v>
      </c>
      <c r="H84" s="165">
        <f>'ET workings 16-17'!H21</f>
        <v>44.98161721307374</v>
      </c>
      <c r="I84" s="165">
        <f>'ET workings 16-17'!I21</f>
        <v>56.115444380322963</v>
      </c>
      <c r="J84" s="165">
        <f>'ET workings 16-17'!J21</f>
        <v>33.694808241742152</v>
      </c>
      <c r="K84" s="165">
        <f>'ET workings 16-17'!K21</f>
        <v>5.1565330854912359</v>
      </c>
      <c r="L84" s="165">
        <f t="shared" si="16"/>
        <v>167.46373793475024</v>
      </c>
      <c r="M84" s="53">
        <f>E6</f>
        <v>0.16746373793475025</v>
      </c>
      <c r="N84" s="53">
        <f>E6-L84/1000</f>
        <v>0</v>
      </c>
      <c r="P84" s="165"/>
    </row>
    <row r="85" spans="1:16">
      <c r="C85" s="18" t="str">
        <f>C7</f>
        <v xml:space="preserve">Controllable opex </v>
      </c>
      <c r="D85" s="158">
        <f>'ET workings 16-17'!D17</f>
        <v>192.21282629439594</v>
      </c>
      <c r="E85" s="158">
        <f>'ET workings 16-17'!E17</f>
        <v>196.41204072355288</v>
      </c>
      <c r="F85" s="158">
        <f>'ET workings 16-17'!F17</f>
        <v>203.04710659109347</v>
      </c>
      <c r="G85" s="158">
        <f>'ET workings 16-17'!G17</f>
        <v>204.35171680440774</v>
      </c>
      <c r="H85" s="158">
        <f>'ET workings 16-17'!H17</f>
        <v>205.72203973741003</v>
      </c>
      <c r="I85" s="158">
        <f>'ET workings 16-17'!I17</f>
        <v>206.0644404839947</v>
      </c>
      <c r="J85" s="158">
        <f>'ET workings 16-17'!J17</f>
        <v>207.83890997781467</v>
      </c>
      <c r="K85" s="158">
        <f>'ET workings 16-17'!K17</f>
        <v>208.20405529640865</v>
      </c>
      <c r="L85" s="158">
        <f t="shared" si="16"/>
        <v>1623.853135909078</v>
      </c>
      <c r="M85" s="53">
        <f>E7</f>
        <v>1.623853135909078</v>
      </c>
      <c r="N85" s="53">
        <f>E7-L85/1000</f>
        <v>0</v>
      </c>
      <c r="P85" s="168"/>
    </row>
    <row r="86" spans="1:16">
      <c r="A86" s="116"/>
      <c r="C86" s="18" t="s">
        <v>47</v>
      </c>
      <c r="D86" s="158">
        <f>D34-D28</f>
        <v>-289.4059055605976</v>
      </c>
      <c r="E86" s="158">
        <f t="shared" ref="E86:K86" si="17">E34-E28</f>
        <v>-421.34881950554814</v>
      </c>
      <c r="F86" s="158">
        <f t="shared" si="17"/>
        <v>0</v>
      </c>
      <c r="G86" s="158">
        <f t="shared" si="17"/>
        <v>0</v>
      </c>
      <c r="H86" s="158">
        <f t="shared" si="17"/>
        <v>0</v>
      </c>
      <c r="I86" s="158">
        <f t="shared" si="17"/>
        <v>0</v>
      </c>
      <c r="J86" s="158">
        <f t="shared" si="17"/>
        <v>0</v>
      </c>
      <c r="K86" s="158">
        <f t="shared" si="17"/>
        <v>0</v>
      </c>
      <c r="L86" s="158">
        <f t="shared" si="16"/>
        <v>-710.75472506614574</v>
      </c>
      <c r="M86" s="53"/>
      <c r="N86" s="53"/>
      <c r="P86" s="168"/>
    </row>
    <row r="87" spans="1:16">
      <c r="C87" s="19" t="str">
        <f>C9</f>
        <v xml:space="preserve">TO Totex </v>
      </c>
      <c r="D87" s="167">
        <f>SUM(D81:D86)</f>
        <v>1454.4420111417139</v>
      </c>
      <c r="E87" s="167">
        <f t="shared" ref="E87:K87" si="18">SUM(E81:E86)</f>
        <v>1270.5689797734201</v>
      </c>
      <c r="F87" s="167">
        <f t="shared" si="18"/>
        <v>1578.5328716061565</v>
      </c>
      <c r="G87" s="167">
        <f t="shared" si="18"/>
        <v>1476.7117826300585</v>
      </c>
      <c r="H87" s="167">
        <f t="shared" si="18"/>
        <v>1333.0372628276955</v>
      </c>
      <c r="I87" s="167">
        <f t="shared" si="18"/>
        <v>1329.5622952780873</v>
      </c>
      <c r="J87" s="167">
        <f t="shared" si="18"/>
        <v>1163.8762712301352</v>
      </c>
      <c r="K87" s="167">
        <f t="shared" si="18"/>
        <v>977.91520647280629</v>
      </c>
      <c r="L87" s="167">
        <f t="shared" si="16"/>
        <v>10584.646680960073</v>
      </c>
      <c r="M87" s="53">
        <f>E9</f>
        <v>10.584646680960073</v>
      </c>
      <c r="N87" s="53">
        <f>E9-L87/1000</f>
        <v>0</v>
      </c>
      <c r="P87" s="167"/>
    </row>
    <row r="88" spans="1:16">
      <c r="C88" s="18" t="str">
        <f>C10</f>
        <v xml:space="preserve">Non controllable opex </v>
      </c>
      <c r="D88" s="166">
        <f>'ET workings 16-17'!D26</f>
        <v>94.24723304227993</v>
      </c>
      <c r="E88" s="166">
        <f>'ET workings 16-17'!E26</f>
        <v>87.678224204681584</v>
      </c>
      <c r="F88" s="166">
        <f>'ET workings 16-17'!F26</f>
        <v>87.676243763178761</v>
      </c>
      <c r="G88" s="166">
        <f>'ET workings 16-17'!G26</f>
        <v>87.677481779017953</v>
      </c>
      <c r="H88" s="166">
        <f>'ET workings 16-17'!H26</f>
        <v>87.676244486345595</v>
      </c>
      <c r="I88" s="166">
        <f>'ET workings 16-17'!I26</f>
        <v>87.676244488148086</v>
      </c>
      <c r="J88" s="166">
        <f>'ET workings 16-17'!J26</f>
        <v>87.676244492723825</v>
      </c>
      <c r="K88" s="166">
        <f>'ET workings 16-17'!K26</f>
        <v>87.676244462267519</v>
      </c>
      <c r="L88" s="166">
        <f t="shared" si="16"/>
        <v>707.98416071864324</v>
      </c>
      <c r="M88" s="53">
        <f>E10</f>
        <v>0.70798416071864323</v>
      </c>
      <c r="N88" s="53">
        <f>E10-L88/1000</f>
        <v>0</v>
      </c>
      <c r="P88" s="165"/>
    </row>
    <row r="89" spans="1:16">
      <c r="C89" s="17"/>
      <c r="D89" s="168"/>
      <c r="E89" s="168"/>
      <c r="F89" s="168"/>
      <c r="G89" s="168"/>
      <c r="H89" s="168"/>
      <c r="I89" s="168"/>
      <c r="J89" s="168"/>
      <c r="K89" s="168"/>
      <c r="L89" s="165"/>
      <c r="M89" s="53"/>
      <c r="N89" s="53"/>
      <c r="P89" s="168"/>
    </row>
    <row r="90" spans="1:16">
      <c r="C90" s="18" t="str">
        <f>C12</f>
        <v xml:space="preserve">SO capex </v>
      </c>
      <c r="D90" s="158">
        <f>'ET workings 16-17'!D8</f>
        <v>39.230261993822481</v>
      </c>
      <c r="E90" s="158">
        <f>'ET workings 16-17'!E8</f>
        <v>34.208586772300464</v>
      </c>
      <c r="F90" s="158">
        <f>'ET workings 16-17'!F8</f>
        <v>29.40934615713995</v>
      </c>
      <c r="G90" s="158">
        <f>'ET workings 16-17'!G8</f>
        <v>27.165060319864111</v>
      </c>
      <c r="H90" s="158">
        <f>'ET workings 16-17'!H8</f>
        <v>29.591699211758403</v>
      </c>
      <c r="I90" s="158">
        <f>'ET workings 16-17'!I8</f>
        <v>20.377561078577621</v>
      </c>
      <c r="J90" s="158">
        <f>'ET workings 16-17'!J8</f>
        <v>25.429651204161818</v>
      </c>
      <c r="K90" s="158">
        <f>'ET workings 16-17'!K8</f>
        <v>25.40838563392731</v>
      </c>
      <c r="L90" s="158">
        <f t="shared" si="16"/>
        <v>230.82055237155214</v>
      </c>
      <c r="M90" s="53">
        <f>E12</f>
        <v>0.23082055237155213</v>
      </c>
      <c r="N90" s="53">
        <f>E12-L90/1000</f>
        <v>0</v>
      </c>
      <c r="P90" s="168"/>
    </row>
    <row r="91" spans="1:16">
      <c r="C91" s="17" t="str">
        <f>C13</f>
        <v xml:space="preserve">Controllable opex </v>
      </c>
      <c r="D91" s="165">
        <f>'ET workings 16-17'!D7</f>
        <v>73.775027711210655</v>
      </c>
      <c r="E91" s="165">
        <f>'ET workings 16-17'!E7</f>
        <v>74.857370793520886</v>
      </c>
      <c r="F91" s="165">
        <f>'ET workings 16-17'!F7</f>
        <v>77.005994132717234</v>
      </c>
      <c r="G91" s="165">
        <f>'ET workings 16-17'!G7</f>
        <v>78.582137772280092</v>
      </c>
      <c r="H91" s="165">
        <f>'ET workings 16-17'!H7</f>
        <v>79.36050736397776</v>
      </c>
      <c r="I91" s="165">
        <f>'ET workings 16-17'!I7</f>
        <v>79.998881974263142</v>
      </c>
      <c r="J91" s="165">
        <f>'ET workings 16-17'!J7</f>
        <v>81.754729960219521</v>
      </c>
      <c r="K91" s="165">
        <f>'ET workings 16-17'!K7</f>
        <v>83.672873632490891</v>
      </c>
      <c r="L91" s="165">
        <f t="shared" si="16"/>
        <v>629.00752334068022</v>
      </c>
      <c r="M91" s="53">
        <f>E13</f>
        <v>0.62900752334068022</v>
      </c>
      <c r="N91" s="53">
        <f>E13-L91/1000</f>
        <v>0</v>
      </c>
      <c r="P91" s="165"/>
    </row>
    <row r="92" spans="1:16">
      <c r="A92" s="116"/>
      <c r="C92" s="18" t="s">
        <v>47</v>
      </c>
      <c r="D92" s="158">
        <f>D130-D124</f>
        <v>-7.2711577007949302</v>
      </c>
      <c r="E92" s="158">
        <f t="shared" ref="E92:K92" si="19">E130-E124</f>
        <v>-0.19649284933564104</v>
      </c>
      <c r="F92" s="158">
        <f t="shared" si="19"/>
        <v>0</v>
      </c>
      <c r="G92" s="158">
        <f t="shared" si="19"/>
        <v>0</v>
      </c>
      <c r="H92" s="158">
        <f t="shared" si="19"/>
        <v>0</v>
      </c>
      <c r="I92" s="158">
        <f t="shared" si="19"/>
        <v>0</v>
      </c>
      <c r="J92" s="158">
        <f t="shared" si="19"/>
        <v>0</v>
      </c>
      <c r="K92" s="158">
        <f t="shared" si="19"/>
        <v>0</v>
      </c>
      <c r="L92" s="158">
        <f t="shared" si="16"/>
        <v>-7.4676505501305712</v>
      </c>
      <c r="M92" s="53"/>
      <c r="N92" s="53"/>
      <c r="P92" s="168"/>
    </row>
    <row r="93" spans="1:16" ht="13.8" thickBot="1">
      <c r="C93" s="23" t="str">
        <f>C15</f>
        <v xml:space="preserve">SO Totex </v>
      </c>
      <c r="D93" s="44">
        <f>SUM(D90:D92)</f>
        <v>105.73413200423821</v>
      </c>
      <c r="E93" s="44">
        <f t="shared" ref="E93:L93" si="20">SUM(E90:E92)</f>
        <v>108.86946471648571</v>
      </c>
      <c r="F93" s="44">
        <f t="shared" si="20"/>
        <v>106.41534028985718</v>
      </c>
      <c r="G93" s="44">
        <f t="shared" si="20"/>
        <v>105.7471980921442</v>
      </c>
      <c r="H93" s="44">
        <f t="shared" si="20"/>
        <v>108.95220657573617</v>
      </c>
      <c r="I93" s="44">
        <f t="shared" si="20"/>
        <v>100.37644305284076</v>
      </c>
      <c r="J93" s="44">
        <f t="shared" si="20"/>
        <v>107.18438116438134</v>
      </c>
      <c r="K93" s="44">
        <f t="shared" si="20"/>
        <v>109.0812592664182</v>
      </c>
      <c r="L93" s="44">
        <f t="shared" si="20"/>
        <v>852.36042516210182</v>
      </c>
      <c r="M93" s="53">
        <f>E15</f>
        <v>0.85236042516210175</v>
      </c>
      <c r="N93" s="53">
        <f>E15-L93/1000</f>
        <v>0</v>
      </c>
      <c r="P93" s="50"/>
    </row>
    <row r="94" spans="1:16">
      <c r="A94" s="38" t="s">
        <v>378</v>
      </c>
    </row>
    <row r="95" spans="1:16" ht="13.8" thickBot="1">
      <c r="C95" s="38" t="s">
        <v>140</v>
      </c>
    </row>
    <row r="96" spans="1:16" ht="13.8" thickBot="1">
      <c r="C96" s="7" t="s">
        <v>58</v>
      </c>
      <c r="D96" s="8" t="s">
        <v>59</v>
      </c>
      <c r="E96" s="8" t="s">
        <v>60</v>
      </c>
      <c r="F96" s="8" t="s">
        <v>61</v>
      </c>
      <c r="G96" s="8" t="s">
        <v>62</v>
      </c>
      <c r="H96" s="8" t="s">
        <v>63</v>
      </c>
      <c r="I96" s="8" t="s">
        <v>64</v>
      </c>
      <c r="J96" s="8" t="s">
        <v>65</v>
      </c>
      <c r="K96" s="8" t="s">
        <v>66</v>
      </c>
    </row>
    <row r="97" spans="1:11">
      <c r="C97" s="22" t="s">
        <v>91</v>
      </c>
      <c r="D97" s="41">
        <f>'ET workings 16-17'!D130+'ET workings 16-17'!D152</f>
        <v>8865.0145032674482</v>
      </c>
      <c r="E97" s="41">
        <f>'ET workings 16-17'!E130+'ET workings 16-17'!E152</f>
        <v>9375.9647972224429</v>
      </c>
      <c r="F97" s="41">
        <f>'ET workings 16-17'!F130+'ET workings 16-17'!F152</f>
        <v>9872.0711616176832</v>
      </c>
      <c r="G97" s="41">
        <f>'ET workings 16-17'!G130+'ET workings 16-17'!G152</f>
        <v>10599.49186808951</v>
      </c>
      <c r="H97" s="41">
        <f>'ET workings 16-17'!H130+'ET workings 16-17'!H152</f>
        <v>11205.051418557876</v>
      </c>
      <c r="I97" s="41">
        <f>'ET workings 16-17'!I130+'ET workings 16-17'!I152</f>
        <v>11660.4290745651</v>
      </c>
      <c r="J97" s="41">
        <f>'ET workings 16-17'!J130+'ET workings 16-17'!J152</f>
        <v>12087.834629745246</v>
      </c>
      <c r="K97" s="41">
        <f>'ET workings 16-17'!K130+'ET workings 16-17'!K152</f>
        <v>12365.289085841132</v>
      </c>
    </row>
    <row r="98" spans="1:11">
      <c r="C98" s="10" t="s">
        <v>86</v>
      </c>
      <c r="D98" s="42">
        <f>'ET workings 16-17'!D131+'ET workings 16-17'!D153</f>
        <v>1095.4546111634802</v>
      </c>
      <c r="E98" s="42">
        <f>'ET workings 16-17'!E131+'ET workings 16-17'!E153</f>
        <v>1111.1439265723154</v>
      </c>
      <c r="F98" s="42">
        <f>'ET workings 16-17'!F131+'ET workings 16-17'!F153</f>
        <v>1373.6357812745312</v>
      </c>
      <c r="G98" s="42">
        <f>'ET workings 16-17'!G131+'ET workings 16-17'!G153</f>
        <v>1286.3854532732323</v>
      </c>
      <c r="H98" s="42">
        <f>'ET workings 16-17'!H131+'ET workings 16-17'!H153</f>
        <v>1165.0742193788462</v>
      </c>
      <c r="I98" s="42">
        <f>'ET workings 16-17'!I131+'ET workings 16-17'!I153</f>
        <v>1159.6997139916032</v>
      </c>
      <c r="J98" s="42">
        <f>'ET workings 16-17'!J131+'ET workings 16-17'!J153</f>
        <v>1020.7613174594323</v>
      </c>
      <c r="K98" s="42">
        <f>'ET workings 16-17'!K131+'ET workings 16-17'!K153</f>
        <v>863.16500609952868</v>
      </c>
    </row>
    <row r="99" spans="1:11">
      <c r="C99" s="11" t="s">
        <v>87</v>
      </c>
      <c r="D99" s="43">
        <f>'ET workings 16-17'!D132+'ET workings 16-17'!D154</f>
        <v>-584.50431720848701</v>
      </c>
      <c r="E99" s="43">
        <f>'ET workings 16-17'!E132+'ET workings 16-17'!E154</f>
        <v>-615.03756217707632</v>
      </c>
      <c r="F99" s="43">
        <f>'ET workings 16-17'!F132+'ET workings 16-17'!F154</f>
        <v>-646.21507480270543</v>
      </c>
      <c r="G99" s="43">
        <f>'ET workings 16-17'!G132+'ET workings 16-17'!G154</f>
        <v>-680.82590280486647</v>
      </c>
      <c r="H99" s="43">
        <f>'ET workings 16-17'!H132+'ET workings 16-17'!H154</f>
        <v>-709.69656337162053</v>
      </c>
      <c r="I99" s="43">
        <f>'ET workings 16-17'!I132+'ET workings 16-17'!I154</f>
        <v>-732.29415881145871</v>
      </c>
      <c r="J99" s="43">
        <f>'ET workings 16-17'!J132+'ET workings 16-17'!J154</f>
        <v>-743.30686136354745</v>
      </c>
      <c r="K99" s="43">
        <f>'ET workings 16-17'!K132+'ET workings 16-17'!K154</f>
        <v>-749.948320430026</v>
      </c>
    </row>
    <row r="100" spans="1:11" ht="13.8" thickBot="1">
      <c r="C100" s="13" t="s">
        <v>94</v>
      </c>
      <c r="D100" s="52">
        <f>'ET workings 16-17'!D133+'ET workings 16-17'!D155</f>
        <v>9375.9647972224429</v>
      </c>
      <c r="E100" s="52">
        <f>'ET workings 16-17'!E133+'ET workings 16-17'!E155</f>
        <v>9872.0711616176832</v>
      </c>
      <c r="F100" s="52">
        <f>'ET workings 16-17'!F133+'ET workings 16-17'!F155</f>
        <v>10599.49186808951</v>
      </c>
      <c r="G100" s="52">
        <f>'ET workings 16-17'!G133+'ET workings 16-17'!G155</f>
        <v>11205.051418557874</v>
      </c>
      <c r="H100" s="52">
        <f>'ET workings 16-17'!H133+'ET workings 16-17'!H155</f>
        <v>11660.429074565101</v>
      </c>
      <c r="I100" s="52">
        <f>'ET workings 16-17'!I133+'ET workings 16-17'!I155</f>
        <v>12087.834629745246</v>
      </c>
      <c r="J100" s="52">
        <f>'ET workings 16-17'!J133+'ET workings 16-17'!J155</f>
        <v>12365.28908584113</v>
      </c>
      <c r="K100" s="52">
        <f>'ET workings 16-17'!K133+'ET workings 16-17'!K155</f>
        <v>12478.505771510636</v>
      </c>
    </row>
    <row r="102" spans="1:11" ht="13.8" thickBot="1"/>
    <row r="103" spans="1:11" ht="13.8" thickBot="1">
      <c r="C103" s="7" t="s">
        <v>58</v>
      </c>
      <c r="D103" s="8" t="s">
        <v>59</v>
      </c>
      <c r="E103" s="8" t="s">
        <v>60</v>
      </c>
      <c r="F103" s="8" t="s">
        <v>61</v>
      </c>
      <c r="G103" s="8" t="s">
        <v>62</v>
      </c>
      <c r="H103" s="8" t="s">
        <v>63</v>
      </c>
      <c r="I103" s="8" t="s">
        <v>64</v>
      </c>
      <c r="J103" s="8" t="s">
        <v>65</v>
      </c>
      <c r="K103" s="8" t="s">
        <v>66</v>
      </c>
    </row>
    <row r="104" spans="1:11">
      <c r="C104" s="10" t="s">
        <v>370</v>
      </c>
      <c r="D104" s="169">
        <f>'ET workings 16-17'!D86</f>
        <v>13.751034124367685</v>
      </c>
      <c r="E104" s="169">
        <f>'ET workings 16-17'!E86</f>
        <v>13.274690050778315</v>
      </c>
      <c r="F104" s="169">
        <f>'ET workings 16-17'!F86</f>
        <v>12.798257977175346</v>
      </c>
      <c r="G104" s="169">
        <f>'ET workings 16-17'!G86</f>
        <v>0</v>
      </c>
      <c r="H104" s="169">
        <f>'ET workings 16-17'!H86</f>
        <v>0</v>
      </c>
      <c r="I104" s="169">
        <f>'ET workings 16-17'!I86</f>
        <v>0</v>
      </c>
      <c r="J104" s="169">
        <f>'ET workings 16-17'!J86</f>
        <v>0</v>
      </c>
      <c r="K104" s="169">
        <f>'ET workings 16-17'!K86</f>
        <v>0</v>
      </c>
    </row>
    <row r="105" spans="1:11">
      <c r="C105" s="170" t="s">
        <v>371</v>
      </c>
      <c r="D105" s="171">
        <v>0</v>
      </c>
      <c r="E105" s="171">
        <v>0</v>
      </c>
      <c r="F105" s="171">
        <v>0</v>
      </c>
      <c r="G105" s="171">
        <v>0</v>
      </c>
      <c r="H105" s="171">
        <v>0</v>
      </c>
      <c r="I105" s="171">
        <v>0</v>
      </c>
      <c r="J105" s="171">
        <v>0</v>
      </c>
      <c r="K105" s="171">
        <v>0</v>
      </c>
    </row>
    <row r="106" spans="1:11">
      <c r="C106" s="10"/>
      <c r="D106" s="169"/>
      <c r="E106" s="169"/>
      <c r="F106" s="169"/>
      <c r="G106" s="169"/>
      <c r="H106" s="169"/>
      <c r="I106" s="169"/>
      <c r="J106" s="169"/>
      <c r="K106" s="169"/>
    </row>
    <row r="107" spans="1:11">
      <c r="C107" s="11" t="s">
        <v>372</v>
      </c>
      <c r="D107" s="171">
        <f>'ET workings 16-17'!D88</f>
        <v>123</v>
      </c>
      <c r="E107" s="171">
        <f>'ET workings 16-17'!E88</f>
        <v>122.8</v>
      </c>
      <c r="F107" s="171">
        <f>'ET workings 16-17'!F88</f>
        <v>129.80000000000001</v>
      </c>
      <c r="G107" s="171">
        <f>'ET workings 16-17'!G88</f>
        <v>125.6</v>
      </c>
      <c r="H107" s="171">
        <f>'ET workings 16-17'!H88</f>
        <v>127.3</v>
      </c>
      <c r="I107" s="171">
        <f>'ET workings 16-17'!I88</f>
        <v>128.6</v>
      </c>
      <c r="J107" s="171">
        <f>'ET workings 16-17'!J88</f>
        <v>130.19999999999999</v>
      </c>
      <c r="K107" s="171">
        <f>'ET workings 16-17'!K88</f>
        <v>131.69999999999999</v>
      </c>
    </row>
    <row r="108" spans="1:11">
      <c r="C108" s="10" t="s">
        <v>373</v>
      </c>
      <c r="D108" s="169">
        <f>-D107</f>
        <v>-123</v>
      </c>
      <c r="E108" s="169">
        <f t="shared" ref="E108:K108" si="21">-E107</f>
        <v>-122.8</v>
      </c>
      <c r="F108" s="169">
        <f t="shared" si="21"/>
        <v>-129.80000000000001</v>
      </c>
      <c r="G108" s="169">
        <f t="shared" si="21"/>
        <v>-125.6</v>
      </c>
      <c r="H108" s="169">
        <f t="shared" si="21"/>
        <v>-127.3</v>
      </c>
      <c r="I108" s="169">
        <f t="shared" si="21"/>
        <v>-128.6</v>
      </c>
      <c r="J108" s="169">
        <f t="shared" si="21"/>
        <v>-130.19999999999999</v>
      </c>
      <c r="K108" s="169">
        <f t="shared" si="21"/>
        <v>-131.69999999999999</v>
      </c>
    </row>
    <row r="109" spans="1:11">
      <c r="C109" s="11"/>
      <c r="D109" s="171"/>
      <c r="E109" s="171"/>
      <c r="F109" s="171"/>
      <c r="G109" s="171"/>
      <c r="H109" s="171"/>
      <c r="I109" s="171"/>
      <c r="J109" s="171"/>
      <c r="K109" s="171"/>
    </row>
    <row r="110" spans="1:11" ht="13.8" thickBot="1">
      <c r="C110" s="40" t="s">
        <v>374</v>
      </c>
      <c r="D110" s="46">
        <f>SUM('ET workings 16-17'!D169:D170)</f>
        <v>53.1</v>
      </c>
      <c r="E110" s="46">
        <f>SUM('ET workings 16-17'!E169:E170)</f>
        <v>53.000000000000007</v>
      </c>
      <c r="F110" s="46">
        <f>SUM('ET workings 16-17'!F169:F170)</f>
        <v>50.999999999999993</v>
      </c>
      <c r="G110" s="46">
        <f>SUM('ET workings 16-17'!G169:G170)</f>
        <v>57.5</v>
      </c>
      <c r="H110" s="46">
        <f>SUM('ET workings 16-17'!H169:H170)</f>
        <v>49</v>
      </c>
      <c r="I110" s="46">
        <f>SUM('ET workings 16-17'!I169:I170)</f>
        <v>28.499999999999996</v>
      </c>
      <c r="J110" s="46">
        <f>SUM('ET workings 16-17'!J169:J170)</f>
        <v>3.6999999999999993</v>
      </c>
      <c r="K110" s="46">
        <f>SUM('ET workings 16-17'!K169:K170)</f>
        <v>0</v>
      </c>
    </row>
    <row r="111" spans="1:11">
      <c r="A111" s="38" t="s">
        <v>364</v>
      </c>
    </row>
    <row r="112" spans="1:11" ht="13.8" thickBot="1">
      <c r="C112" s="38" t="s">
        <v>122</v>
      </c>
    </row>
    <row r="113" spans="1:14" ht="13.8" thickBot="1">
      <c r="C113" s="7" t="s">
        <v>58</v>
      </c>
      <c r="D113" s="8" t="s">
        <v>59</v>
      </c>
      <c r="E113" s="8" t="s">
        <v>60</v>
      </c>
      <c r="F113" s="8" t="s">
        <v>61</v>
      </c>
      <c r="G113" s="8" t="s">
        <v>62</v>
      </c>
      <c r="H113" s="8" t="s">
        <v>63</v>
      </c>
      <c r="I113" s="8" t="s">
        <v>64</v>
      </c>
      <c r="J113" s="8" t="s">
        <v>65</v>
      </c>
      <c r="K113" s="8" t="s">
        <v>66</v>
      </c>
    </row>
    <row r="114" spans="1:14">
      <c r="C114" s="22" t="s">
        <v>91</v>
      </c>
      <c r="D114" s="41">
        <f>'ET workings 16-17'!D152</f>
        <v>74.160747515587701</v>
      </c>
      <c r="E114" s="41">
        <f>'ET workings 16-17'!E152</f>
        <v>94.460797649830411</v>
      </c>
      <c r="F114" s="41">
        <f>'ET workings 16-17'!F152</f>
        <v>106.29976364404084</v>
      </c>
      <c r="G114" s="41">
        <f>'ET workings 16-17'!G152</f>
        <v>115.81468092496775</v>
      </c>
      <c r="H114" s="41">
        <f>'ET workings 16-17'!H152</f>
        <v>121.90169275056566</v>
      </c>
      <c r="I114" s="41">
        <f>'ET workings 16-17'!I152</f>
        <v>125.81220581654877</v>
      </c>
      <c r="J114" s="41">
        <f>'ET workings 16-17'!J152</f>
        <v>125.23945858194335</v>
      </c>
      <c r="K114" s="41">
        <f>'ET workings 16-17'!K152</f>
        <v>125.18499267152457</v>
      </c>
    </row>
    <row r="115" spans="1:14">
      <c r="C115" s="10" t="s">
        <v>86</v>
      </c>
      <c r="D115" s="42">
        <f>'ET workings 16-17'!D153</f>
        <v>35.945371487606899</v>
      </c>
      <c r="E115" s="42">
        <f>'ET workings 16-17'!E153</f>
        <v>31.160293764908463</v>
      </c>
      <c r="F115" s="42">
        <f>'ET workings 16-17'!F153</f>
        <v>31.882840409298122</v>
      </c>
      <c r="G115" s="42">
        <f>'ET workings 16-17'!G153</f>
        <v>31.18043803768256</v>
      </c>
      <c r="H115" s="42">
        <f>'ET workings 16-17'!H153</f>
        <v>31.99254597530528</v>
      </c>
      <c r="I115" s="42">
        <f>'ET workings 16-17'!I153</f>
        <v>29.571763005229077</v>
      </c>
      <c r="J115" s="42">
        <f>'ET workings 16-17'!J153</f>
        <v>31.466486913817501</v>
      </c>
      <c r="K115" s="42">
        <f>'ET workings 16-17'!K153</f>
        <v>31.937080597643327</v>
      </c>
    </row>
    <row r="116" spans="1:14">
      <c r="C116" s="11" t="s">
        <v>87</v>
      </c>
      <c r="D116" s="43">
        <f>'ET workings 16-17'!D154</f>
        <v>-15.645321353364194</v>
      </c>
      <c r="E116" s="43">
        <f>'ET workings 16-17'!E154</f>
        <v>-19.321327770698026</v>
      </c>
      <c r="F116" s="43">
        <f>'ET workings 16-17'!F154</f>
        <v>-22.367923128371221</v>
      </c>
      <c r="G116" s="43">
        <f>'ET workings 16-17'!G154</f>
        <v>-25.093426212084651</v>
      </c>
      <c r="H116" s="43">
        <f>'ET workings 16-17'!H154</f>
        <v>-28.082032909322166</v>
      </c>
      <c r="I116" s="43">
        <f>'ET workings 16-17'!I154</f>
        <v>-30.144510239834496</v>
      </c>
      <c r="J116" s="43">
        <f>'ET workings 16-17'!J154</f>
        <v>-31.520952824236293</v>
      </c>
      <c r="K116" s="43">
        <f>'ET workings 16-17'!K154</f>
        <v>-31.885677084835415</v>
      </c>
    </row>
    <row r="117" spans="1:14" ht="13.8" thickBot="1">
      <c r="C117" s="13" t="s">
        <v>94</v>
      </c>
      <c r="D117" s="52">
        <f>'ET workings 16-17'!D155</f>
        <v>94.460797649830411</v>
      </c>
      <c r="E117" s="52">
        <f>'ET workings 16-17'!E155</f>
        <v>106.29976364404084</v>
      </c>
      <c r="F117" s="52">
        <f>'ET workings 16-17'!F155</f>
        <v>115.81468092496775</v>
      </c>
      <c r="G117" s="52">
        <f>'ET workings 16-17'!G155</f>
        <v>121.90169275056566</v>
      </c>
      <c r="H117" s="52">
        <f>'ET workings 16-17'!H155</f>
        <v>125.81220581654877</v>
      </c>
      <c r="I117" s="52">
        <f>'ET workings 16-17'!I155</f>
        <v>125.23945858194335</v>
      </c>
      <c r="J117" s="52">
        <f>'ET workings 16-17'!J155</f>
        <v>125.18499267152457</v>
      </c>
      <c r="K117" s="52">
        <f>'ET workings 16-17'!K155</f>
        <v>125.23639618433248</v>
      </c>
    </row>
    <row r="119" spans="1:14" ht="13.8" thickBot="1">
      <c r="C119" s="38" t="s">
        <v>395</v>
      </c>
    </row>
    <row r="120" spans="1:14" ht="13.8" thickBot="1">
      <c r="C120" s="14" t="s">
        <v>58</v>
      </c>
      <c r="D120" s="15" t="s">
        <v>59</v>
      </c>
      <c r="E120" s="15" t="s">
        <v>60</v>
      </c>
      <c r="F120" s="15" t="s">
        <v>61</v>
      </c>
      <c r="G120" s="15" t="s">
        <v>62</v>
      </c>
      <c r="H120" s="15" t="s">
        <v>63</v>
      </c>
      <c r="I120" s="15" t="s">
        <v>64</v>
      </c>
      <c r="J120" s="15" t="s">
        <v>65</v>
      </c>
      <c r="K120" s="15" t="s">
        <v>66</v>
      </c>
      <c r="L120" s="15" t="s">
        <v>118</v>
      </c>
    </row>
    <row r="121" spans="1:14">
      <c r="C121" s="16"/>
      <c r="D121" s="26"/>
      <c r="E121" s="26"/>
      <c r="F121" s="26"/>
      <c r="G121" s="26"/>
      <c r="H121" s="26"/>
      <c r="I121" s="26"/>
      <c r="J121" s="26"/>
      <c r="K121" s="26"/>
      <c r="L121" s="26"/>
    </row>
    <row r="122" spans="1:14">
      <c r="A122" t="s">
        <v>338</v>
      </c>
      <c r="C122" s="17" t="s">
        <v>119</v>
      </c>
      <c r="D122" s="27">
        <f>'ET workings 16-17'!D8+'ET workings 16-17'!D12</f>
        <v>51.830261993822482</v>
      </c>
      <c r="E122" s="27">
        <f>'ET workings 16-17'!E8+'ET workings 16-17'!E12</f>
        <v>34.74084403969362</v>
      </c>
      <c r="F122" s="27">
        <f>'ET workings 16-17'!F8+'ET workings 16-17'!F12</f>
        <v>30.894900022849214</v>
      </c>
      <c r="G122" s="27">
        <f>'ET workings 16-17'!G8+'ET workings 16-17'!G12</f>
        <v>28.301072099524138</v>
      </c>
      <c r="H122" s="27">
        <f>'ET workings 16-17'!H8+'ET workings 16-17'!H12</f>
        <v>30.672102023183324</v>
      </c>
      <c r="I122" s="27">
        <f>'ET workings 16-17'!I8+'ET workings 16-17'!I12</f>
        <v>21.438897958036218</v>
      </c>
      <c r="J122" s="27">
        <f>'ET workings 16-17'!J8+'ET workings 16-17'!J12</f>
        <v>26.487810428292697</v>
      </c>
      <c r="K122" s="27">
        <f>'ET workings 16-17'!K8+'ET workings 16-17'!K12</f>
        <v>26.426824166461682</v>
      </c>
      <c r="L122" s="28">
        <f>SUM(D122:K122)</f>
        <v>250.79271273186339</v>
      </c>
      <c r="N122" s="53"/>
    </row>
    <row r="123" spans="1:14">
      <c r="C123" s="18" t="s">
        <v>396</v>
      </c>
      <c r="D123" s="29">
        <f>'ET workings 16-17'!D7+'ET workings 16-17'!D13</f>
        <v>73.775027711210655</v>
      </c>
      <c r="E123" s="29">
        <f>'ET workings 16-17'!E7+'ET workings 16-17'!E13</f>
        <v>77.141289544080948</v>
      </c>
      <c r="F123" s="29">
        <f>'ET workings 16-17'!F7+'ET workings 16-17'!F13</f>
        <v>83.380513630549061</v>
      </c>
      <c r="G123" s="29">
        <f>'ET workings 16-17'!G7+'ET workings 16-17'!G13</f>
        <v>83.456770329445604</v>
      </c>
      <c r="H123" s="29">
        <f>'ET workings 16-17'!H7+'ET workings 16-17'!H13</f>
        <v>83.996521544219092</v>
      </c>
      <c r="I123" s="29">
        <f>'ET workings 16-17'!I7+'ET workings 16-17'!I13</f>
        <v>84.553084139559033</v>
      </c>
      <c r="J123" s="29">
        <f>'ET workings 16-17'!J7+'ET workings 16-17'!J13</f>
        <v>86.295296789691179</v>
      </c>
      <c r="K123" s="29">
        <f>'ET workings 16-17'!K7+'ET workings 16-17'!K13</f>
        <v>88.042998764159549</v>
      </c>
      <c r="L123" s="30">
        <f t="shared" ref="L123:L130" si="22">SUM(D123:K123)</f>
        <v>660.64150245291501</v>
      </c>
      <c r="N123" s="53"/>
    </row>
    <row r="124" spans="1:14">
      <c r="C124" s="19" t="s">
        <v>71</v>
      </c>
      <c r="D124" s="31">
        <f>SUM(D122:D123)</f>
        <v>125.60528970503313</v>
      </c>
      <c r="E124" s="31">
        <f t="shared" ref="E124:K124" si="23">SUM(E122:E123)</f>
        <v>111.88213358377456</v>
      </c>
      <c r="F124" s="31">
        <f t="shared" si="23"/>
        <v>114.27541365339827</v>
      </c>
      <c r="G124" s="31">
        <f t="shared" si="23"/>
        <v>111.75784242896974</v>
      </c>
      <c r="H124" s="31">
        <f t="shared" si="23"/>
        <v>114.66862356740242</v>
      </c>
      <c r="I124" s="31">
        <f t="shared" si="23"/>
        <v>105.99198209759525</v>
      </c>
      <c r="J124" s="31">
        <f t="shared" si="23"/>
        <v>112.78310721798388</v>
      </c>
      <c r="K124" s="31">
        <f t="shared" si="23"/>
        <v>114.46982293062123</v>
      </c>
      <c r="L124" s="28">
        <f t="shared" si="22"/>
        <v>911.43421518477862</v>
      </c>
    </row>
    <row r="125" spans="1:14">
      <c r="A125" t="s">
        <v>346</v>
      </c>
      <c r="C125" s="17" t="s">
        <v>121</v>
      </c>
      <c r="D125" s="27">
        <f>'ET workings 16-17'!D31+'ET workings 16-17'!D35</f>
        <v>32.211091901803051</v>
      </c>
      <c r="E125" s="27">
        <f>'ET workings 16-17'!E31+'ET workings 16-17'!E35</f>
        <v>34.412041499944401</v>
      </c>
      <c r="F125" s="27">
        <f>'ET workings 16-17'!F31+'ET workings 16-17'!F35</f>
        <v>30.894900022849214</v>
      </c>
      <c r="G125" s="27">
        <f>'ET workings 16-17'!G31+'ET workings 16-17'!G35</f>
        <v>28.301072099524138</v>
      </c>
      <c r="H125" s="27">
        <f>'ET workings 16-17'!H31+'ET workings 16-17'!H35</f>
        <v>30.672102023183324</v>
      </c>
      <c r="I125" s="27">
        <f>'ET workings 16-17'!I31+'ET workings 16-17'!I35</f>
        <v>21.438897958036218</v>
      </c>
      <c r="J125" s="27">
        <f>'ET workings 16-17'!J31+'ET workings 16-17'!J35</f>
        <v>26.487810428292697</v>
      </c>
      <c r="K125" s="27">
        <f>'ET workings 16-17'!K31+'ET workings 16-17'!K35</f>
        <v>26.426824166461682</v>
      </c>
      <c r="L125" s="28">
        <f t="shared" si="22"/>
        <v>230.84474010009473</v>
      </c>
      <c r="N125" s="53"/>
    </row>
    <row r="126" spans="1:14">
      <c r="C126" s="18" t="s">
        <v>387</v>
      </c>
      <c r="D126" s="29">
        <f>'ET workings 16-17'!D30+'ET workings 16-17'!D36</f>
        <v>79.703447095651597</v>
      </c>
      <c r="E126" s="29">
        <f>'ET workings 16-17'!E30+'ET workings 16-17'!E36</f>
        <v>77.100118727897851</v>
      </c>
      <c r="F126" s="29">
        <f>'ET workings 16-17'!F30+'ET workings 16-17'!F36</f>
        <v>83.380513630549061</v>
      </c>
      <c r="G126" s="29">
        <f>'ET workings 16-17'!G30+'ET workings 16-17'!G36</f>
        <v>83.456770329445604</v>
      </c>
      <c r="H126" s="29">
        <f>'ET workings 16-17'!H30+'ET workings 16-17'!H36</f>
        <v>83.996521544219092</v>
      </c>
      <c r="I126" s="29">
        <f>'ET workings 16-17'!I30+'ET workings 16-17'!I36</f>
        <v>84.553084139559033</v>
      </c>
      <c r="J126" s="29">
        <f>'ET workings 16-17'!J30+'ET workings 16-17'!J36</f>
        <v>86.295296789691179</v>
      </c>
      <c r="K126" s="29">
        <f>'ET workings 16-17'!K30+'ET workings 16-17'!K36</f>
        <v>88.042998764159549</v>
      </c>
      <c r="L126" s="30">
        <f t="shared" si="22"/>
        <v>666.52875102117287</v>
      </c>
      <c r="N126" s="53"/>
    </row>
    <row r="127" spans="1:14">
      <c r="C127" s="19" t="s">
        <v>77</v>
      </c>
      <c r="D127" s="31">
        <f>SUM(D125:D126)</f>
        <v>111.91453899745466</v>
      </c>
      <c r="E127" s="31">
        <f t="shared" ref="E127:K127" si="24">SUM(E125:E126)</f>
        <v>111.51216022784226</v>
      </c>
      <c r="F127" s="31">
        <f t="shared" si="24"/>
        <v>114.27541365339827</v>
      </c>
      <c r="G127" s="31">
        <f t="shared" si="24"/>
        <v>111.75784242896974</v>
      </c>
      <c r="H127" s="31">
        <f t="shared" si="24"/>
        <v>114.66862356740242</v>
      </c>
      <c r="I127" s="31">
        <f t="shared" si="24"/>
        <v>105.99198209759525</v>
      </c>
      <c r="J127" s="31">
        <f t="shared" si="24"/>
        <v>112.78310721798388</v>
      </c>
      <c r="K127" s="31">
        <f t="shared" si="24"/>
        <v>114.46982293062123</v>
      </c>
      <c r="L127" s="28">
        <f t="shared" si="22"/>
        <v>897.37349112126776</v>
      </c>
    </row>
    <row r="128" spans="1:14">
      <c r="A128" t="s">
        <v>233</v>
      </c>
      <c r="C128" s="17" t="s">
        <v>388</v>
      </c>
      <c r="D128" s="27">
        <f>D122-(D122-D125)*$K$2</f>
        <v>41.410520757950962</v>
      </c>
      <c r="E128" s="27">
        <f t="shared" ref="E128:K129" si="25">E122-(E122-E125)*$K$2</f>
        <v>34.566217010832808</v>
      </c>
      <c r="F128" s="27">
        <f t="shared" si="25"/>
        <v>30.894900022849214</v>
      </c>
      <c r="G128" s="27">
        <f t="shared" si="25"/>
        <v>28.301072099524138</v>
      </c>
      <c r="H128" s="27">
        <f t="shared" si="25"/>
        <v>30.672102023183324</v>
      </c>
      <c r="I128" s="27">
        <f t="shared" si="25"/>
        <v>21.438897958036218</v>
      </c>
      <c r="J128" s="27">
        <f t="shared" si="25"/>
        <v>26.487810428292697</v>
      </c>
      <c r="K128" s="27">
        <f t="shared" si="25"/>
        <v>26.426824166461682</v>
      </c>
      <c r="L128" s="28">
        <f t="shared" si="22"/>
        <v>240.19834446713105</v>
      </c>
      <c r="N128" s="53"/>
    </row>
    <row r="129" spans="1:14">
      <c r="C129" s="18" t="s">
        <v>389</v>
      </c>
      <c r="D129" s="29">
        <f>D123-(D123-D126)*$K$2</f>
        <v>76.923611246287237</v>
      </c>
      <c r="E129" s="29">
        <f t="shared" si="25"/>
        <v>77.119423723606104</v>
      </c>
      <c r="F129" s="29">
        <f t="shared" si="25"/>
        <v>83.380513630549061</v>
      </c>
      <c r="G129" s="29">
        <f t="shared" si="25"/>
        <v>83.456770329445604</v>
      </c>
      <c r="H129" s="29">
        <f t="shared" si="25"/>
        <v>83.996521544219092</v>
      </c>
      <c r="I129" s="29">
        <f t="shared" si="25"/>
        <v>84.553084139559033</v>
      </c>
      <c r="J129" s="29">
        <f t="shared" si="25"/>
        <v>86.295296789691179</v>
      </c>
      <c r="K129" s="29">
        <f t="shared" si="25"/>
        <v>88.042998764159549</v>
      </c>
      <c r="L129" s="30">
        <f t="shared" si="22"/>
        <v>663.7682201675168</v>
      </c>
      <c r="N129" s="53"/>
    </row>
    <row r="130" spans="1:14">
      <c r="C130" s="19" t="s">
        <v>78</v>
      </c>
      <c r="D130" s="31">
        <f>SUM(D128:D129)</f>
        <v>118.3341320042382</v>
      </c>
      <c r="E130" s="31">
        <f t="shared" ref="E130:K130" si="26">SUM(E128:E129)</f>
        <v>111.68564073443892</v>
      </c>
      <c r="F130" s="31">
        <f t="shared" si="26"/>
        <v>114.27541365339827</v>
      </c>
      <c r="G130" s="31">
        <f t="shared" si="26"/>
        <v>111.75784242896974</v>
      </c>
      <c r="H130" s="31">
        <f t="shared" si="26"/>
        <v>114.66862356740242</v>
      </c>
      <c r="I130" s="31">
        <f t="shared" si="26"/>
        <v>105.99198209759525</v>
      </c>
      <c r="J130" s="31">
        <f t="shared" si="26"/>
        <v>112.78310721798388</v>
      </c>
      <c r="K130" s="31">
        <f t="shared" si="26"/>
        <v>114.46982293062123</v>
      </c>
      <c r="L130" s="28">
        <f t="shared" si="22"/>
        <v>903.96656463464797</v>
      </c>
    </row>
    <row r="131" spans="1:14">
      <c r="C131" s="20"/>
      <c r="D131" s="32"/>
      <c r="E131" s="32"/>
      <c r="F131" s="32"/>
      <c r="G131" s="32"/>
      <c r="H131" s="32"/>
      <c r="I131" s="32"/>
      <c r="J131" s="32"/>
      <c r="K131" s="32"/>
      <c r="L131" s="33"/>
    </row>
    <row r="132" spans="1:14">
      <c r="C132" s="17" t="s">
        <v>79</v>
      </c>
      <c r="D132" s="27">
        <f>'ET workings 16-17'!D175</f>
        <v>85.318909175055737</v>
      </c>
      <c r="E132" s="27">
        <f>'ET workings 16-17'!E175</f>
        <v>80.52534696953046</v>
      </c>
      <c r="F132" s="27">
        <f>'ET workings 16-17'!F175</f>
        <v>82.392573244100149</v>
      </c>
      <c r="G132" s="27">
        <f>'ET workings 16-17'!G175</f>
        <v>80.577404391287175</v>
      </c>
      <c r="H132" s="27">
        <f>'ET workings 16-17'!H175</f>
        <v>82.676077592097144</v>
      </c>
      <c r="I132" s="27">
        <f>'ET workings 16-17'!I175</f>
        <v>76.420219092366168</v>
      </c>
      <c r="J132" s="27">
        <f>'ET workings 16-17'!J175</f>
        <v>81.316620304166364</v>
      </c>
      <c r="K132" s="27">
        <f>'ET workings 16-17'!K175</f>
        <v>82.532742332977904</v>
      </c>
      <c r="L132" s="28">
        <f t="shared" ref="L132:L134" si="27">SUM(D132:K132)</f>
        <v>651.75989310158116</v>
      </c>
    </row>
    <row r="133" spans="1:14">
      <c r="C133" s="18" t="s">
        <v>80</v>
      </c>
      <c r="D133" s="29">
        <f>'ET workings 16-17'!D174</f>
        <v>33.015222829182463</v>
      </c>
      <c r="E133" s="29">
        <f>'ET workings 16-17'!E174</f>
        <v>31.160293764908463</v>
      </c>
      <c r="F133" s="29">
        <f>'ET workings 16-17'!F174</f>
        <v>31.882840409298122</v>
      </c>
      <c r="G133" s="29">
        <f>'ET workings 16-17'!G174</f>
        <v>31.18043803768256</v>
      </c>
      <c r="H133" s="29">
        <f>'ET workings 16-17'!H174</f>
        <v>31.99254597530528</v>
      </c>
      <c r="I133" s="29">
        <f>'ET workings 16-17'!I174</f>
        <v>29.571763005229077</v>
      </c>
      <c r="J133" s="29">
        <f>'ET workings 16-17'!J174</f>
        <v>31.466486913817501</v>
      </c>
      <c r="K133" s="29">
        <f>'ET workings 16-17'!K174</f>
        <v>31.937080597643327</v>
      </c>
      <c r="L133" s="30">
        <f t="shared" si="27"/>
        <v>252.20667153306681</v>
      </c>
    </row>
    <row r="134" spans="1:14" ht="13.8" thickBot="1">
      <c r="C134" s="21" t="s">
        <v>390</v>
      </c>
      <c r="D134" s="34">
        <f t="shared" ref="D134:K134" si="28">SUM(D132:D133)</f>
        <v>118.3341320042382</v>
      </c>
      <c r="E134" s="34">
        <f t="shared" si="28"/>
        <v>111.68564073443892</v>
      </c>
      <c r="F134" s="34">
        <f t="shared" si="28"/>
        <v>114.27541365339827</v>
      </c>
      <c r="G134" s="34">
        <f t="shared" si="28"/>
        <v>111.75784242896974</v>
      </c>
      <c r="H134" s="34">
        <f t="shared" si="28"/>
        <v>114.66862356740242</v>
      </c>
      <c r="I134" s="34">
        <f t="shared" si="28"/>
        <v>105.99198209759524</v>
      </c>
      <c r="J134" s="34">
        <f t="shared" si="28"/>
        <v>112.78310721798387</v>
      </c>
      <c r="K134" s="34">
        <f t="shared" si="28"/>
        <v>114.46982293062123</v>
      </c>
      <c r="L134" s="35">
        <f t="shared" si="27"/>
        <v>903.96656463464797</v>
      </c>
    </row>
    <row r="136" spans="1:14" ht="13.8" thickBot="1">
      <c r="A136" s="38" t="s">
        <v>375</v>
      </c>
    </row>
    <row r="137" spans="1:14" ht="13.8" thickBot="1">
      <c r="C137" s="7" t="s">
        <v>58</v>
      </c>
      <c r="D137" s="8" t="s">
        <v>59</v>
      </c>
      <c r="E137" s="8" t="s">
        <v>60</v>
      </c>
      <c r="F137" s="8" t="s">
        <v>61</v>
      </c>
      <c r="G137" s="8" t="s">
        <v>62</v>
      </c>
      <c r="H137" s="8" t="s">
        <v>63</v>
      </c>
      <c r="I137" s="8" t="s">
        <v>64</v>
      </c>
      <c r="J137" s="8" t="s">
        <v>65</v>
      </c>
      <c r="K137" s="8" t="s">
        <v>66</v>
      </c>
    </row>
    <row r="138" spans="1:14">
      <c r="C138" s="22" t="s">
        <v>79</v>
      </c>
      <c r="D138" s="41">
        <f>'ET workings 16-17'!D203</f>
        <v>85.318909175055737</v>
      </c>
      <c r="E138" s="41">
        <f>'ET workings 16-17'!E203</f>
        <v>80.52534696953046</v>
      </c>
      <c r="F138" s="41">
        <f>'ET workings 16-17'!F203</f>
        <v>82.392573244100149</v>
      </c>
      <c r="G138" s="41">
        <f>'ET workings 16-17'!G203</f>
        <v>80.577404391287175</v>
      </c>
      <c r="H138" s="41">
        <f>'ET workings 16-17'!H203</f>
        <v>82.676077592097144</v>
      </c>
      <c r="I138" s="41">
        <f>'ET workings 16-17'!I203</f>
        <v>76.420219092366168</v>
      </c>
      <c r="J138" s="41">
        <f>'ET workings 16-17'!J203</f>
        <v>81.316620304166364</v>
      </c>
      <c r="K138" s="41">
        <f>'ET workings 16-17'!K203</f>
        <v>82.532742332977904</v>
      </c>
      <c r="L138" s="28"/>
    </row>
    <row r="139" spans="1:14">
      <c r="C139" s="10" t="s">
        <v>98</v>
      </c>
      <c r="D139" s="42">
        <f>'ET workings 16-17'!D204</f>
        <v>0</v>
      </c>
      <c r="E139" s="42">
        <f>'ET workings 16-17'!E204</f>
        <v>0</v>
      </c>
      <c r="F139" s="42">
        <f>'ET workings 16-17'!F204</f>
        <v>0</v>
      </c>
      <c r="G139" s="42">
        <f>'ET workings 16-17'!G204</f>
        <v>0</v>
      </c>
      <c r="H139" s="42">
        <f>'ET workings 16-17'!H204</f>
        <v>0</v>
      </c>
      <c r="I139" s="42">
        <f>'ET workings 16-17'!I204</f>
        <v>0</v>
      </c>
      <c r="J139" s="42">
        <f>'ET workings 16-17'!J204</f>
        <v>0</v>
      </c>
      <c r="K139" s="42">
        <f>'ET workings 16-17'!K204</f>
        <v>0</v>
      </c>
      <c r="L139" s="28"/>
    </row>
    <row r="140" spans="1:14">
      <c r="C140" s="11" t="s">
        <v>99</v>
      </c>
      <c r="D140" s="43">
        <f>'ET workings 16-17'!D251</f>
        <v>10.271521977223172</v>
      </c>
      <c r="E140" s="43">
        <f>'ET workings 16-17'!E251</f>
        <v>10.214748985437437</v>
      </c>
      <c r="F140" s="43">
        <f>'ET workings 16-17'!F251</f>
        <v>11.357789408220997</v>
      </c>
      <c r="G140" s="43">
        <f>'ET workings 16-17'!G251</f>
        <v>11.50271907609619</v>
      </c>
      <c r="H140" s="43">
        <f>'ET workings 16-17'!H251</f>
        <v>11.449548370329145</v>
      </c>
      <c r="I140" s="43">
        <f>'ET workings 16-17'!I251</f>
        <v>11.498357607122271</v>
      </c>
      <c r="J140" s="43">
        <f>'ET workings 16-17'!J251</f>
        <v>11.649230498447009</v>
      </c>
      <c r="K140" s="43">
        <f>'ET workings 16-17'!K251</f>
        <v>11.602254295616957</v>
      </c>
      <c r="L140" s="28"/>
    </row>
    <row r="141" spans="1:14">
      <c r="C141" s="10" t="s">
        <v>100</v>
      </c>
      <c r="D141" s="42">
        <f>'ET workings 16-17'!D207</f>
        <v>0</v>
      </c>
      <c r="E141" s="42">
        <f>'ET workings 16-17'!E207</f>
        <v>0</v>
      </c>
      <c r="F141" s="42">
        <f>'ET workings 16-17'!F207</f>
        <v>0</v>
      </c>
      <c r="G141" s="42">
        <f>'ET workings 16-17'!G207</f>
        <v>0</v>
      </c>
      <c r="H141" s="42">
        <f>'ET workings 16-17'!H207</f>
        <v>0</v>
      </c>
      <c r="I141" s="42">
        <f>'ET workings 16-17'!I207</f>
        <v>0</v>
      </c>
      <c r="J141" s="42">
        <f>'ET workings 16-17'!J207</f>
        <v>0</v>
      </c>
      <c r="K141" s="42">
        <f>'ET workings 16-17'!K207</f>
        <v>0</v>
      </c>
      <c r="L141" s="28"/>
    </row>
    <row r="142" spans="1:14">
      <c r="C142" s="11" t="s">
        <v>101</v>
      </c>
      <c r="D142" s="43">
        <f>'ET workings 16-17'!D208</f>
        <v>0.93219394583370041</v>
      </c>
      <c r="E142" s="43">
        <f>'ET workings 16-17'!E208</f>
        <v>0.89969793099769935</v>
      </c>
      <c r="F142" s="43">
        <f>'ET workings 16-17'!F208</f>
        <v>0.87783267686821986</v>
      </c>
      <c r="G142" s="43">
        <f>'ET workings 16-17'!G208</f>
        <v>0.87232109317784745</v>
      </c>
      <c r="H142" s="43">
        <f>'ET workings 16-17'!H208</f>
        <v>0.89875958568159287</v>
      </c>
      <c r="I142" s="43">
        <f>'ET workings 16-17'!I208</f>
        <v>0.82801710222961211</v>
      </c>
      <c r="J142" s="43">
        <f>'ET workings 16-17'!J208</f>
        <v>0.88417658562860901</v>
      </c>
      <c r="K142" s="43">
        <f>'ET workings 16-17'!K208</f>
        <v>0.89982415652833225</v>
      </c>
      <c r="L142" s="28"/>
    </row>
    <row r="143" spans="1:14">
      <c r="C143" s="10" t="s">
        <v>102</v>
      </c>
      <c r="D143" s="42">
        <f>'ET workings 16-17'!D210</f>
        <v>1.8203980714592094</v>
      </c>
      <c r="E143" s="42">
        <f>'ET workings 16-17'!E210</f>
        <v>1.2242602279928407</v>
      </c>
      <c r="F143" s="42">
        <f>'ET workings 16-17'!F210</f>
        <v>0.39572943295016616</v>
      </c>
      <c r="G143" s="42">
        <f>'ET workings 16-17'!G210</f>
        <v>0.35480994873238869</v>
      </c>
      <c r="H143" s="42">
        <f>'ET workings 16-17'!H210</f>
        <v>1.2512108093963641</v>
      </c>
      <c r="I143" s="42">
        <f>'ET workings 16-17'!I210</f>
        <v>0.16742229699703778</v>
      </c>
      <c r="J143" s="42">
        <f>'ET workings 16-17'!J210</f>
        <v>1.2988688743192023</v>
      </c>
      <c r="K143" s="42">
        <f>'ET workings 16-17'!K210</f>
        <v>1.2132566349487963</v>
      </c>
      <c r="L143" s="28"/>
    </row>
    <row r="144" spans="1:14">
      <c r="C144" s="11" t="s">
        <v>103</v>
      </c>
      <c r="D144" s="43">
        <f>'ET workings 16-17'!D205+'ET workings 16-17'!D206</f>
        <v>19.389543857811148</v>
      </c>
      <c r="E144" s="43">
        <f>'ET workings 16-17'!E205+'ET workings 16-17'!E206</f>
        <v>23.670212149835621</v>
      </c>
      <c r="F144" s="43">
        <f>'ET workings 16-17'!F205+'ET workings 16-17'!F206</f>
        <v>27.072636927708253</v>
      </c>
      <c r="G144" s="43">
        <f>'ET workings 16-17'!G205+'ET workings 16-17'!G206</f>
        <v>30.014214492258663</v>
      </c>
      <c r="H144" s="43">
        <f>'ET workings 16-17'!H205+'ET workings 16-17'!H206</f>
        <v>33.210815435292062</v>
      </c>
      <c r="I144" s="43">
        <f>'ET workings 16-17'!I205+'ET workings 16-17'!I206</f>
        <v>35.34434429046695</v>
      </c>
      <c r="J144" s="43">
        <f>'ET workings 16-17'!J205+'ET workings 16-17'!J206</f>
        <v>36.707574295805628</v>
      </c>
      <c r="K144" s="43">
        <f>'ET workings 16-17'!K205+'ET workings 16-17'!K206</f>
        <v>37.072189736632083</v>
      </c>
      <c r="L144" s="28"/>
    </row>
    <row r="145" spans="3:12">
      <c r="C145" s="11" t="s">
        <v>169</v>
      </c>
      <c r="D145" s="43">
        <f>'ET workings 16-17'!D253</f>
        <v>1.9673768800481106</v>
      </c>
      <c r="E145" s="43">
        <f>'ET workings 16-17'!E253</f>
        <v>2.0545710233718428</v>
      </c>
      <c r="F145" s="43">
        <f>'ET workings 16-17'!F253</f>
        <v>2.1435339486838436</v>
      </c>
      <c r="G145" s="43">
        <f>'ET workings 16-17'!G253</f>
        <v>2.2341625640341967</v>
      </c>
      <c r="H145" s="43">
        <f>'ET workings 16-17'!H253</f>
        <v>2.3286229572415627</v>
      </c>
      <c r="I145" s="43">
        <f>'ET workings 16-17'!I253</f>
        <v>2.427077135873736</v>
      </c>
      <c r="J145" s="43">
        <f>'ET workings 16-17'!J253</f>
        <v>2.5296939571784778</v>
      </c>
      <c r="K145" s="43">
        <f>'ET workings 16-17'!K253</f>
        <v>2.636649417687984</v>
      </c>
      <c r="L145" s="28"/>
    </row>
    <row r="146" spans="3:12" ht="13.8" thickBot="1">
      <c r="C146" s="13" t="s">
        <v>107</v>
      </c>
      <c r="D146" s="52">
        <f>SUM(D138:D145)</f>
        <v>119.69994390743108</v>
      </c>
      <c r="E146" s="52">
        <f t="shared" ref="E146:K146" si="29">SUM(E138:E145)</f>
        <v>118.58883728716592</v>
      </c>
      <c r="F146" s="52">
        <f t="shared" si="29"/>
        <v>124.24009563853163</v>
      </c>
      <c r="G146" s="52">
        <f t="shared" si="29"/>
        <v>125.55563156558645</v>
      </c>
      <c r="H146" s="52">
        <f t="shared" si="29"/>
        <v>131.81503475003785</v>
      </c>
      <c r="I146" s="52">
        <f t="shared" si="29"/>
        <v>126.68543752505576</v>
      </c>
      <c r="J146" s="52">
        <f t="shared" si="29"/>
        <v>134.38616451554529</v>
      </c>
      <c r="K146" s="52">
        <f t="shared" si="29"/>
        <v>135.95691657439204</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249977111117893"/>
  </sheetPr>
  <dimension ref="A1:Y257"/>
  <sheetViews>
    <sheetView zoomScale="70" zoomScaleNormal="70" workbookViewId="0">
      <pane xSplit="2" ySplit="4" topLeftCell="C5" activePane="bottomRight" state="frozen"/>
      <selection pane="topRight" activeCell="H35" sqref="H35"/>
      <selection pane="bottomLeft" activeCell="H35" sqref="H35"/>
      <selection pane="bottomRight" activeCell="H7" sqref="H7"/>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1:22">
      <c r="M1" t="s">
        <v>196</v>
      </c>
      <c r="N1" s="55">
        <f>RPI!E2</f>
        <v>1.167</v>
      </c>
      <c r="O1" s="55">
        <f>RPI!F2</f>
        <v>1.19</v>
      </c>
      <c r="P1" s="55">
        <f>RPI!G2</f>
        <v>1.202</v>
      </c>
      <c r="Q1" s="55">
        <f>RPI!H2</f>
        <v>1.228</v>
      </c>
      <c r="R1" s="55">
        <f>RPI!I2</f>
        <v>1.274</v>
      </c>
      <c r="S1" s="55">
        <f>RPI!J2</f>
        <v>1.3129999999999999</v>
      </c>
      <c r="T1" s="55">
        <f>RPI!K2</f>
        <v>1.349</v>
      </c>
      <c r="U1" s="55">
        <f>RPI!L2</f>
        <v>1.3879999999999999</v>
      </c>
    </row>
    <row r="2" spans="1: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1:22" ht="13.8" thickBot="1">
      <c r="M3" t="s">
        <v>198</v>
      </c>
      <c r="N3" s="55">
        <f>RPI!E4</f>
        <v>1.1495010041711728</v>
      </c>
      <c r="O3" s="55"/>
      <c r="P3" s="55"/>
      <c r="Q3" s="55"/>
      <c r="R3" s="55"/>
      <c r="S3" s="55"/>
      <c r="T3" s="55"/>
      <c r="U3" s="55"/>
    </row>
    <row r="4" spans="1: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5" spans="1:22">
      <c r="A5" t="s">
        <v>338</v>
      </c>
    </row>
    <row r="6" spans="1:22">
      <c r="B6" s="38" t="s">
        <v>339</v>
      </c>
    </row>
    <row r="7" spans="1:22">
      <c r="B7" t="s">
        <v>204</v>
      </c>
      <c r="D7" s="187">
        <v>73.775027711210655</v>
      </c>
      <c r="E7" s="187">
        <v>74.857370793520886</v>
      </c>
      <c r="F7" s="187">
        <v>77.005994132717234</v>
      </c>
      <c r="G7" s="187">
        <v>78.582137772280092</v>
      </c>
      <c r="H7" s="187">
        <v>79.36050736397776</v>
      </c>
      <c r="I7" s="187">
        <v>79.998881974263142</v>
      </c>
      <c r="J7" s="187">
        <v>81.754729960219521</v>
      </c>
      <c r="K7" s="187">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110.28713071633614</v>
      </c>
      <c r="U7" s="53">
        <f t="shared" si="0"/>
        <v>116.13794860189735</v>
      </c>
      <c r="V7" s="53">
        <f>SUM(N7:U7)</f>
        <v>796.80469644730749</v>
      </c>
    </row>
    <row r="8" spans="1:22">
      <c r="B8" t="s">
        <v>206</v>
      </c>
      <c r="D8" s="187">
        <v>39.230261993822481</v>
      </c>
      <c r="E8" s="187">
        <v>34.208586772300464</v>
      </c>
      <c r="F8" s="187">
        <v>29.40934615713995</v>
      </c>
      <c r="G8" s="187">
        <v>27.165060319864111</v>
      </c>
      <c r="H8" s="187">
        <v>29.591699211758403</v>
      </c>
      <c r="I8" s="187">
        <v>20.377561078577621</v>
      </c>
      <c r="J8" s="187">
        <v>25.429651204161818</v>
      </c>
      <c r="K8" s="187">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34.304599474414289</v>
      </c>
      <c r="U8" s="53">
        <f t="shared" si="0"/>
        <v>35.266839259891107</v>
      </c>
      <c r="V8" s="53">
        <f>SUM(N8:U8)</f>
        <v>289.22566338576178</v>
      </c>
    </row>
    <row r="9" spans="1:22">
      <c r="B9" s="38" t="s">
        <v>207</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144.59173019075041</v>
      </c>
      <c r="U9" s="57">
        <f t="shared" si="3"/>
        <v>151.40478786178846</v>
      </c>
      <c r="V9" s="57">
        <f t="shared" si="3"/>
        <v>1086.0303598330693</v>
      </c>
    </row>
    <row r="10" spans="1:22">
      <c r="D10" s="53"/>
      <c r="E10" s="53"/>
      <c r="F10" s="53"/>
      <c r="G10" s="53"/>
      <c r="H10" s="53"/>
      <c r="I10" s="53"/>
      <c r="J10" s="53"/>
      <c r="K10" s="53"/>
      <c r="N10" s="53"/>
      <c r="O10" s="53"/>
      <c r="P10" s="53"/>
      <c r="Q10" s="53"/>
      <c r="R10" s="53"/>
      <c r="S10" s="53"/>
      <c r="T10" s="53"/>
      <c r="U10" s="53"/>
      <c r="V10" s="53"/>
    </row>
    <row r="11" spans="1:22">
      <c r="B11" s="38" t="s">
        <v>340</v>
      </c>
      <c r="D11" s="53"/>
      <c r="E11" s="53"/>
      <c r="F11" s="53"/>
      <c r="G11" s="53"/>
      <c r="H11" s="53"/>
      <c r="I11" s="53"/>
      <c r="J11" s="53"/>
      <c r="K11" s="53"/>
      <c r="N11" s="53"/>
      <c r="O11" s="53"/>
      <c r="P11" s="53"/>
      <c r="Q11" s="53"/>
      <c r="R11" s="53"/>
      <c r="S11" s="53"/>
      <c r="T11" s="53"/>
      <c r="U11" s="53"/>
      <c r="V11" s="53"/>
    </row>
    <row r="12" spans="1:22">
      <c r="B12" t="s">
        <v>210</v>
      </c>
      <c r="D12" s="221">
        <v>12.6</v>
      </c>
      <c r="E12" s="221">
        <v>0.53225726739315926</v>
      </c>
      <c r="F12" s="221">
        <v>1.4855538657092655</v>
      </c>
      <c r="G12" s="221">
        <v>1.1360117796600266</v>
      </c>
      <c r="H12" s="221">
        <v>1.0804028114249202</v>
      </c>
      <c r="I12" s="221">
        <v>1.061336879458598</v>
      </c>
      <c r="J12" s="221">
        <v>1.0581592241308779</v>
      </c>
      <c r="K12" s="221">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1.3935353227291392</v>
      </c>
      <c r="T12" s="53">
        <f t="shared" si="4"/>
        <v>1.4274567933525544</v>
      </c>
      <c r="U12" s="53">
        <f t="shared" si="4"/>
        <v>1.4135926831577101</v>
      </c>
      <c r="V12" s="53">
        <f>SUM(N12:U12)</f>
        <v>24.129262341197663</v>
      </c>
    </row>
    <row r="13" spans="1:22">
      <c r="B13" t="s">
        <v>212</v>
      </c>
      <c r="D13" s="221">
        <v>0</v>
      </c>
      <c r="E13" s="221">
        <v>2.2839187505600642</v>
      </c>
      <c r="F13" s="221">
        <v>6.3745194978318223</v>
      </c>
      <c r="G13" s="221">
        <v>4.8746325571655111</v>
      </c>
      <c r="H13" s="221">
        <v>4.6360141802413253</v>
      </c>
      <c r="I13" s="221">
        <v>4.5542021652958891</v>
      </c>
      <c r="J13" s="221">
        <v>4.5405668294716515</v>
      </c>
      <c r="K13" s="221">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5.9796674430335024</v>
      </c>
      <c r="T13" s="53">
        <f t="shared" si="4"/>
        <v>6.1252246529572574</v>
      </c>
      <c r="U13" s="53">
        <f t="shared" si="4"/>
        <v>6.0657336827561021</v>
      </c>
      <c r="V13" s="53">
        <f>SUM(N13:U13)</f>
        <v>40.442992374133887</v>
      </c>
    </row>
    <row r="14" spans="1:22">
      <c r="B14" s="38" t="s">
        <v>341</v>
      </c>
      <c r="N14" s="53"/>
      <c r="O14" s="53"/>
      <c r="P14" s="53"/>
      <c r="Q14" s="53"/>
      <c r="R14" s="53"/>
      <c r="S14" s="53"/>
      <c r="T14" s="53"/>
      <c r="U14" s="53"/>
      <c r="V14" s="53"/>
    </row>
    <row r="15" spans="1:22">
      <c r="B15" t="s">
        <v>342</v>
      </c>
      <c r="D15" s="187">
        <v>241.91835100747039</v>
      </c>
      <c r="E15" s="187">
        <v>206.22285805015076</v>
      </c>
      <c r="F15" s="187">
        <v>183.4765697039528</v>
      </c>
      <c r="G15" s="187">
        <v>187.40173539185469</v>
      </c>
      <c r="H15" s="187">
        <v>142.92705896695065</v>
      </c>
      <c r="I15" s="187">
        <v>124.46128971626086</v>
      </c>
      <c r="J15" s="187">
        <v>44.072350609794569</v>
      </c>
      <c r="K15" s="187">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59.453600972612875</v>
      </c>
      <c r="U15" s="53">
        <f t="shared" si="6"/>
        <v>39.396365513873704</v>
      </c>
      <c r="V15" s="53">
        <f t="shared" ref="V15:V17" si="7">SUM(N15:U15)</f>
        <v>1422.7487975585782</v>
      </c>
    </row>
    <row r="16" spans="1:22">
      <c r="B16" t="s">
        <v>343</v>
      </c>
      <c r="D16" s="187">
        <v>506.11836500601339</v>
      </c>
      <c r="E16" s="187">
        <v>499.20409814951984</v>
      </c>
      <c r="F16" s="187">
        <v>485.07329761796098</v>
      </c>
      <c r="G16" s="187">
        <v>489.14143160750723</v>
      </c>
      <c r="H16" s="187">
        <v>622.61892466629627</v>
      </c>
      <c r="I16" s="187">
        <v>715.79753719305393</v>
      </c>
      <c r="J16" s="187">
        <v>784.25081046797004</v>
      </c>
      <c r="K16" s="187">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1057.9543433212916</v>
      </c>
      <c r="U16" s="53">
        <f t="shared" si="6"/>
        <v>977.44766614644607</v>
      </c>
      <c r="V16" s="53">
        <f t="shared" ref="V16" si="8">SUM(N16:U16)</f>
        <v>6136.8774763378324</v>
      </c>
    </row>
    <row r="17" spans="1:22">
      <c r="B17" t="s">
        <v>204</v>
      </c>
      <c r="D17" s="187">
        <v>192.21282629439594</v>
      </c>
      <c r="E17" s="187">
        <v>196.41204072355288</v>
      </c>
      <c r="F17" s="187">
        <v>203.04710659109347</v>
      </c>
      <c r="G17" s="187">
        <v>204.35171680440774</v>
      </c>
      <c r="H17" s="187">
        <v>205.72203973741003</v>
      </c>
      <c r="I17" s="187">
        <v>206.0644404839947</v>
      </c>
      <c r="J17" s="187">
        <v>207.83890997781467</v>
      </c>
      <c r="K17" s="187">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280.374689560072</v>
      </c>
      <c r="U17" s="53">
        <f t="shared" si="6"/>
        <v>288.98722875141522</v>
      </c>
      <c r="V17" s="53">
        <f t="shared" si="7"/>
        <v>2055.0636343973279</v>
      </c>
    </row>
    <row r="18" spans="1:22">
      <c r="N18" s="53"/>
      <c r="O18" s="53"/>
      <c r="P18" s="53"/>
      <c r="Q18" s="53"/>
      <c r="R18" s="53"/>
      <c r="S18" s="53"/>
      <c r="T18" s="53"/>
      <c r="U18" s="53"/>
      <c r="V18" s="53"/>
    </row>
    <row r="19" spans="1:22">
      <c r="B19" s="38" t="s">
        <v>344</v>
      </c>
      <c r="N19" s="53"/>
      <c r="O19" s="53"/>
      <c r="P19" s="53"/>
      <c r="Q19" s="53"/>
      <c r="R19" s="53"/>
      <c r="S19" s="53"/>
      <c r="T19" s="53"/>
      <c r="U19" s="53"/>
      <c r="V19" s="53"/>
    </row>
    <row r="20" spans="1:22">
      <c r="B20" t="s">
        <v>206</v>
      </c>
      <c r="D20" s="187">
        <v>802.5128776562899</v>
      </c>
      <c r="E20" s="187">
        <v>786.89137240223897</v>
      </c>
      <c r="F20" s="187">
        <v>698.14259455479441</v>
      </c>
      <c r="G20" s="187">
        <v>581.36779364217136</v>
      </c>
      <c r="H20" s="187">
        <v>316.78762224396468</v>
      </c>
      <c r="I20" s="187">
        <v>227.12358350445467</v>
      </c>
      <c r="J20" s="187">
        <v>94.019391932813818</v>
      </c>
      <c r="K20" s="187">
        <v>31.958053494134088</v>
      </c>
      <c r="L20" s="53">
        <f t="shared" ref="L20:L21" si="9">SUM(D20:K20)</f>
        <v>3538.8032894308617</v>
      </c>
      <c r="N20" s="53">
        <f>D20*N$1</f>
        <v>936.53252822489037</v>
      </c>
      <c r="O20" s="53">
        <f t="shared" ref="O20:U21" si="10">E20*O$1</f>
        <v>936.40073315866437</v>
      </c>
      <c r="P20" s="53">
        <f t="shared" si="10"/>
        <v>839.16739865486284</v>
      </c>
      <c r="Q20" s="53">
        <f t="shared" si="10"/>
        <v>713.91965059258644</v>
      </c>
      <c r="R20" s="53">
        <f t="shared" si="10"/>
        <v>403.58743073881101</v>
      </c>
      <c r="S20" s="53">
        <f t="shared" si="10"/>
        <v>298.21326514134898</v>
      </c>
      <c r="T20" s="53">
        <f t="shared" si="10"/>
        <v>126.83215971736584</v>
      </c>
      <c r="U20" s="53">
        <f t="shared" si="10"/>
        <v>44.357778249858114</v>
      </c>
      <c r="V20" s="53">
        <f t="shared" ref="V20:V21" si="11">SUM(N20:U20)</f>
        <v>4299.0109444783875</v>
      </c>
    </row>
    <row r="21" spans="1:22">
      <c r="B21" t="s">
        <v>204</v>
      </c>
      <c r="D21" s="187">
        <v>1.0854967381420191</v>
      </c>
      <c r="E21" s="187">
        <v>3.1874299535058723</v>
      </c>
      <c r="F21" s="187">
        <v>8.7933031383547409</v>
      </c>
      <c r="G21" s="187">
        <v>14.449105184117492</v>
      </c>
      <c r="H21" s="187">
        <v>44.98161721307374</v>
      </c>
      <c r="I21" s="187">
        <v>56.115444380322963</v>
      </c>
      <c r="J21" s="187">
        <v>33.694808241742152</v>
      </c>
      <c r="K21" s="187">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73.679578471364053</v>
      </c>
      <c r="T21" s="53">
        <f t="shared" si="10"/>
        <v>45.45429631811016</v>
      </c>
      <c r="U21" s="53">
        <f t="shared" si="10"/>
        <v>7.157267922661835</v>
      </c>
      <c r="V21" s="53">
        <f t="shared" si="11"/>
        <v>216.97059091807438</v>
      </c>
    </row>
    <row r="22" spans="1:22">
      <c r="N22" s="53"/>
      <c r="O22" s="53"/>
      <c r="P22" s="53"/>
      <c r="Q22" s="53"/>
      <c r="R22" s="53"/>
      <c r="S22" s="53"/>
      <c r="T22" s="53"/>
      <c r="U22" s="53"/>
      <c r="V22" s="53"/>
    </row>
    <row r="23" spans="1:22" ht="15.6">
      <c r="B23" s="59" t="s">
        <v>345</v>
      </c>
      <c r="C23" s="60"/>
      <c r="D23" s="61">
        <f>SUM(D15:D21)</f>
        <v>1743.8479167023115</v>
      </c>
      <c r="E23" s="61">
        <f t="shared" ref="E23:L23" si="12">SUM(E15:E21)</f>
        <v>1691.9177992789685</v>
      </c>
      <c r="F23" s="61">
        <f t="shared" si="12"/>
        <v>1578.5328716061565</v>
      </c>
      <c r="G23" s="61">
        <f t="shared" si="12"/>
        <v>1476.7117826300585</v>
      </c>
      <c r="H23" s="61">
        <f t="shared" si="12"/>
        <v>1333.0372628276955</v>
      </c>
      <c r="I23" s="61">
        <f t="shared" si="12"/>
        <v>1329.5622952780873</v>
      </c>
      <c r="J23" s="61">
        <f t="shared" si="12"/>
        <v>1163.876271230135</v>
      </c>
      <c r="K23" s="61">
        <f t="shared" si="12"/>
        <v>977.91520647280629</v>
      </c>
      <c r="L23" s="61">
        <f t="shared" si="12"/>
        <v>11295.401406026218</v>
      </c>
      <c r="N23" s="61">
        <f>SUM(N15:N21)</f>
        <v>2035.0705187915978</v>
      </c>
      <c r="O23" s="61">
        <f t="shared" ref="O23:V23" si="13">SUM(O15:O21)</f>
        <v>2013.3821811419721</v>
      </c>
      <c r="P23" s="61">
        <f t="shared" si="13"/>
        <v>1897.3965116706001</v>
      </c>
      <c r="Q23" s="61">
        <f t="shared" si="13"/>
        <v>1813.4020690697121</v>
      </c>
      <c r="R23" s="61">
        <f t="shared" si="13"/>
        <v>1698.289472842484</v>
      </c>
      <c r="S23" s="61">
        <f t="shared" si="13"/>
        <v>1745.7152937001283</v>
      </c>
      <c r="T23" s="61">
        <f t="shared" si="13"/>
        <v>1570.0690898894525</v>
      </c>
      <c r="U23" s="61">
        <f t="shared" si="13"/>
        <v>1357.3463065842548</v>
      </c>
      <c r="V23" s="61">
        <f t="shared" si="13"/>
        <v>14130.6714436902</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1">
        <v>94.24723304227993</v>
      </c>
      <c r="E26" s="191">
        <v>87.678224204681584</v>
      </c>
      <c r="F26" s="191">
        <v>87.676243763178761</v>
      </c>
      <c r="G26" s="191">
        <v>87.677481779017953</v>
      </c>
      <c r="H26" s="191">
        <v>87.676244486345595</v>
      </c>
      <c r="I26" s="191">
        <v>87.676244488148086</v>
      </c>
      <c r="J26" s="191">
        <v>87.676244492723825</v>
      </c>
      <c r="K26" s="191">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118.27525382068444</v>
      </c>
      <c r="U26" s="58">
        <f t="shared" si="15"/>
        <v>121.69462731362731</v>
      </c>
      <c r="V26" s="58">
        <f t="shared" ref="V26" si="16">SUM(N26:U26)</f>
        <v>894.16672601474102</v>
      </c>
    </row>
    <row r="27" spans="1:22">
      <c r="D27" s="191"/>
      <c r="E27" s="191"/>
      <c r="F27" s="191"/>
      <c r="G27" s="191"/>
      <c r="H27" s="191"/>
      <c r="I27" s="191"/>
      <c r="J27" s="191"/>
      <c r="K27" s="191"/>
      <c r="L27" s="58"/>
      <c r="N27" s="58"/>
      <c r="O27" s="58"/>
      <c r="P27" s="58"/>
      <c r="Q27" s="58"/>
      <c r="R27" s="58"/>
      <c r="S27" s="58"/>
      <c r="T27" s="58"/>
      <c r="U27" s="58"/>
      <c r="V27" s="58"/>
    </row>
    <row r="28" spans="1:22">
      <c r="A28" t="s">
        <v>346</v>
      </c>
      <c r="N28" s="53"/>
      <c r="O28" s="53"/>
      <c r="P28" s="53"/>
      <c r="Q28" s="53"/>
      <c r="R28" s="53"/>
      <c r="S28" s="53"/>
      <c r="T28" s="53"/>
      <c r="U28" s="53"/>
      <c r="V28" s="53"/>
    </row>
    <row r="29" spans="1:22">
      <c r="B29" s="38" t="s">
        <v>339</v>
      </c>
    </row>
    <row r="30" spans="1:22">
      <c r="B30" t="s">
        <v>204</v>
      </c>
      <c r="D30" s="223">
        <v>79.703447095651597</v>
      </c>
      <c r="E30" s="223">
        <v>77.100118727897851</v>
      </c>
      <c r="F30" s="223">
        <v>83.380513630549061</v>
      </c>
      <c r="G30" s="223">
        <v>83.456770329445604</v>
      </c>
      <c r="H30" s="223">
        <v>83.996521544219092</v>
      </c>
      <c r="I30" s="223">
        <v>84.553084139559033</v>
      </c>
      <c r="J30" s="223">
        <v>86.295296789691179</v>
      </c>
      <c r="K30" s="223">
        <v>88.042998764159549</v>
      </c>
      <c r="L30" s="53">
        <f>SUM(D30:K30)</f>
        <v>666.52875102117287</v>
      </c>
      <c r="N30" s="53">
        <f>D30*N$1</f>
        <v>93.01392276062542</v>
      </c>
      <c r="O30" s="53">
        <f t="shared" ref="O30:U31" si="17">E30*O$1</f>
        <v>91.749141286198437</v>
      </c>
      <c r="P30" s="53">
        <f t="shared" si="17"/>
        <v>100.22337738391997</v>
      </c>
      <c r="Q30" s="53">
        <f t="shared" si="17"/>
        <v>102.4849139645592</v>
      </c>
      <c r="R30" s="53">
        <f t="shared" si="17"/>
        <v>107.01156844733512</v>
      </c>
      <c r="S30" s="53">
        <f t="shared" si="17"/>
        <v>111.018199475241</v>
      </c>
      <c r="T30" s="53">
        <f t="shared" si="17"/>
        <v>116.41235536929339</v>
      </c>
      <c r="U30" s="53">
        <f t="shared" si="17"/>
        <v>122.20368228465344</v>
      </c>
      <c r="V30" s="53">
        <f>SUM(N30:U30)</f>
        <v>844.11716097182602</v>
      </c>
    </row>
    <row r="31" spans="1:22">
      <c r="B31" t="s">
        <v>206</v>
      </c>
      <c r="D31" s="223">
        <v>32.211091901803051</v>
      </c>
      <c r="E31" s="223">
        <v>34.412041499944401</v>
      </c>
      <c r="F31" s="223">
        <v>30.894900022849214</v>
      </c>
      <c r="G31" s="223">
        <v>28.301072099524138</v>
      </c>
      <c r="H31" s="223">
        <v>30.672102023183324</v>
      </c>
      <c r="I31" s="223">
        <v>21.438897958036218</v>
      </c>
      <c r="J31" s="223">
        <v>26.487810428292697</v>
      </c>
      <c r="K31" s="223">
        <v>26.426824166461682</v>
      </c>
      <c r="L31" s="53">
        <f>SUM(D31:K31)</f>
        <v>230.84474010009473</v>
      </c>
      <c r="N31" s="53">
        <f t="shared" ref="N31" si="18">D31*N$1</f>
        <v>37.590344249404161</v>
      </c>
      <c r="O31" s="53">
        <f t="shared" si="17"/>
        <v>40.950329384933838</v>
      </c>
      <c r="P31" s="53">
        <f t="shared" si="17"/>
        <v>37.135669827464753</v>
      </c>
      <c r="Q31" s="53">
        <f t="shared" si="17"/>
        <v>34.753716538215642</v>
      </c>
      <c r="R31" s="53">
        <f t="shared" si="17"/>
        <v>39.076257977535555</v>
      </c>
      <c r="S31" s="53">
        <f t="shared" si="17"/>
        <v>28.149273018901553</v>
      </c>
      <c r="T31" s="53">
        <f t="shared" si="17"/>
        <v>35.732056267766851</v>
      </c>
      <c r="U31" s="53">
        <f t="shared" si="17"/>
        <v>36.680431943048809</v>
      </c>
      <c r="V31" s="53">
        <f>SUM(N31:U31)</f>
        <v>290.06807920727113</v>
      </c>
    </row>
    <row r="32" spans="1:22">
      <c r="B32" s="38" t="s">
        <v>207</v>
      </c>
      <c r="D32" s="57">
        <f>SUM(D30:D31)</f>
        <v>111.91453899745466</v>
      </c>
      <c r="E32" s="57">
        <f t="shared" ref="E32:L32" si="19">SUM(E30:E31)</f>
        <v>111.51216022784226</v>
      </c>
      <c r="F32" s="57">
        <f t="shared" si="19"/>
        <v>114.27541365339827</v>
      </c>
      <c r="G32" s="57">
        <f t="shared" si="19"/>
        <v>111.75784242896974</v>
      </c>
      <c r="H32" s="57">
        <f t="shared" si="19"/>
        <v>114.66862356740242</v>
      </c>
      <c r="I32" s="57">
        <f t="shared" si="19"/>
        <v>105.99198209759525</v>
      </c>
      <c r="J32" s="57">
        <f t="shared" si="19"/>
        <v>112.78310721798388</v>
      </c>
      <c r="K32" s="57">
        <f t="shared" si="19"/>
        <v>114.46982293062123</v>
      </c>
      <c r="L32" s="57">
        <f t="shared" si="19"/>
        <v>897.37349112126753</v>
      </c>
      <c r="N32" s="57">
        <f>SUM(N30:N31)</f>
        <v>130.60426701002959</v>
      </c>
      <c r="O32" s="57">
        <f t="shared" ref="O32:V32" si="20">SUM(O30:O31)</f>
        <v>132.69947067113227</v>
      </c>
      <c r="P32" s="57">
        <f t="shared" si="20"/>
        <v>137.35904721138473</v>
      </c>
      <c r="Q32" s="57">
        <f t="shared" si="20"/>
        <v>137.23863050277484</v>
      </c>
      <c r="R32" s="57">
        <f t="shared" si="20"/>
        <v>146.08782642487068</v>
      </c>
      <c r="S32" s="57">
        <f t="shared" si="20"/>
        <v>139.16747249414254</v>
      </c>
      <c r="T32" s="57">
        <f t="shared" si="20"/>
        <v>152.14441163706024</v>
      </c>
      <c r="U32" s="57">
        <f t="shared" si="20"/>
        <v>158.88411422770224</v>
      </c>
      <c r="V32" s="57">
        <f t="shared" si="20"/>
        <v>1134.185240179097</v>
      </c>
    </row>
    <row r="33" spans="2:22">
      <c r="D33" s="53"/>
      <c r="E33" s="53"/>
      <c r="F33" s="53"/>
      <c r="G33" s="53"/>
      <c r="H33" s="53"/>
      <c r="I33" s="53"/>
      <c r="J33" s="53"/>
      <c r="K33" s="53"/>
      <c r="N33" s="53"/>
      <c r="O33" s="53"/>
      <c r="P33" s="53"/>
      <c r="Q33" s="53"/>
      <c r="R33" s="53"/>
      <c r="S33" s="53"/>
      <c r="T33" s="53"/>
      <c r="U33" s="53"/>
      <c r="V33" s="53"/>
    </row>
    <row r="34" spans="2:22">
      <c r="B34" s="38" t="s">
        <v>340</v>
      </c>
      <c r="D34" s="53"/>
      <c r="E34" s="53"/>
      <c r="F34" s="53"/>
      <c r="G34" s="53"/>
      <c r="H34" s="53"/>
      <c r="I34" s="53"/>
      <c r="J34" s="53"/>
      <c r="K34" s="53"/>
      <c r="N34" s="53"/>
      <c r="O34" s="53"/>
      <c r="P34" s="53"/>
      <c r="Q34" s="53"/>
      <c r="R34" s="53"/>
      <c r="S34" s="53"/>
      <c r="T34" s="53"/>
      <c r="U34" s="53"/>
      <c r="V34" s="53"/>
    </row>
    <row r="35" spans="2:22">
      <c r="B35" t="s">
        <v>210</v>
      </c>
      <c r="D35" s="222">
        <v>0</v>
      </c>
      <c r="E35" s="222">
        <v>0</v>
      </c>
      <c r="F35" s="222">
        <v>0</v>
      </c>
      <c r="G35" s="222">
        <v>0</v>
      </c>
      <c r="H35" s="222">
        <v>0</v>
      </c>
      <c r="I35" s="222">
        <v>0</v>
      </c>
      <c r="J35" s="222">
        <v>0</v>
      </c>
      <c r="K35" s="222">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212</v>
      </c>
      <c r="D36" s="222">
        <v>0</v>
      </c>
      <c r="E36" s="222">
        <v>0</v>
      </c>
      <c r="F36" s="222">
        <v>0</v>
      </c>
      <c r="G36" s="222">
        <v>0</v>
      </c>
      <c r="H36" s="222">
        <v>0</v>
      </c>
      <c r="I36" s="222">
        <v>0</v>
      </c>
      <c r="J36" s="222">
        <v>0</v>
      </c>
      <c r="K36" s="222">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c r="B37" s="38" t="s">
        <v>341</v>
      </c>
      <c r="N37" s="53"/>
      <c r="O37" s="53"/>
      <c r="P37" s="53"/>
      <c r="Q37" s="53"/>
      <c r="R37" s="53"/>
      <c r="S37" s="53"/>
      <c r="T37" s="53"/>
      <c r="U37" s="53"/>
      <c r="V37" s="53"/>
    </row>
    <row r="38" spans="2:22">
      <c r="B38" t="s">
        <v>342</v>
      </c>
      <c r="D38" s="223">
        <v>573.49599999999998</v>
      </c>
      <c r="E38" s="223">
        <v>439.79758515118812</v>
      </c>
      <c r="F38" s="223">
        <v>873.21256970395279</v>
      </c>
      <c r="G38" s="223">
        <v>744.20373539185471</v>
      </c>
      <c r="H38" s="223">
        <v>444.07605896695065</v>
      </c>
      <c r="I38" s="223">
        <v>332.05128971626084</v>
      </c>
      <c r="J38" s="223">
        <v>126.36535060979458</v>
      </c>
      <c r="K38" s="223">
        <v>58.547548641119384</v>
      </c>
      <c r="L38" s="53">
        <f t="shared" ref="L38:L40" si="22">SUM(D38:K38)</f>
        <v>3591.7501381811207</v>
      </c>
      <c r="N38" s="53">
        <f>D38*N$1</f>
        <v>669.26983199999995</v>
      </c>
      <c r="O38" s="53">
        <f t="shared" ref="O38:U40" si="23">E38*O$1</f>
        <v>523.35912632991381</v>
      </c>
      <c r="P38" s="53">
        <f t="shared" si="23"/>
        <v>1049.6015087841513</v>
      </c>
      <c r="Q38" s="53">
        <f t="shared" si="23"/>
        <v>913.88218706119756</v>
      </c>
      <c r="R38" s="53">
        <f t="shared" si="23"/>
        <v>565.75289912389519</v>
      </c>
      <c r="S38" s="53">
        <f t="shared" si="23"/>
        <v>435.98334339745048</v>
      </c>
      <c r="T38" s="53">
        <f t="shared" si="23"/>
        <v>170.46685797261287</v>
      </c>
      <c r="U38" s="53">
        <f t="shared" si="23"/>
        <v>81.263997513873704</v>
      </c>
      <c r="V38" s="53">
        <f t="shared" ref="V38" si="24">SUM(N38:U38)</f>
        <v>4409.5797521830955</v>
      </c>
    </row>
    <row r="39" spans="2:22">
      <c r="B39" t="s">
        <v>343</v>
      </c>
      <c r="D39" s="223">
        <v>425.47599999999994</v>
      </c>
      <c r="E39" s="223">
        <v>239.12088186272891</v>
      </c>
      <c r="F39" s="223">
        <v>493.4798921727554</v>
      </c>
      <c r="G39" s="223">
        <v>513.70722524967857</v>
      </c>
      <c r="H39" s="223">
        <v>638.257546910261</v>
      </c>
      <c r="I39" s="223">
        <v>735.3311206975086</v>
      </c>
      <c r="J39" s="223">
        <v>795.97720240078388</v>
      </c>
      <c r="K39" s="223">
        <v>706.00706944978697</v>
      </c>
      <c r="L39" s="53">
        <f t="shared" si="22"/>
        <v>4547.3569387435027</v>
      </c>
      <c r="N39" s="53">
        <f>D39*N$1</f>
        <v>496.53049199999992</v>
      </c>
      <c r="O39" s="53">
        <f t="shared" si="23"/>
        <v>284.55384941664738</v>
      </c>
      <c r="P39" s="53">
        <f t="shared" si="23"/>
        <v>593.16283039165194</v>
      </c>
      <c r="Q39" s="53">
        <f t="shared" si="23"/>
        <v>630.83247260660528</v>
      </c>
      <c r="R39" s="53">
        <f t="shared" si="23"/>
        <v>813.1401147636725</v>
      </c>
      <c r="S39" s="53">
        <f t="shared" si="23"/>
        <v>965.4897614758288</v>
      </c>
      <c r="T39" s="53">
        <f t="shared" si="23"/>
        <v>1073.7732460386574</v>
      </c>
      <c r="U39" s="53">
        <f t="shared" si="23"/>
        <v>979.93781239630425</v>
      </c>
      <c r="V39" s="53">
        <f t="shared" ref="V39" si="25">SUM(N39:U39)</f>
        <v>5837.4205790893675</v>
      </c>
    </row>
    <row r="40" spans="2:22">
      <c r="B40" t="s">
        <v>204</v>
      </c>
      <c r="D40" s="223">
        <v>199.958</v>
      </c>
      <c r="E40" s="223">
        <v>219.64813756433946</v>
      </c>
      <c r="F40" s="223">
        <v>211.8404097294482</v>
      </c>
      <c r="G40" s="223">
        <v>218.80082198852523</v>
      </c>
      <c r="H40" s="223">
        <v>250.70365695048378</v>
      </c>
      <c r="I40" s="223">
        <v>262.17988486431767</v>
      </c>
      <c r="J40" s="223">
        <v>241.53371821955682</v>
      </c>
      <c r="K40" s="223">
        <v>213.3605883818999</v>
      </c>
      <c r="L40" s="53">
        <f t="shared" si="22"/>
        <v>1818.0252176985714</v>
      </c>
      <c r="N40" s="53">
        <f>D40*N$1</f>
        <v>233.35098600000001</v>
      </c>
      <c r="O40" s="53">
        <f t="shared" si="23"/>
        <v>261.38128370156397</v>
      </c>
      <c r="P40" s="53">
        <f t="shared" si="23"/>
        <v>254.63217249479672</v>
      </c>
      <c r="Q40" s="53">
        <f t="shared" si="23"/>
        <v>268.68740940190895</v>
      </c>
      <c r="R40" s="53">
        <f t="shared" si="23"/>
        <v>319.39645895491634</v>
      </c>
      <c r="S40" s="53">
        <f t="shared" si="23"/>
        <v>344.24218882684909</v>
      </c>
      <c r="T40" s="53">
        <f t="shared" si="23"/>
        <v>325.82898587818215</v>
      </c>
      <c r="U40" s="53">
        <f t="shared" si="23"/>
        <v>296.14449667407706</v>
      </c>
      <c r="V40" s="53">
        <f t="shared" ref="V40" si="26">SUM(N40:U40)</f>
        <v>2303.6639819322941</v>
      </c>
    </row>
    <row r="41" spans="2:22">
      <c r="N41" s="53"/>
      <c r="O41" s="53"/>
      <c r="P41" s="53"/>
      <c r="Q41" s="53"/>
      <c r="R41" s="53"/>
      <c r="S41" s="53"/>
      <c r="T41" s="53"/>
      <c r="U41" s="53"/>
      <c r="V41" s="53"/>
    </row>
    <row r="42" spans="2:22">
      <c r="B42" s="38" t="s">
        <v>344</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204</v>
      </c>
      <c r="D44" s="223">
        <v>0</v>
      </c>
      <c r="E44" s="223">
        <v>0</v>
      </c>
      <c r="F44" s="223">
        <v>0</v>
      </c>
      <c r="G44" s="223">
        <v>0</v>
      </c>
      <c r="H44" s="223">
        <v>0</v>
      </c>
      <c r="I44" s="223">
        <v>0</v>
      </c>
      <c r="J44" s="223">
        <v>0</v>
      </c>
      <c r="K44" s="223">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6">
      <c r="B46" s="59" t="s">
        <v>345</v>
      </c>
      <c r="C46" s="60"/>
      <c r="D46" s="61">
        <f>SUM(D38:D44)</f>
        <v>1198.93</v>
      </c>
      <c r="E46" s="61">
        <f t="shared" ref="E46:L46" si="30">SUM(E38:E44)</f>
        <v>898.56660457825649</v>
      </c>
      <c r="F46" s="61">
        <f t="shared" si="30"/>
        <v>1578.5328716061563</v>
      </c>
      <c r="G46" s="61">
        <f t="shared" si="30"/>
        <v>1476.7117826300585</v>
      </c>
      <c r="H46" s="61">
        <f t="shared" si="30"/>
        <v>1333.0372628276953</v>
      </c>
      <c r="I46" s="61">
        <f t="shared" si="30"/>
        <v>1329.562295278087</v>
      </c>
      <c r="J46" s="61">
        <f t="shared" si="30"/>
        <v>1163.8762712301354</v>
      </c>
      <c r="K46" s="61">
        <f t="shared" si="30"/>
        <v>977.91520647280629</v>
      </c>
      <c r="L46" s="61">
        <f t="shared" si="30"/>
        <v>9957.1322946231958</v>
      </c>
      <c r="N46" s="61">
        <f>SUM(N38:N44)</f>
        <v>1399.1513099999997</v>
      </c>
      <c r="O46" s="61">
        <f t="shared" ref="O46:V46" si="31">SUM(O38:O44)</f>
        <v>1069.2942594481251</v>
      </c>
      <c r="P46" s="61">
        <f t="shared" si="31"/>
        <v>1897.3965116706001</v>
      </c>
      <c r="Q46" s="61">
        <f t="shared" si="31"/>
        <v>1813.4020690697118</v>
      </c>
      <c r="R46" s="61">
        <f t="shared" si="31"/>
        <v>1698.289472842484</v>
      </c>
      <c r="S46" s="61">
        <f t="shared" si="31"/>
        <v>1745.7152937001283</v>
      </c>
      <c r="T46" s="61">
        <f t="shared" si="31"/>
        <v>1570.0690898894522</v>
      </c>
      <c r="U46" s="61">
        <f t="shared" si="31"/>
        <v>1357.346306584255</v>
      </c>
      <c r="V46" s="61">
        <f t="shared" si="31"/>
        <v>12550.664313204756</v>
      </c>
    </row>
    <row r="47" spans="2:22">
      <c r="N47" s="53"/>
      <c r="O47" s="53"/>
      <c r="P47" s="53"/>
      <c r="Q47" s="53"/>
      <c r="R47" s="53"/>
      <c r="S47" s="53"/>
      <c r="T47" s="53"/>
      <c r="U47" s="53"/>
      <c r="V47" s="53"/>
    </row>
    <row r="49" spans="1:12" s="188" customFormat="1"/>
    <row r="50" spans="1:12" ht="13.8" thickBot="1"/>
    <row r="51" spans="1:12" ht="16.8">
      <c r="A51" s="68"/>
      <c r="B51" s="69" t="s">
        <v>237</v>
      </c>
      <c r="D51" s="70">
        <v>41729</v>
      </c>
      <c r="E51" s="71">
        <v>42094</v>
      </c>
      <c r="F51" s="71">
        <v>42460</v>
      </c>
      <c r="G51" s="71">
        <v>42825</v>
      </c>
      <c r="H51" s="71">
        <v>43190</v>
      </c>
      <c r="I51" s="71">
        <v>43555</v>
      </c>
      <c r="J51" s="71">
        <v>43921</v>
      </c>
      <c r="K51" s="72">
        <v>44286</v>
      </c>
      <c r="L51" s="73" t="s">
        <v>238</v>
      </c>
    </row>
    <row r="52" spans="1:12" ht="16.8">
      <c r="A52" s="74"/>
      <c r="B52" s="75" t="s">
        <v>239</v>
      </c>
      <c r="D52" s="76" t="s">
        <v>240</v>
      </c>
      <c r="E52" s="77" t="s">
        <v>240</v>
      </c>
      <c r="F52" s="77" t="s">
        <v>240</v>
      </c>
      <c r="G52" s="77" t="s">
        <v>240</v>
      </c>
      <c r="H52" s="77" t="s">
        <v>240</v>
      </c>
      <c r="I52" s="77" t="s">
        <v>240</v>
      </c>
      <c r="J52" s="77" t="s">
        <v>240</v>
      </c>
      <c r="K52" s="78" t="s">
        <v>240</v>
      </c>
      <c r="L52" s="79" t="s">
        <v>240</v>
      </c>
    </row>
    <row r="53" spans="1:12" ht="16.8">
      <c r="A53" s="80"/>
      <c r="B53" s="81" t="s">
        <v>207</v>
      </c>
      <c r="D53" s="82"/>
      <c r="E53" s="83"/>
      <c r="F53" s="83"/>
      <c r="G53" s="83"/>
      <c r="H53" s="83"/>
      <c r="I53" s="83"/>
      <c r="J53" s="83"/>
      <c r="K53" s="84"/>
      <c r="L53" s="85"/>
    </row>
    <row r="54" spans="1:12" ht="16.8">
      <c r="A54" s="86">
        <v>1</v>
      </c>
      <c r="B54" s="75" t="s">
        <v>241</v>
      </c>
      <c r="D54" s="87">
        <v>1236.2757094704566</v>
      </c>
      <c r="E54" s="88">
        <v>1079.983632807407</v>
      </c>
      <c r="F54" s="88">
        <v>1341.7529408652331</v>
      </c>
      <c r="G54" s="88">
        <v>1255.2050152355498</v>
      </c>
      <c r="H54" s="88">
        <v>1133.0816734035409</v>
      </c>
      <c r="I54" s="88">
        <v>1130.1279509863741</v>
      </c>
      <c r="J54" s="88">
        <v>989.2948305456149</v>
      </c>
      <c r="K54" s="89">
        <v>831.22792550188535</v>
      </c>
      <c r="L54" s="90">
        <v>8996.9496788160614</v>
      </c>
    </row>
    <row r="55" spans="1:12" ht="16.8">
      <c r="A55" s="86">
        <v>2</v>
      </c>
      <c r="B55" s="75" t="s">
        <v>242</v>
      </c>
      <c r="D55" s="87">
        <v>218.16630167125729</v>
      </c>
      <c r="E55" s="88">
        <v>190.58534696601322</v>
      </c>
      <c r="F55" s="88">
        <v>236.77993074092333</v>
      </c>
      <c r="G55" s="88">
        <v>221.50676739450864</v>
      </c>
      <c r="H55" s="88">
        <v>199.95558942415431</v>
      </c>
      <c r="I55" s="88">
        <v>199.43434429171313</v>
      </c>
      <c r="J55" s="88">
        <v>174.58144068452032</v>
      </c>
      <c r="K55" s="89">
        <v>146.68728097092097</v>
      </c>
      <c r="L55" s="90">
        <v>1587.6970021440113</v>
      </c>
    </row>
    <row r="56" spans="1:12" ht="16.8">
      <c r="A56" s="86">
        <v>3</v>
      </c>
      <c r="B56" s="75" t="s">
        <v>243</v>
      </c>
      <c r="D56" s="87">
        <v>1454.4420111417139</v>
      </c>
      <c r="E56" s="88">
        <v>1270.5689797734203</v>
      </c>
      <c r="F56" s="88">
        <v>1578.5328716061565</v>
      </c>
      <c r="G56" s="88">
        <v>1476.7117826300585</v>
      </c>
      <c r="H56" s="88">
        <v>1333.0372628276953</v>
      </c>
      <c r="I56" s="88">
        <v>1329.5622952780873</v>
      </c>
      <c r="J56" s="88">
        <v>1163.8762712301352</v>
      </c>
      <c r="K56" s="89">
        <v>977.91520647280629</v>
      </c>
      <c r="L56" s="90">
        <v>10584.646680960073</v>
      </c>
    </row>
    <row r="57" spans="1:12" ht="16.8">
      <c r="A57" s="80"/>
      <c r="B57" s="81" t="s">
        <v>244</v>
      </c>
      <c r="D57" s="82">
        <v>0</v>
      </c>
      <c r="E57" s="83">
        <v>0</v>
      </c>
      <c r="F57" s="83">
        <v>0</v>
      </c>
      <c r="G57" s="83">
        <v>0</v>
      </c>
      <c r="H57" s="83">
        <v>0</v>
      </c>
      <c r="I57" s="83">
        <v>0</v>
      </c>
      <c r="J57" s="83">
        <v>0</v>
      </c>
      <c r="K57" s="84">
        <v>0</v>
      </c>
      <c r="L57" s="85">
        <v>0</v>
      </c>
    </row>
    <row r="58" spans="1:12" ht="16.8">
      <c r="A58" s="86">
        <v>4</v>
      </c>
      <c r="B58" s="75" t="s">
        <v>245</v>
      </c>
      <c r="D58" s="87">
        <v>8691.0913006079008</v>
      </c>
      <c r="E58" s="88">
        <v>9186.8534747564972</v>
      </c>
      <c r="F58" s="88">
        <v>9677.2518213285875</v>
      </c>
      <c r="G58" s="88">
        <v>10401.288558690549</v>
      </c>
      <c r="H58" s="88">
        <v>11083.14972580731</v>
      </c>
      <c r="I58" s="88">
        <v>11534.616868748551</v>
      </c>
      <c r="J58" s="88">
        <v>11962.595171163302</v>
      </c>
      <c r="K58" s="89">
        <v>12240.104093169608</v>
      </c>
      <c r="L58" s="90">
        <v>0</v>
      </c>
    </row>
    <row r="59" spans="1:12" ht="16.8">
      <c r="A59" s="86">
        <v>5</v>
      </c>
      <c r="B59" s="75" t="s">
        <v>246</v>
      </c>
      <c r="D59" s="87">
        <v>0</v>
      </c>
      <c r="E59" s="88">
        <v>0</v>
      </c>
      <c r="F59" s="88">
        <v>0</v>
      </c>
      <c r="G59" s="88">
        <v>82.388628473992952</v>
      </c>
      <c r="H59" s="88">
        <v>0</v>
      </c>
      <c r="I59" s="88">
        <v>0</v>
      </c>
      <c r="J59" s="88">
        <v>0</v>
      </c>
      <c r="K59" s="89">
        <v>0</v>
      </c>
      <c r="L59" s="90">
        <v>82.388628473992952</v>
      </c>
    </row>
    <row r="60" spans="1:12" ht="16.8">
      <c r="A60" s="86">
        <v>6</v>
      </c>
      <c r="B60" s="75" t="s">
        <v>247</v>
      </c>
      <c r="D60" s="87">
        <v>8691.0913006079008</v>
      </c>
      <c r="E60" s="88">
        <v>9186.8534747564972</v>
      </c>
      <c r="F60" s="88">
        <v>9677.2518213285875</v>
      </c>
      <c r="G60" s="88">
        <v>10483.677187164541</v>
      </c>
      <c r="H60" s="88">
        <v>11083.14972580731</v>
      </c>
      <c r="I60" s="88">
        <v>11534.616868748551</v>
      </c>
      <c r="J60" s="88">
        <v>11962.595171163302</v>
      </c>
      <c r="K60" s="89">
        <v>12240.104093169608</v>
      </c>
      <c r="L60" s="90">
        <v>0</v>
      </c>
    </row>
    <row r="61" spans="1:12" ht="16.8">
      <c r="A61" s="86">
        <v>7</v>
      </c>
      <c r="B61" s="75" t="s">
        <v>248</v>
      </c>
      <c r="D61" s="87">
        <v>1059.5092396758732</v>
      </c>
      <c r="E61" s="88">
        <v>1079.983632807407</v>
      </c>
      <c r="F61" s="88">
        <v>1341.7529408652331</v>
      </c>
      <c r="G61" s="88">
        <v>1255.2050152355498</v>
      </c>
      <c r="H61" s="88">
        <v>1133.0816734035409</v>
      </c>
      <c r="I61" s="88">
        <v>1130.1279509863741</v>
      </c>
      <c r="J61" s="88">
        <v>989.2948305456149</v>
      </c>
      <c r="K61" s="89">
        <v>831.22792550188535</v>
      </c>
      <c r="L61" s="90">
        <v>8820.1832090214775</v>
      </c>
    </row>
    <row r="62" spans="1:12" ht="16.8">
      <c r="A62" s="86">
        <v>8</v>
      </c>
      <c r="B62" s="75" t="s">
        <v>249</v>
      </c>
      <c r="D62" s="87">
        <v>-563.74706552727753</v>
      </c>
      <c r="E62" s="88">
        <v>-589.58528623531674</v>
      </c>
      <c r="F62" s="88">
        <v>-617.71620350327271</v>
      </c>
      <c r="G62" s="88">
        <v>-655.73247659278184</v>
      </c>
      <c r="H62" s="88">
        <v>-681.61453046229838</v>
      </c>
      <c r="I62" s="88">
        <v>-702.1496485716242</v>
      </c>
      <c r="J62" s="88">
        <v>-711.78590853931121</v>
      </c>
      <c r="K62" s="89">
        <v>-718.06264334519062</v>
      </c>
      <c r="L62" s="90">
        <v>-5240.3937627770738</v>
      </c>
    </row>
    <row r="63" spans="1:12" ht="16.8">
      <c r="A63" s="86">
        <v>9</v>
      </c>
      <c r="B63" s="75" t="s">
        <v>250</v>
      </c>
      <c r="D63" s="87">
        <v>9186.8534747564972</v>
      </c>
      <c r="E63" s="88">
        <v>9677.2518213285875</v>
      </c>
      <c r="F63" s="88">
        <v>10401.288558690549</v>
      </c>
      <c r="G63" s="88">
        <v>11083.149725807309</v>
      </c>
      <c r="H63" s="88">
        <v>11534.616868748553</v>
      </c>
      <c r="I63" s="88">
        <v>11962.595171163302</v>
      </c>
      <c r="J63" s="88">
        <v>12240.104093169606</v>
      </c>
      <c r="K63" s="89">
        <v>12353.269375326303</v>
      </c>
      <c r="L63" s="90">
        <v>0</v>
      </c>
    </row>
    <row r="64" spans="1:12" ht="16.8">
      <c r="A64" s="80"/>
      <c r="B64" s="81" t="s">
        <v>251</v>
      </c>
      <c r="D64" s="91">
        <v>0</v>
      </c>
      <c r="E64" s="92">
        <v>0</v>
      </c>
      <c r="F64" s="92">
        <v>0</v>
      </c>
      <c r="G64" s="92">
        <v>0</v>
      </c>
      <c r="H64" s="92">
        <v>0</v>
      </c>
      <c r="I64" s="92">
        <v>0</v>
      </c>
      <c r="J64" s="92">
        <v>0</v>
      </c>
      <c r="K64" s="93">
        <v>0</v>
      </c>
      <c r="L64" s="94">
        <v>0</v>
      </c>
    </row>
    <row r="65" spans="1:12" ht="16.8">
      <c r="A65" s="86">
        <v>10</v>
      </c>
      <c r="B65" s="75" t="s">
        <v>252</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253</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254</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255</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256</v>
      </c>
      <c r="D69" s="87">
        <v>0</v>
      </c>
      <c r="E69" s="88">
        <v>16.036529091209541</v>
      </c>
      <c r="F69" s="88">
        <v>0</v>
      </c>
      <c r="G69" s="88">
        <v>22.217944632295964</v>
      </c>
      <c r="H69" s="88">
        <v>0</v>
      </c>
      <c r="I69" s="88">
        <v>0</v>
      </c>
      <c r="J69" s="88">
        <v>0</v>
      </c>
      <c r="K69" s="89">
        <v>0</v>
      </c>
      <c r="L69" s="90">
        <v>38.254473723505505</v>
      </c>
    </row>
    <row r="70" spans="1:12" ht="16.8">
      <c r="A70" s="86">
        <v>15</v>
      </c>
      <c r="B70" s="75" t="s">
        <v>257</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258</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259</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260</v>
      </c>
      <c r="D73" s="91">
        <v>0</v>
      </c>
      <c r="E73" s="92">
        <v>0</v>
      </c>
      <c r="F73" s="92">
        <v>0</v>
      </c>
      <c r="G73" s="92">
        <v>0</v>
      </c>
      <c r="H73" s="92">
        <v>0</v>
      </c>
      <c r="I73" s="92">
        <v>0</v>
      </c>
      <c r="J73" s="92">
        <v>0</v>
      </c>
      <c r="K73" s="93">
        <v>0</v>
      </c>
      <c r="L73" s="94">
        <v>0</v>
      </c>
    </row>
    <row r="74" spans="1:12" ht="16.8">
      <c r="A74" s="86">
        <v>18</v>
      </c>
      <c r="B74" s="75" t="s">
        <v>252</v>
      </c>
      <c r="D74" s="87">
        <v>218.16630167125729</v>
      </c>
      <c r="E74" s="88">
        <v>190.58534696601322</v>
      </c>
      <c r="F74" s="88">
        <v>236.77993074092333</v>
      </c>
      <c r="G74" s="88">
        <v>221.50676739450864</v>
      </c>
      <c r="H74" s="88">
        <v>199.95558942415431</v>
      </c>
      <c r="I74" s="88">
        <v>199.43434429171313</v>
      </c>
      <c r="J74" s="88">
        <v>174.58144068452032</v>
      </c>
      <c r="K74" s="89">
        <v>146.68728097092097</v>
      </c>
      <c r="L74" s="90">
        <v>1587.6970021440113</v>
      </c>
    </row>
    <row r="75" spans="1:12" ht="16.8">
      <c r="A75" s="86">
        <v>19</v>
      </c>
      <c r="B75" s="75" t="s">
        <v>253</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254</v>
      </c>
      <c r="D76" s="87">
        <v>563.74706552727753</v>
      </c>
      <c r="E76" s="88">
        <v>589.58528623531674</v>
      </c>
      <c r="F76" s="88">
        <v>617.71620350327271</v>
      </c>
      <c r="G76" s="88">
        <v>655.73247659278184</v>
      </c>
      <c r="H76" s="88">
        <v>681.61453046229838</v>
      </c>
      <c r="I76" s="88">
        <v>702.1496485716242</v>
      </c>
      <c r="J76" s="88">
        <v>711.78590853931121</v>
      </c>
      <c r="K76" s="89">
        <v>718.06264334519062</v>
      </c>
      <c r="L76" s="90">
        <v>5240.3937627770738</v>
      </c>
    </row>
    <row r="77" spans="1:12" ht="16.8">
      <c r="A77" s="86">
        <v>21</v>
      </c>
      <c r="B77" s="75" t="s">
        <v>255</v>
      </c>
      <c r="D77" s="87">
        <v>397.79851136385469</v>
      </c>
      <c r="E77" s="88">
        <v>408.92759766032657</v>
      </c>
      <c r="F77" s="88">
        <v>425.35444317172403</v>
      </c>
      <c r="G77" s="88">
        <v>446.41845111023031</v>
      </c>
      <c r="H77" s="88">
        <v>468.24816380177856</v>
      </c>
      <c r="I77" s="88">
        <v>486.47263101405628</v>
      </c>
      <c r="J77" s="88">
        <v>501.14865529599274</v>
      </c>
      <c r="K77" s="89">
        <v>509.31046395440319</v>
      </c>
      <c r="L77" s="90">
        <v>3643.6789173723664</v>
      </c>
    </row>
    <row r="78" spans="1:12" ht="16.8">
      <c r="A78" s="86">
        <v>22</v>
      </c>
      <c r="B78" s="75" t="s">
        <v>256</v>
      </c>
      <c r="D78" s="87">
        <v>0</v>
      </c>
      <c r="E78" s="88">
        <v>0</v>
      </c>
      <c r="F78" s="88">
        <v>0</v>
      </c>
      <c r="G78" s="88">
        <v>0</v>
      </c>
      <c r="H78" s="88">
        <v>0</v>
      </c>
      <c r="I78" s="88">
        <v>0</v>
      </c>
      <c r="J78" s="88">
        <v>0</v>
      </c>
      <c r="K78" s="89">
        <v>0</v>
      </c>
      <c r="L78" s="90">
        <v>0</v>
      </c>
    </row>
    <row r="79" spans="1:12" ht="16.8">
      <c r="A79" s="86">
        <v>23</v>
      </c>
      <c r="B79" s="75" t="s">
        <v>257</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258</v>
      </c>
      <c r="D80" s="87">
        <v>-45.715157548655313</v>
      </c>
      <c r="E80" s="88">
        <v>-45.098014380446855</v>
      </c>
      <c r="F80" s="88">
        <v>-47.31166807558472</v>
      </c>
      <c r="G80" s="88">
        <v>-43.301588881117283</v>
      </c>
      <c r="H80" s="88">
        <v>-43.306599018307779</v>
      </c>
      <c r="I80" s="88">
        <v>-42.836446704098677</v>
      </c>
      <c r="J80" s="88">
        <v>-42.244742670044815</v>
      </c>
      <c r="K80" s="89">
        <v>-41.864954349431173</v>
      </c>
      <c r="L80" s="90">
        <v>-351.67917162768663</v>
      </c>
    </row>
    <row r="81" spans="1:12" ht="16.8">
      <c r="A81" s="86">
        <v>25</v>
      </c>
      <c r="B81" s="75" t="s">
        <v>259</v>
      </c>
      <c r="D81" s="87">
        <v>88.862565273695353</v>
      </c>
      <c r="E81" s="88">
        <v>75.694462973245706</v>
      </c>
      <c r="F81" s="88">
        <v>85.005188730726488</v>
      </c>
      <c r="G81" s="88">
        <v>77.239404209058463</v>
      </c>
      <c r="H81" s="88">
        <v>65.310639490039904</v>
      </c>
      <c r="I81" s="88">
        <v>64.602799469914444</v>
      </c>
      <c r="J81" s="88">
        <v>66.970081750621844</v>
      </c>
      <c r="K81" s="89">
        <v>72.725559385800139</v>
      </c>
      <c r="L81" s="90">
        <v>596.4107012831023</v>
      </c>
    </row>
    <row r="82" spans="1:12" ht="16.8">
      <c r="A82" s="80"/>
      <c r="B82" s="81" t="s">
        <v>261</v>
      </c>
      <c r="D82" s="91">
        <v>0</v>
      </c>
      <c r="E82" s="92">
        <v>0</v>
      </c>
      <c r="F82" s="92">
        <v>0</v>
      </c>
      <c r="G82" s="92">
        <v>0</v>
      </c>
      <c r="H82" s="92">
        <v>0</v>
      </c>
      <c r="I82" s="92">
        <v>0</v>
      </c>
      <c r="J82" s="92">
        <v>0</v>
      </c>
      <c r="K82" s="93">
        <v>0</v>
      </c>
      <c r="L82" s="95">
        <v>0</v>
      </c>
    </row>
    <row r="83" spans="1:12" ht="16.8">
      <c r="A83" s="86">
        <v>26</v>
      </c>
      <c r="B83" s="75" t="s">
        <v>262</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263</v>
      </c>
      <c r="D84" s="87">
        <v>0</v>
      </c>
      <c r="E84" s="88">
        <v>-5.4472436134815325</v>
      </c>
      <c r="F84" s="88">
        <v>-114.38240781754212</v>
      </c>
      <c r="G84" s="88">
        <v>-185.40168515778055</v>
      </c>
      <c r="H84" s="88">
        <v>0</v>
      </c>
      <c r="I84" s="88">
        <v>0</v>
      </c>
      <c r="J84" s="88">
        <v>0</v>
      </c>
      <c r="K84" s="89">
        <v>0</v>
      </c>
      <c r="L84" s="90">
        <v>-305.2313365888042</v>
      </c>
    </row>
    <row r="85" spans="1:12" ht="16.8">
      <c r="A85" s="86">
        <v>28</v>
      </c>
      <c r="B85" s="75" t="s">
        <v>264</v>
      </c>
      <c r="D85" s="96">
        <v>1342.2812908140818</v>
      </c>
      <c r="E85" s="88">
        <v>1438.3822181213663</v>
      </c>
      <c r="F85" s="88">
        <v>1361.2101654120604</v>
      </c>
      <c r="G85" s="88">
        <v>1385.9851245350922</v>
      </c>
      <c r="H85" s="88">
        <v>1554.9421422395978</v>
      </c>
      <c r="I85" s="88">
        <v>1587.6274208238706</v>
      </c>
      <c r="J85" s="88">
        <v>1585.2281224827718</v>
      </c>
      <c r="K85" s="89">
        <v>1571.5841090397205</v>
      </c>
      <c r="L85" s="90">
        <v>11827.240593468561</v>
      </c>
    </row>
    <row r="86" spans="1:12" ht="16.8">
      <c r="A86" s="86">
        <v>29</v>
      </c>
      <c r="B86" s="75" t="s">
        <v>168</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265</v>
      </c>
      <c r="D87" s="96">
        <v>0</v>
      </c>
      <c r="E87" s="88">
        <v>0</v>
      </c>
      <c r="F87" s="88">
        <v>0</v>
      </c>
      <c r="G87" s="88">
        <v>0</v>
      </c>
      <c r="H87" s="88">
        <v>0</v>
      </c>
      <c r="I87" s="88">
        <v>0</v>
      </c>
      <c r="J87" s="88">
        <v>0</v>
      </c>
      <c r="K87" s="89">
        <v>0</v>
      </c>
      <c r="L87" s="90">
        <v>0</v>
      </c>
    </row>
    <row r="88" spans="1:12" ht="16.8">
      <c r="A88" s="86">
        <v>31</v>
      </c>
      <c r="B88" s="75" t="s">
        <v>266</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267</v>
      </c>
      <c r="D89" s="96">
        <v>1479.0323249384494</v>
      </c>
      <c r="E89" s="88">
        <v>1574.4569081721447</v>
      </c>
      <c r="F89" s="88">
        <v>1503.8084233892357</v>
      </c>
      <c r="G89" s="88">
        <v>1511.5851245350921</v>
      </c>
      <c r="H89" s="88">
        <v>1682.2421422395978</v>
      </c>
      <c r="I89" s="88">
        <v>1716.2274208238705</v>
      </c>
      <c r="J89" s="88">
        <v>1715.4281224827719</v>
      </c>
      <c r="K89" s="89">
        <v>1703.2841090397205</v>
      </c>
      <c r="L89" s="90">
        <v>12886.064575620883</v>
      </c>
    </row>
    <row r="90" spans="1:12" ht="16.8">
      <c r="A90" s="80"/>
      <c r="B90" s="81" t="s">
        <v>268</v>
      </c>
      <c r="D90" s="91">
        <v>0</v>
      </c>
      <c r="E90" s="92">
        <v>0</v>
      </c>
      <c r="F90" s="92">
        <v>0</v>
      </c>
      <c r="G90" s="92">
        <v>0</v>
      </c>
      <c r="H90" s="92">
        <v>0</v>
      </c>
      <c r="I90" s="97">
        <v>0</v>
      </c>
      <c r="J90" s="92">
        <v>0</v>
      </c>
      <c r="K90" s="93">
        <v>0</v>
      </c>
      <c r="L90" s="95">
        <v>0</v>
      </c>
    </row>
    <row r="91" spans="1:12" ht="16.8">
      <c r="A91" s="86">
        <v>33</v>
      </c>
      <c r="B91" s="75" t="s">
        <v>268</v>
      </c>
      <c r="D91" s="87">
        <v>1332.2747656182278</v>
      </c>
      <c r="E91" s="88">
        <v>1323.6480136651101</v>
      </c>
      <c r="F91" s="88">
        <v>1420.8350447387188</v>
      </c>
      <c r="G91" s="88">
        <v>1460.184666564217</v>
      </c>
      <c r="H91" s="88">
        <v>1472.5319844041626</v>
      </c>
      <c r="I91" s="88">
        <v>1510.0552888971874</v>
      </c>
      <c r="J91" s="88">
        <v>1511.2026889994647</v>
      </c>
      <c r="K91" s="89">
        <v>1502.4240557110998</v>
      </c>
      <c r="L91" s="90">
        <v>11533.156508598189</v>
      </c>
    </row>
    <row r="92" spans="1:12" ht="16.8">
      <c r="A92" s="86">
        <v>34</v>
      </c>
      <c r="B92" s="75" t="s">
        <v>269</v>
      </c>
      <c r="D92" s="87">
        <v>1331.3980597308034</v>
      </c>
      <c r="E92" s="88">
        <v>1388.0073542188395</v>
      </c>
      <c r="F92" s="88">
        <v>1425.7005801819166</v>
      </c>
      <c r="G92" s="88">
        <v>1502.8891669978711</v>
      </c>
      <c r="H92" s="88">
        <v>1493.8347922847654</v>
      </c>
      <c r="I92" s="88">
        <v>1529.0587066230266</v>
      </c>
      <c r="J92" s="88">
        <v>1527.233008413152</v>
      </c>
      <c r="K92" s="89">
        <v>1517.1067542547255</v>
      </c>
      <c r="L92" s="90">
        <v>11715.2284227051</v>
      </c>
    </row>
    <row r="93" spans="1:12" ht="16.8">
      <c r="A93" s="80"/>
      <c r="B93" s="81" t="s">
        <v>270</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271</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272</v>
      </c>
      <c r="D111" s="91">
        <v>0</v>
      </c>
      <c r="E111" s="92">
        <v>0</v>
      </c>
      <c r="F111" s="92">
        <v>0</v>
      </c>
      <c r="G111" s="92">
        <v>0</v>
      </c>
      <c r="H111" s="92">
        <v>0</v>
      </c>
      <c r="I111" s="97">
        <v>0</v>
      </c>
      <c r="J111" s="92">
        <v>0</v>
      </c>
      <c r="K111" s="93">
        <v>0</v>
      </c>
      <c r="L111" s="95">
        <v>0</v>
      </c>
    </row>
    <row r="112" spans="1:12" ht="16.8">
      <c r="A112" s="86">
        <v>51</v>
      </c>
      <c r="B112" s="75" t="s">
        <v>273</v>
      </c>
      <c r="D112" s="87">
        <v>8738.9831143201809</v>
      </c>
      <c r="E112" s="88">
        <v>9226.70572338282</v>
      </c>
      <c r="F112" s="88">
        <v>9823.4282487696073</v>
      </c>
      <c r="G112" s="88">
        <v>10558.619941112353</v>
      </c>
      <c r="H112" s="88">
        <v>11074.932918679719</v>
      </c>
      <c r="I112" s="88">
        <v>11505.975189547215</v>
      </c>
      <c r="J112" s="88">
        <v>11853.090238788853</v>
      </c>
      <c r="K112" s="89">
        <v>12046.132070823158</v>
      </c>
      <c r="L112" s="90">
        <v>84827.867445423908</v>
      </c>
    </row>
    <row r="113" spans="1:12" ht="16.8">
      <c r="A113" s="86">
        <v>52</v>
      </c>
      <c r="B113" s="75" t="s">
        <v>26</v>
      </c>
      <c r="D113" s="99">
        <v>0.6</v>
      </c>
      <c r="E113" s="100">
        <v>0.6</v>
      </c>
      <c r="F113" s="100">
        <v>0.6</v>
      </c>
      <c r="G113" s="100">
        <v>0.6</v>
      </c>
      <c r="H113" s="100">
        <v>0.6</v>
      </c>
      <c r="I113" s="100">
        <v>0.6</v>
      </c>
      <c r="J113" s="100">
        <v>0.6</v>
      </c>
      <c r="K113" s="101">
        <v>0.6</v>
      </c>
      <c r="L113" s="102">
        <v>0.6</v>
      </c>
    </row>
    <row r="114" spans="1:12" ht="16.8">
      <c r="A114" s="86">
        <v>53</v>
      </c>
      <c r="B114" s="75" t="s">
        <v>274</v>
      </c>
      <c r="D114" s="87">
        <v>3495.5932457280724</v>
      </c>
      <c r="E114" s="88">
        <v>3690.682289353128</v>
      </c>
      <c r="F114" s="88">
        <v>3929.3712995078431</v>
      </c>
      <c r="G114" s="88">
        <v>4223.4479764449416</v>
      </c>
      <c r="H114" s="88">
        <v>4429.9731674718878</v>
      </c>
      <c r="I114" s="88">
        <v>4602.3900758188856</v>
      </c>
      <c r="J114" s="88">
        <v>4741.2360955155409</v>
      </c>
      <c r="K114" s="89">
        <v>4818.452828329263</v>
      </c>
      <c r="L114" s="90">
        <v>33931.146978169563</v>
      </c>
    </row>
    <row r="115" spans="1:12" ht="16.8">
      <c r="A115" s="86">
        <v>54</v>
      </c>
      <c r="B115" s="75" t="s">
        <v>275</v>
      </c>
      <c r="D115" s="87">
        <v>153.10698416288957</v>
      </c>
      <c r="E115" s="88">
        <v>150.57983740560761</v>
      </c>
      <c r="F115" s="88">
        <v>150.29845220617497</v>
      </c>
      <c r="G115" s="88">
        <v>150.77709275908438</v>
      </c>
      <c r="H115" s="88">
        <v>158.1500420787464</v>
      </c>
      <c r="I115" s="88">
        <v>164.30532570673424</v>
      </c>
      <c r="J115" s="88">
        <v>169.26212860990483</v>
      </c>
      <c r="K115" s="89">
        <v>172.01876597135472</v>
      </c>
      <c r="L115" s="90">
        <v>1268.4986289004967</v>
      </c>
    </row>
    <row r="116" spans="1:12" ht="17.399999999999999" thickBot="1">
      <c r="A116" s="103">
        <v>55</v>
      </c>
      <c r="B116" s="104" t="s">
        <v>276</v>
      </c>
      <c r="D116" s="105">
        <v>244.69152720096511</v>
      </c>
      <c r="E116" s="106">
        <v>258.34776025471899</v>
      </c>
      <c r="F116" s="106">
        <v>275.05599096554909</v>
      </c>
      <c r="G116" s="106">
        <v>295.64135835114593</v>
      </c>
      <c r="H116" s="106">
        <v>310.09812172303214</v>
      </c>
      <c r="I116" s="106">
        <v>322.16730530732207</v>
      </c>
      <c r="J116" s="106">
        <v>331.8865266860879</v>
      </c>
      <c r="K116" s="107">
        <v>337.29169798304849</v>
      </c>
      <c r="L116" s="108">
        <v>2375.1802884718695</v>
      </c>
    </row>
    <row r="120" spans="1:12">
      <c r="B120" t="s">
        <v>348</v>
      </c>
      <c r="D120" s="53">
        <v>-176.76646979458337</v>
      </c>
    </row>
    <row r="123" spans="1:12">
      <c r="D123" s="53"/>
      <c r="E123" s="53"/>
    </row>
    <row r="124" spans="1:12">
      <c r="D124" s="53">
        <f>D131+D128-D127</f>
        <v>1154.1597644919893</v>
      </c>
      <c r="E124" s="53">
        <f t="shared" ref="E124:K124" si="32">E131+E128-E127</f>
        <v>1168.5032094524613</v>
      </c>
      <c r="F124" s="53">
        <f t="shared" si="32"/>
        <v>1424.141569339226</v>
      </c>
      <c r="G124" s="53">
        <f t="shared" si="32"/>
        <v>1255.2050152355498</v>
      </c>
      <c r="H124" s="53">
        <f t="shared" si="32"/>
        <v>1133.0816734035409</v>
      </c>
      <c r="I124" s="53">
        <f t="shared" si="32"/>
        <v>1130.1279509863741</v>
      </c>
      <c r="J124" s="53">
        <f t="shared" si="32"/>
        <v>989.2948305456149</v>
      </c>
      <c r="K124" s="53">
        <f t="shared" si="32"/>
        <v>831.22792550188535</v>
      </c>
    </row>
    <row r="127" spans="1:12" ht="16.8">
      <c r="B127" s="110" t="s">
        <v>287</v>
      </c>
      <c r="D127" s="187">
        <v>5.1119303278452115</v>
      </c>
      <c r="E127" s="187">
        <v>6.1309481710615064</v>
      </c>
      <c r="F127" s="187">
        <v>6.1309481710615064</v>
      </c>
      <c r="G127" s="187">
        <v>0</v>
      </c>
      <c r="H127" s="187">
        <v>0</v>
      </c>
      <c r="I127" s="187">
        <v>0</v>
      </c>
      <c r="J127" s="187">
        <v>0</v>
      </c>
      <c r="K127" s="187">
        <v>0</v>
      </c>
    </row>
    <row r="128" spans="1:12" ht="16.8">
      <c r="B128" s="110" t="s">
        <v>288</v>
      </c>
      <c r="D128" s="187">
        <v>99.762455143961176</v>
      </c>
      <c r="E128" s="187">
        <v>94.650524816115961</v>
      </c>
      <c r="F128" s="187">
        <v>88.519576645054457</v>
      </c>
      <c r="G128" s="187">
        <v>0</v>
      </c>
      <c r="H128" s="187">
        <v>0</v>
      </c>
      <c r="I128" s="187">
        <v>0</v>
      </c>
      <c r="J128" s="187">
        <v>0</v>
      </c>
      <c r="K128" s="187">
        <v>0</v>
      </c>
    </row>
    <row r="129" spans="2:25">
      <c r="D129" s="53"/>
      <c r="E129" s="53"/>
      <c r="F129" s="53"/>
      <c r="G129" s="53"/>
      <c r="H129" s="53"/>
      <c r="I129" s="53"/>
      <c r="J129" s="53"/>
      <c r="K129" s="53"/>
    </row>
    <row r="130" spans="2:25">
      <c r="B130" t="s">
        <v>289</v>
      </c>
      <c r="D130" s="53">
        <f>D128+D60</f>
        <v>8790.8537557518612</v>
      </c>
      <c r="E130" s="53">
        <f t="shared" ref="E130:K130" si="33">E128+E60</f>
        <v>9281.5039995726129</v>
      </c>
      <c r="F130" s="53">
        <f t="shared" si="33"/>
        <v>9765.7713979736418</v>
      </c>
      <c r="G130" s="53">
        <f t="shared" si="33"/>
        <v>10483.677187164541</v>
      </c>
      <c r="H130" s="53">
        <f t="shared" si="33"/>
        <v>11083.14972580731</v>
      </c>
      <c r="I130" s="53">
        <f t="shared" si="33"/>
        <v>11534.616868748551</v>
      </c>
      <c r="J130" s="53">
        <f t="shared" si="33"/>
        <v>11962.595171163302</v>
      </c>
      <c r="K130" s="53">
        <f t="shared" si="33"/>
        <v>12240.104093169608</v>
      </c>
      <c r="L130" s="53"/>
      <c r="N130" s="53">
        <f>D130*N$1</f>
        <v>10258.926332962423</v>
      </c>
      <c r="O130" s="53">
        <f t="shared" ref="O130:U130" si="34">E130*O$1</f>
        <v>11044.989759491409</v>
      </c>
      <c r="P130" s="53">
        <f t="shared" si="34"/>
        <v>11738.457220364317</v>
      </c>
      <c r="Q130" s="53">
        <f t="shared" si="34"/>
        <v>12873.955585838057</v>
      </c>
      <c r="R130" s="53">
        <f t="shared" si="34"/>
        <v>14119.932750678514</v>
      </c>
      <c r="S130" s="53">
        <f t="shared" si="34"/>
        <v>15144.951948666847</v>
      </c>
      <c r="T130" s="53">
        <f t="shared" si="34"/>
        <v>16137.540885899294</v>
      </c>
      <c r="U130" s="53">
        <f t="shared" si="34"/>
        <v>16989.264481319413</v>
      </c>
    </row>
    <row r="131" spans="2:25">
      <c r="B131" t="str">
        <f>B61</f>
        <v>RAV additions (after disposals)</v>
      </c>
      <c r="D131" s="53">
        <f>D61</f>
        <v>1059.5092396758732</v>
      </c>
      <c r="E131" s="53">
        <f t="shared" ref="E131:K131" si="35">E61</f>
        <v>1079.983632807407</v>
      </c>
      <c r="F131" s="53">
        <f t="shared" si="35"/>
        <v>1341.7529408652331</v>
      </c>
      <c r="G131" s="53">
        <f t="shared" si="35"/>
        <v>1255.2050152355498</v>
      </c>
      <c r="H131" s="53">
        <f t="shared" si="35"/>
        <v>1133.0816734035409</v>
      </c>
      <c r="I131" s="53">
        <f t="shared" si="35"/>
        <v>1130.1279509863741</v>
      </c>
      <c r="J131" s="53">
        <f t="shared" si="35"/>
        <v>989.2948305456149</v>
      </c>
      <c r="K131" s="53">
        <f t="shared" si="35"/>
        <v>831.22792550188535</v>
      </c>
    </row>
    <row r="132" spans="2:25">
      <c r="B132" t="str">
        <f t="shared" ref="B132:B133" si="36">B62</f>
        <v>Depreciation</v>
      </c>
      <c r="D132" s="53">
        <f>D62-D127</f>
        <v>-568.85899585512277</v>
      </c>
      <c r="E132" s="53">
        <f t="shared" ref="E132:K132" si="37">E62-E127</f>
        <v>-595.71623440637825</v>
      </c>
      <c r="F132" s="53">
        <f t="shared" si="37"/>
        <v>-623.84715167433421</v>
      </c>
      <c r="G132" s="53">
        <f t="shared" si="37"/>
        <v>-655.73247659278184</v>
      </c>
      <c r="H132" s="53">
        <f t="shared" si="37"/>
        <v>-681.61453046229838</v>
      </c>
      <c r="I132" s="53">
        <f t="shared" si="37"/>
        <v>-702.1496485716242</v>
      </c>
      <c r="J132" s="53">
        <f t="shared" si="37"/>
        <v>-711.78590853931121</v>
      </c>
      <c r="K132" s="53">
        <f t="shared" si="37"/>
        <v>-718.06264334519062</v>
      </c>
    </row>
    <row r="133" spans="2:25">
      <c r="B133" t="str">
        <f t="shared" si="36"/>
        <v>Closing asset value</v>
      </c>
      <c r="D133" s="53">
        <f>SUM(D130:D132)</f>
        <v>9281.5039995726129</v>
      </c>
      <c r="E133" s="53">
        <f t="shared" ref="E133:K133" si="38">SUM(E130:E132)</f>
        <v>9765.7713979736418</v>
      </c>
      <c r="F133" s="53">
        <f t="shared" si="38"/>
        <v>10483.677187164541</v>
      </c>
      <c r="G133" s="53">
        <f t="shared" si="38"/>
        <v>11083.149725807309</v>
      </c>
      <c r="H133" s="53">
        <f t="shared" si="38"/>
        <v>11534.616868748553</v>
      </c>
      <c r="I133" s="53">
        <f t="shared" si="38"/>
        <v>11962.595171163302</v>
      </c>
      <c r="J133" s="53">
        <f t="shared" si="38"/>
        <v>12240.104093169606</v>
      </c>
      <c r="K133" s="53">
        <f t="shared" si="38"/>
        <v>12353.269375326303</v>
      </c>
      <c r="N133" s="53">
        <f>D133*N$1</f>
        <v>10831.51516750124</v>
      </c>
      <c r="O133" s="53">
        <f t="shared" ref="O133:U133" si="39">E133*O$1</f>
        <v>11621.267963588632</v>
      </c>
      <c r="P133" s="53">
        <f t="shared" si="39"/>
        <v>12601.379978971778</v>
      </c>
      <c r="Q133" s="53">
        <f t="shared" si="39"/>
        <v>13610.107863291374</v>
      </c>
      <c r="R133" s="53">
        <f t="shared" si="39"/>
        <v>14695.101890785658</v>
      </c>
      <c r="S133" s="53">
        <f t="shared" si="39"/>
        <v>15706.887459737416</v>
      </c>
      <c r="T133" s="53">
        <f t="shared" si="39"/>
        <v>16511.900421685797</v>
      </c>
      <c r="U133" s="53">
        <f t="shared" si="39"/>
        <v>17146.337892952906</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290</v>
      </c>
      <c r="D136" s="187">
        <v>1.5</v>
      </c>
      <c r="E136" s="187">
        <v>1.3</v>
      </c>
      <c r="F136" s="187">
        <v>1.3</v>
      </c>
      <c r="G136" s="187">
        <v>1.5</v>
      </c>
      <c r="H136" s="187">
        <v>1.3</v>
      </c>
      <c r="I136" s="187">
        <v>1.3</v>
      </c>
      <c r="J136" s="187">
        <v>1.5</v>
      </c>
      <c r="K136" s="187">
        <v>1.3</v>
      </c>
    </row>
    <row r="137" spans="2:25">
      <c r="B137" t="s">
        <v>291</v>
      </c>
      <c r="D137" s="187">
        <v>28.929052554944597</v>
      </c>
      <c r="E137" s="187">
        <v>28.929052554944597</v>
      </c>
      <c r="F137" s="187">
        <v>32.585753058109198</v>
      </c>
      <c r="G137" s="187">
        <v>32.585753058109198</v>
      </c>
      <c r="H137" s="187">
        <v>32.585753058109198</v>
      </c>
      <c r="I137" s="187">
        <v>32.585753058109198</v>
      </c>
      <c r="J137" s="187">
        <v>32.585753058109198</v>
      </c>
      <c r="K137" s="187">
        <v>32.585753058109198</v>
      </c>
    </row>
    <row r="138" spans="2:25">
      <c r="B138" t="s">
        <v>292</v>
      </c>
      <c r="D138" s="187">
        <v>30.429052554944597</v>
      </c>
      <c r="E138" s="187">
        <v>30.229052554944598</v>
      </c>
      <c r="F138" s="187">
        <v>33.885753058109195</v>
      </c>
      <c r="G138" s="187">
        <v>34.085753058109198</v>
      </c>
      <c r="H138" s="187">
        <v>33.885753058109195</v>
      </c>
      <c r="I138" s="187">
        <v>33.885753058109195</v>
      </c>
      <c r="J138" s="187">
        <v>34.085753058109198</v>
      </c>
      <c r="K138" s="187">
        <v>33.885753058109195</v>
      </c>
    </row>
    <row r="139" spans="2:25">
      <c r="B139" t="s">
        <v>293</v>
      </c>
      <c r="D139" s="187">
        <v>1.6281727480620216</v>
      </c>
      <c r="E139" s="187">
        <v>1.7003333642561302</v>
      </c>
      <c r="F139" s="187">
        <v>1.7739577989284205</v>
      </c>
      <c r="G139" s="187">
        <v>1.8489607346671144</v>
      </c>
      <c r="H139" s="187">
        <v>1.9271347945288402</v>
      </c>
      <c r="I139" s="187">
        <v>2.0086140536415198</v>
      </c>
      <c r="J139" s="187">
        <v>2.0935382558294835</v>
      </c>
      <c r="K139" s="187">
        <v>2.1820530532859541</v>
      </c>
    </row>
    <row r="140" spans="2:25">
      <c r="B140" s="38" t="s">
        <v>294</v>
      </c>
      <c r="C140" s="38"/>
      <c r="D140" s="58">
        <f>D138+D139</f>
        <v>32.057225303006618</v>
      </c>
      <c r="E140" s="58">
        <f t="shared" ref="E140:K140" si="40">E138+E139</f>
        <v>31.92938591920073</v>
      </c>
      <c r="F140" s="58">
        <f t="shared" si="40"/>
        <v>35.659710857037616</v>
      </c>
      <c r="G140" s="58">
        <f t="shared" si="40"/>
        <v>35.934713792776314</v>
      </c>
      <c r="H140" s="58">
        <f t="shared" si="40"/>
        <v>35.812887852638035</v>
      </c>
      <c r="I140" s="58">
        <f t="shared" si="40"/>
        <v>35.894367111750718</v>
      </c>
      <c r="J140" s="58">
        <f t="shared" si="40"/>
        <v>36.179291313938684</v>
      </c>
      <c r="K140" s="58">
        <f t="shared" si="40"/>
        <v>36.06780611139515</v>
      </c>
    </row>
    <row r="141" spans="2:25">
      <c r="D141" s="53"/>
      <c r="E141" s="53"/>
      <c r="F141" s="53"/>
      <c r="G141" s="53"/>
      <c r="H141" s="53"/>
      <c r="I141" s="53"/>
      <c r="J141" s="53"/>
      <c r="K141" s="53"/>
    </row>
    <row r="142" spans="2:25">
      <c r="B142" t="s">
        <v>350</v>
      </c>
      <c r="D142" s="187">
        <v>19.092223163426969</v>
      </c>
      <c r="E142" s="187">
        <v>19.938390494030049</v>
      </c>
      <c r="F142" s="187">
        <v>20.801722802421548</v>
      </c>
      <c r="G142" s="187">
        <v>21.681219642507934</v>
      </c>
      <c r="H142" s="187">
        <v>22.597901608993173</v>
      </c>
      <c r="I142" s="187">
        <v>23.553340889021406</v>
      </c>
      <c r="J142" s="187">
        <v>24.549176141809234</v>
      </c>
      <c r="K142" s="187">
        <v>25.587115309084929</v>
      </c>
    </row>
    <row r="143" spans="2:25">
      <c r="B143" t="s">
        <v>296</v>
      </c>
      <c r="D143" s="187">
        <v>18.768393984911107</v>
      </c>
      <c r="E143" s="187">
        <v>19.600209206322365</v>
      </c>
      <c r="F143" s="187">
        <v>20.448898264956121</v>
      </c>
      <c r="G143" s="187">
        <v>21.313477683598467</v>
      </c>
      <c r="H143" s="187">
        <v>22.214611520061013</v>
      </c>
      <c r="I143" s="187">
        <v>23.153845295129194</v>
      </c>
      <c r="J143" s="187">
        <v>24.132789874207258</v>
      </c>
      <c r="K143" s="187">
        <v>25.153124230088743</v>
      </c>
    </row>
    <row r="144" spans="2:25" ht="16.8">
      <c r="B144" s="179" t="s">
        <v>266</v>
      </c>
      <c r="D144" s="187">
        <f>-D88</f>
        <v>-123</v>
      </c>
      <c r="E144" s="187">
        <f t="shared" ref="E144:K144" si="41">-E88</f>
        <v>-122.8</v>
      </c>
      <c r="F144" s="187">
        <f t="shared" si="41"/>
        <v>-129.80000000000001</v>
      </c>
      <c r="G144" s="187">
        <f t="shared" si="41"/>
        <v>-125.6</v>
      </c>
      <c r="H144" s="187">
        <f t="shared" si="41"/>
        <v>-127.3</v>
      </c>
      <c r="I144" s="187">
        <f t="shared" si="41"/>
        <v>-128.6</v>
      </c>
      <c r="J144" s="187">
        <f t="shared" si="41"/>
        <v>-130.19999999999999</v>
      </c>
      <c r="K144" s="187">
        <f t="shared" si="41"/>
        <v>-131.69999999999999</v>
      </c>
    </row>
    <row r="145" spans="2:21" ht="16.8">
      <c r="B145" s="179" t="s">
        <v>351</v>
      </c>
      <c r="D145" s="187">
        <v>7.367</v>
      </c>
      <c r="E145" s="187">
        <v>6.234</v>
      </c>
      <c r="F145" s="187">
        <v>5.5780000000000003</v>
      </c>
      <c r="G145" s="187">
        <v>3.3689999999999998</v>
      </c>
      <c r="H145" s="187">
        <v>3.3680000000000003</v>
      </c>
      <c r="I145" s="187">
        <v>3.1619999999999999</v>
      </c>
      <c r="J145" s="187">
        <v>3.0940000000000003</v>
      </c>
      <c r="K145" s="187">
        <v>3.0270000000000001</v>
      </c>
    </row>
    <row r="146" spans="2:21">
      <c r="B146" s="38" t="s">
        <v>298</v>
      </c>
      <c r="D146" s="58">
        <f>SUM(D140:D145)</f>
        <v>-45.71515754865532</v>
      </c>
      <c r="E146" s="58">
        <f t="shared" ref="E146:K146" si="42">SUM(E140:E145)</f>
        <v>-45.098014380446848</v>
      </c>
      <c r="F146" s="58">
        <f t="shared" si="42"/>
        <v>-47.31166807558472</v>
      </c>
      <c r="G146" s="58">
        <f t="shared" si="42"/>
        <v>-43.301588881117283</v>
      </c>
      <c r="H146" s="58">
        <f t="shared" si="42"/>
        <v>-43.306599018307772</v>
      </c>
      <c r="I146" s="58">
        <f t="shared" si="42"/>
        <v>-42.836446704098684</v>
      </c>
      <c r="J146" s="58">
        <f t="shared" si="42"/>
        <v>-42.244742670044808</v>
      </c>
      <c r="K146" s="58">
        <f t="shared" si="42"/>
        <v>-41.864954349431159</v>
      </c>
    </row>
    <row r="147" spans="2:21">
      <c r="B147" t="s">
        <v>299</v>
      </c>
      <c r="D147" s="187">
        <v>13.751034124367685</v>
      </c>
      <c r="E147" s="187">
        <v>13.274690050778315</v>
      </c>
      <c r="F147" s="187">
        <v>12.798257977175346</v>
      </c>
      <c r="G147" s="187">
        <v>0</v>
      </c>
      <c r="H147" s="187">
        <v>0</v>
      </c>
      <c r="I147" s="187">
        <v>0</v>
      </c>
      <c r="J147" s="187">
        <v>0</v>
      </c>
      <c r="K147" s="187">
        <v>0</v>
      </c>
    </row>
    <row r="148" spans="2:21">
      <c r="D148" s="53"/>
      <c r="E148" s="53"/>
      <c r="F148" s="53"/>
      <c r="G148" s="53"/>
      <c r="H148" s="53"/>
      <c r="I148" s="53"/>
      <c r="J148" s="53"/>
      <c r="K148" s="53"/>
    </row>
    <row r="149" spans="2:21">
      <c r="B149" t="s">
        <v>300</v>
      </c>
      <c r="D149" s="53">
        <f>SUM(D142:D145,D147)</f>
        <v>-64.021348727294225</v>
      </c>
      <c r="E149" s="53">
        <f t="shared" ref="E149:K149" si="43">SUM(E142:E145,E147)</f>
        <v>-63.752710248869278</v>
      </c>
      <c r="F149" s="53">
        <f t="shared" si="43"/>
        <v>-70.17312095544699</v>
      </c>
      <c r="G149" s="53">
        <f t="shared" si="43"/>
        <v>-79.23630267389359</v>
      </c>
      <c r="H149" s="53">
        <f t="shared" si="43"/>
        <v>-79.119486870945821</v>
      </c>
      <c r="I149" s="53">
        <f t="shared" si="43"/>
        <v>-78.730813815849388</v>
      </c>
      <c r="J149" s="53">
        <f t="shared" si="43"/>
        <v>-78.424033983983506</v>
      </c>
      <c r="K149" s="53">
        <f t="shared" si="43"/>
        <v>-77.932760460826316</v>
      </c>
    </row>
    <row r="152" spans="2:21" ht="16.8">
      <c r="B152" s="75" t="s">
        <v>247</v>
      </c>
      <c r="D152" s="87">
        <f>D189</f>
        <v>74.160747515587701</v>
      </c>
      <c r="E152" s="88">
        <f t="shared" ref="E152:K155" si="44">E189</f>
        <v>94.460797649830411</v>
      </c>
      <c r="F152" s="88">
        <f t="shared" si="44"/>
        <v>106.29976364404084</v>
      </c>
      <c r="G152" s="88">
        <f t="shared" si="44"/>
        <v>115.81468092496775</v>
      </c>
      <c r="H152" s="88">
        <f t="shared" si="44"/>
        <v>121.90169275056566</v>
      </c>
      <c r="I152" s="88">
        <f t="shared" si="44"/>
        <v>125.81220581654877</v>
      </c>
      <c r="J152" s="88">
        <f t="shared" si="44"/>
        <v>125.23945858194335</v>
      </c>
      <c r="K152" s="89">
        <f t="shared" si="44"/>
        <v>125.18499267152457</v>
      </c>
    </row>
    <row r="153" spans="2:21" ht="16.8">
      <c r="B153" s="75" t="s">
        <v>248</v>
      </c>
      <c r="D153" s="87">
        <f>D190</f>
        <v>35.945371487606899</v>
      </c>
      <c r="E153" s="88">
        <f t="shared" si="44"/>
        <v>31.160293764908463</v>
      </c>
      <c r="F153" s="88">
        <f t="shared" si="44"/>
        <v>31.882840409298122</v>
      </c>
      <c r="G153" s="88">
        <f t="shared" si="44"/>
        <v>31.18043803768256</v>
      </c>
      <c r="H153" s="88">
        <f t="shared" si="44"/>
        <v>31.99254597530528</v>
      </c>
      <c r="I153" s="88">
        <f t="shared" si="44"/>
        <v>29.571763005229077</v>
      </c>
      <c r="J153" s="88">
        <f t="shared" si="44"/>
        <v>31.466486913817501</v>
      </c>
      <c r="K153" s="89">
        <f t="shared" si="44"/>
        <v>31.937080597643327</v>
      </c>
    </row>
    <row r="154" spans="2:21" ht="16.8">
      <c r="B154" s="75" t="s">
        <v>249</v>
      </c>
      <c r="D154" s="87">
        <f>D191</f>
        <v>-15.645321353364194</v>
      </c>
      <c r="E154" s="88">
        <f t="shared" si="44"/>
        <v>-19.321327770698026</v>
      </c>
      <c r="F154" s="88">
        <f t="shared" si="44"/>
        <v>-22.367923128371221</v>
      </c>
      <c r="G154" s="88">
        <f t="shared" si="44"/>
        <v>-25.093426212084651</v>
      </c>
      <c r="H154" s="88">
        <f t="shared" si="44"/>
        <v>-28.082032909322166</v>
      </c>
      <c r="I154" s="88">
        <f t="shared" si="44"/>
        <v>-30.144510239834496</v>
      </c>
      <c r="J154" s="88">
        <f t="shared" si="44"/>
        <v>-31.520952824236293</v>
      </c>
      <c r="K154" s="89">
        <f t="shared" si="44"/>
        <v>-31.885677084835415</v>
      </c>
    </row>
    <row r="155" spans="2:21" ht="16.8">
      <c r="B155" s="75" t="s">
        <v>250</v>
      </c>
      <c r="D155" s="87">
        <f>D192</f>
        <v>94.460797649830411</v>
      </c>
      <c r="E155" s="88">
        <f t="shared" si="44"/>
        <v>106.29976364404084</v>
      </c>
      <c r="F155" s="88">
        <f t="shared" si="44"/>
        <v>115.81468092496775</v>
      </c>
      <c r="G155" s="88">
        <f t="shared" si="44"/>
        <v>121.90169275056566</v>
      </c>
      <c r="H155" s="88">
        <f t="shared" si="44"/>
        <v>125.81220581654877</v>
      </c>
      <c r="I155" s="88">
        <f t="shared" si="44"/>
        <v>125.23945858194335</v>
      </c>
      <c r="J155" s="88">
        <f t="shared" si="44"/>
        <v>125.18499267152457</v>
      </c>
      <c r="K155" s="89">
        <f t="shared" si="44"/>
        <v>125.23639618433248</v>
      </c>
    </row>
    <row r="157" spans="2:21" ht="15.6">
      <c r="L157" s="119" t="s">
        <v>301</v>
      </c>
    </row>
    <row r="158" spans="2:21" ht="15.6">
      <c r="B158" t="s">
        <v>289</v>
      </c>
      <c r="D158" s="122">
        <f>D130+D152</f>
        <v>8865.0145032674482</v>
      </c>
      <c r="E158" s="122">
        <f t="shared" ref="E158:K158" si="45">E130+E152</f>
        <v>9375.9647972224429</v>
      </c>
      <c r="F158" s="122">
        <f t="shared" si="45"/>
        <v>9872.0711616176832</v>
      </c>
      <c r="G158" s="122">
        <f t="shared" si="45"/>
        <v>10599.49186808951</v>
      </c>
      <c r="H158" s="122">
        <f t="shared" si="45"/>
        <v>11205.051418557876</v>
      </c>
      <c r="I158" s="122">
        <f t="shared" si="45"/>
        <v>11660.4290745651</v>
      </c>
      <c r="J158" s="122">
        <f t="shared" si="45"/>
        <v>12087.834629745246</v>
      </c>
      <c r="K158" s="122">
        <f t="shared" si="45"/>
        <v>12365.289085841132</v>
      </c>
      <c r="L158" s="120">
        <f>(K158/D158)^(1/7)-1</f>
        <v>4.868825335502569E-2</v>
      </c>
      <c r="M158" t="s">
        <v>302</v>
      </c>
      <c r="N158" s="114">
        <f t="shared" ref="N158:U159" si="46">D158*N$1</f>
        <v>10345.471925313112</v>
      </c>
      <c r="O158" s="109">
        <f t="shared" si="46"/>
        <v>11157.398108694706</v>
      </c>
      <c r="P158" s="109">
        <f t="shared" si="46"/>
        <v>11866.229536264455</v>
      </c>
      <c r="Q158" s="109">
        <f t="shared" si="46"/>
        <v>13016.176014013918</v>
      </c>
      <c r="R158" s="109">
        <f t="shared" si="46"/>
        <v>14275.235507242734</v>
      </c>
      <c r="S158" s="109">
        <f t="shared" si="46"/>
        <v>15310.143374903975</v>
      </c>
      <c r="T158" s="109">
        <f t="shared" si="46"/>
        <v>16306.488915526337</v>
      </c>
      <c r="U158" s="109">
        <f t="shared" si="46"/>
        <v>17163.021251147489</v>
      </c>
    </row>
    <row r="159" spans="2:21" ht="15.6">
      <c r="B159" t="s">
        <v>250</v>
      </c>
      <c r="D159" s="122">
        <f>D133+D155</f>
        <v>9375.9647972224429</v>
      </c>
      <c r="E159" s="122">
        <f t="shared" ref="E159:K159" si="47">E133+E155</f>
        <v>9872.0711616176832</v>
      </c>
      <c r="F159" s="122">
        <f t="shared" si="47"/>
        <v>10599.49186808951</v>
      </c>
      <c r="G159" s="122">
        <f t="shared" si="47"/>
        <v>11205.051418557874</v>
      </c>
      <c r="H159" s="122">
        <f t="shared" si="47"/>
        <v>11660.429074565101</v>
      </c>
      <c r="I159" s="122">
        <f t="shared" si="47"/>
        <v>12087.834629745246</v>
      </c>
      <c r="J159" s="122">
        <f t="shared" si="47"/>
        <v>12365.28908584113</v>
      </c>
      <c r="K159" s="122">
        <f t="shared" si="47"/>
        <v>12478.505771510636</v>
      </c>
      <c r="L159" s="121">
        <f>(K159/D159)^(1/7)-1</f>
        <v>4.1682170653956518E-2</v>
      </c>
      <c r="N159" s="109">
        <f t="shared" si="46"/>
        <v>10941.750918358592</v>
      </c>
      <c r="O159" s="109">
        <f t="shared" si="46"/>
        <v>11747.764682325042</v>
      </c>
      <c r="P159" s="109">
        <f t="shared" si="46"/>
        <v>12740.589225443591</v>
      </c>
      <c r="Q159" s="109">
        <f t="shared" si="46"/>
        <v>13759.803141989069</v>
      </c>
      <c r="R159" s="109">
        <f t="shared" si="46"/>
        <v>14855.386640995939</v>
      </c>
      <c r="S159" s="109">
        <f t="shared" si="46"/>
        <v>15871.326868855507</v>
      </c>
      <c r="T159" s="109">
        <f t="shared" si="46"/>
        <v>16680.774976799683</v>
      </c>
      <c r="U159" s="114">
        <f t="shared" si="46"/>
        <v>17320.166010856763</v>
      </c>
    </row>
    <row r="160" spans="2:21">
      <c r="N160" s="109"/>
      <c r="O160" s="109"/>
      <c r="P160" s="109"/>
      <c r="Q160" s="109"/>
      <c r="R160" s="109"/>
      <c r="S160" s="109"/>
      <c r="T160" s="109"/>
      <c r="U160" s="109"/>
    </row>
    <row r="161" spans="1:21">
      <c r="B161" t="s">
        <v>289</v>
      </c>
      <c r="D161" s="53"/>
      <c r="M161" t="s">
        <v>303</v>
      </c>
      <c r="N161" s="115">
        <f>D158*N$3</f>
        <v>10190.343073497943</v>
      </c>
      <c r="O161" s="109">
        <f t="shared" ref="O161:U161" si="48">E158*O$2</f>
        <v>11172.071138726515</v>
      </c>
      <c r="P161" s="109">
        <f t="shared" si="48"/>
        <v>11946.227932790256</v>
      </c>
      <c r="Q161" s="109">
        <f t="shared" si="48"/>
        <v>13229.305546469204</v>
      </c>
      <c r="R161" s="109">
        <f t="shared" si="48"/>
        <v>14452.491007807776</v>
      </c>
      <c r="S161" s="109">
        <f t="shared" si="48"/>
        <v>15407.330430210926</v>
      </c>
      <c r="T161" s="109">
        <f t="shared" si="48"/>
        <v>16453.871608633614</v>
      </c>
      <c r="U161" s="109">
        <f t="shared" si="48"/>
        <v>17335.856396417163</v>
      </c>
    </row>
    <row r="162" spans="1:21">
      <c r="B162" t="s">
        <v>250</v>
      </c>
      <c r="D162" s="53"/>
      <c r="E162" s="53"/>
      <c r="F162" s="53"/>
      <c r="G162" s="53"/>
      <c r="H162" s="53"/>
      <c r="I162" s="53"/>
      <c r="J162" s="53"/>
      <c r="K162" s="53"/>
      <c r="N162" s="109">
        <f t="shared" ref="N162:U162" si="49">D159*N$2</f>
        <v>11072.126511658949</v>
      </c>
      <c r="O162" s="109">
        <f t="shared" si="49"/>
        <v>11763.214100039737</v>
      </c>
      <c r="P162" s="109">
        <f t="shared" si="49"/>
        <v>12826.482280665094</v>
      </c>
      <c r="Q162" s="109">
        <f t="shared" si="49"/>
        <v>13985.10897737202</v>
      </c>
      <c r="R162" s="109">
        <f t="shared" si="49"/>
        <v>15039.845874176435</v>
      </c>
      <c r="S162" s="109">
        <f t="shared" si="49"/>
        <v>15972.076253392728</v>
      </c>
      <c r="T162" s="109">
        <f t="shared" si="49"/>
        <v>16831.540573975934</v>
      </c>
      <c r="U162" s="115">
        <f t="shared" si="49"/>
        <v>17494.583636097486</v>
      </c>
    </row>
    <row r="163" spans="1:21">
      <c r="D163" s="189"/>
      <c r="E163" s="189"/>
      <c r="F163" s="189"/>
      <c r="G163" s="189"/>
      <c r="H163" s="189"/>
      <c r="I163" s="189"/>
      <c r="J163" s="189"/>
      <c r="K163" s="189"/>
    </row>
    <row r="164" spans="1:21">
      <c r="D164" s="53"/>
    </row>
    <row r="165" spans="1:21">
      <c r="B165" t="s">
        <v>304</v>
      </c>
      <c r="D165" s="190">
        <f t="shared" ref="D165" si="50">D62-D127-D166</f>
        <v>-568.85899585512277</v>
      </c>
      <c r="E165" s="190">
        <f>E62-E127-E166</f>
        <v>-549.89961863661074</v>
      </c>
      <c r="F165" s="190">
        <f t="shared" ref="F165:K165" si="51">F62-F127-F166</f>
        <v>-536.88830227380834</v>
      </c>
      <c r="G165" s="190">
        <f t="shared" si="51"/>
        <v>-523.09693133301403</v>
      </c>
      <c r="H165" s="190">
        <f t="shared" si="51"/>
        <v>-510.35729242605214</v>
      </c>
      <c r="I165" s="190">
        <f t="shared" si="51"/>
        <v>-499.08660917668203</v>
      </c>
      <c r="J165" s="190">
        <f t="shared" si="51"/>
        <v>-479.55827686084973</v>
      </c>
      <c r="K165" s="190">
        <f t="shared" si="51"/>
        <v>-462.2100604895204</v>
      </c>
    </row>
    <row r="166" spans="1:21">
      <c r="B166" t="s">
        <v>305</v>
      </c>
      <c r="D166" s="193">
        <v>0</v>
      </c>
      <c r="E166" s="193">
        <v>-45.816615769767488</v>
      </c>
      <c r="F166" s="193">
        <v>-86.95884940052585</v>
      </c>
      <c r="G166" s="193">
        <v>-132.63554525976781</v>
      </c>
      <c r="H166" s="193">
        <v>-171.25723803624626</v>
      </c>
      <c r="I166" s="193">
        <v>-203.06303939494214</v>
      </c>
      <c r="J166" s="193">
        <v>-232.22763167846148</v>
      </c>
      <c r="K166" s="193">
        <v>-255.85258285567019</v>
      </c>
    </row>
    <row r="167" spans="1:21">
      <c r="D167" s="53"/>
      <c r="E167" s="53"/>
      <c r="F167" s="53"/>
      <c r="G167" s="53"/>
      <c r="H167" s="53"/>
      <c r="I167" s="53"/>
      <c r="J167" s="53"/>
      <c r="K167" s="53"/>
    </row>
    <row r="169" spans="1:21">
      <c r="B169" t="s">
        <v>352</v>
      </c>
      <c r="D169" s="192">
        <v>98.2</v>
      </c>
      <c r="E169" s="192">
        <v>86.4</v>
      </c>
      <c r="F169" s="192">
        <v>80.599999999999994</v>
      </c>
      <c r="G169" s="192">
        <v>94.8</v>
      </c>
      <c r="H169" s="192">
        <v>80.2</v>
      </c>
      <c r="I169" s="192">
        <v>54.8</v>
      </c>
      <c r="J169" s="192">
        <v>15.6</v>
      </c>
      <c r="K169" s="192">
        <v>1.4</v>
      </c>
    </row>
    <row r="170" spans="1:21">
      <c r="B170" t="s">
        <v>353</v>
      </c>
      <c r="D170" s="192">
        <v>-45.1</v>
      </c>
      <c r="E170" s="192">
        <v>-33.4</v>
      </c>
      <c r="F170" s="192">
        <v>-29.6</v>
      </c>
      <c r="G170" s="192">
        <v>-37.299999999999997</v>
      </c>
      <c r="H170" s="192">
        <v>-31.2</v>
      </c>
      <c r="I170" s="192">
        <v>-26.3</v>
      </c>
      <c r="J170" s="192">
        <v>-11.9</v>
      </c>
      <c r="K170" s="192">
        <v>-1.4</v>
      </c>
    </row>
    <row r="171" spans="1:21">
      <c r="D171" s="192"/>
      <c r="E171" s="192"/>
      <c r="F171" s="192"/>
      <c r="G171" s="192"/>
      <c r="H171" s="192"/>
      <c r="I171" s="192"/>
      <c r="J171" s="192"/>
      <c r="K171" s="192"/>
    </row>
    <row r="172" spans="1:21" s="188" customFormat="1">
      <c r="D172" s="194"/>
      <c r="E172" s="194"/>
      <c r="F172" s="194"/>
      <c r="G172" s="194"/>
      <c r="H172" s="194"/>
      <c r="I172" s="194"/>
      <c r="J172" s="194"/>
      <c r="K172" s="194"/>
    </row>
    <row r="174" spans="1:21" ht="16.8">
      <c r="A174" s="86">
        <v>1</v>
      </c>
      <c r="B174" s="75" t="s">
        <v>241</v>
      </c>
      <c r="D174" s="87">
        <f>D183</f>
        <v>33.015222829182463</v>
      </c>
      <c r="E174" s="88">
        <f t="shared" ref="E174:K174" si="52">E183</f>
        <v>31.160293764908463</v>
      </c>
      <c r="F174" s="88">
        <f t="shared" si="52"/>
        <v>31.882840409298122</v>
      </c>
      <c r="G174" s="88">
        <f t="shared" si="52"/>
        <v>31.18043803768256</v>
      </c>
      <c r="H174" s="88">
        <f t="shared" si="52"/>
        <v>31.99254597530528</v>
      </c>
      <c r="I174" s="88">
        <f t="shared" si="52"/>
        <v>29.571763005229077</v>
      </c>
      <c r="J174" s="88">
        <f t="shared" si="52"/>
        <v>31.466486913817501</v>
      </c>
      <c r="K174" s="89">
        <f t="shared" si="52"/>
        <v>31.937080597643327</v>
      </c>
      <c r="L174" s="172">
        <v>243.40743312371282</v>
      </c>
    </row>
    <row r="175" spans="1:21" ht="16.8">
      <c r="A175" s="86">
        <v>2</v>
      </c>
      <c r="B175" s="75" t="s">
        <v>242</v>
      </c>
      <c r="D175" s="87">
        <f t="shared" ref="D175:K176" si="53">D184</f>
        <v>85.318909175055737</v>
      </c>
      <c r="E175" s="88">
        <f t="shared" si="53"/>
        <v>80.52534696953046</v>
      </c>
      <c r="F175" s="88">
        <f t="shared" si="53"/>
        <v>82.392573244100149</v>
      </c>
      <c r="G175" s="88">
        <f t="shared" si="53"/>
        <v>80.577404391287175</v>
      </c>
      <c r="H175" s="88">
        <f t="shared" si="53"/>
        <v>82.676077592097144</v>
      </c>
      <c r="I175" s="88">
        <f t="shared" si="53"/>
        <v>76.420219092366168</v>
      </c>
      <c r="J175" s="88">
        <f t="shared" si="53"/>
        <v>81.316620304166364</v>
      </c>
      <c r="K175" s="89">
        <f t="shared" si="53"/>
        <v>82.532742332977904</v>
      </c>
      <c r="L175" s="172">
        <v>629.02064258851954</v>
      </c>
    </row>
    <row r="176" spans="1:21" ht="16.8">
      <c r="A176" s="86">
        <v>3</v>
      </c>
      <c r="B176" s="75" t="s">
        <v>243</v>
      </c>
      <c r="D176" s="87">
        <f t="shared" si="53"/>
        <v>118.3341320042382</v>
      </c>
      <c r="E176" s="88">
        <f t="shared" si="53"/>
        <v>111.68564073443892</v>
      </c>
      <c r="F176" s="88">
        <f t="shared" si="53"/>
        <v>114.27541365339827</v>
      </c>
      <c r="G176" s="88">
        <f t="shared" si="53"/>
        <v>111.75784242896974</v>
      </c>
      <c r="H176" s="88">
        <f t="shared" si="53"/>
        <v>114.66862356740242</v>
      </c>
      <c r="I176" s="88">
        <f t="shared" si="53"/>
        <v>105.99198209759524</v>
      </c>
      <c r="J176" s="88">
        <f t="shared" si="53"/>
        <v>112.78310721798387</v>
      </c>
      <c r="K176" s="89">
        <f t="shared" si="53"/>
        <v>114.46982293062123</v>
      </c>
      <c r="L176" s="172">
        <v>872.42807571223227</v>
      </c>
    </row>
    <row r="179" spans="1:13" ht="17.399999999999999" thickBot="1">
      <c r="B179" s="185" t="s">
        <v>354</v>
      </c>
    </row>
    <row r="180" spans="1:13" ht="16.8">
      <c r="A180" s="68"/>
      <c r="B180" s="69" t="s">
        <v>237</v>
      </c>
      <c r="D180" s="70">
        <v>41729</v>
      </c>
      <c r="E180" s="71">
        <v>42094</v>
      </c>
      <c r="F180" s="71">
        <v>42460</v>
      </c>
      <c r="G180" s="71">
        <v>42825</v>
      </c>
      <c r="H180" s="71">
        <v>43190</v>
      </c>
      <c r="I180" s="71">
        <v>43555</v>
      </c>
      <c r="J180" s="71">
        <v>43921</v>
      </c>
      <c r="K180" s="72">
        <v>44286</v>
      </c>
      <c r="L180" s="180" t="s">
        <v>238</v>
      </c>
      <c r="M180" s="181" t="s">
        <v>310</v>
      </c>
    </row>
    <row r="181" spans="1:13" ht="16.8">
      <c r="A181" s="74"/>
      <c r="B181" s="75" t="s">
        <v>239</v>
      </c>
      <c r="D181" s="76" t="s">
        <v>240</v>
      </c>
      <c r="E181" s="77" t="s">
        <v>240</v>
      </c>
      <c r="F181" s="77" t="s">
        <v>240</v>
      </c>
      <c r="G181" s="77" t="s">
        <v>240</v>
      </c>
      <c r="H181" s="77" t="s">
        <v>240</v>
      </c>
      <c r="I181" s="77" t="s">
        <v>240</v>
      </c>
      <c r="J181" s="77" t="s">
        <v>240</v>
      </c>
      <c r="K181" s="78" t="s">
        <v>240</v>
      </c>
      <c r="L181" s="182" t="s">
        <v>240</v>
      </c>
      <c r="M181" s="79" t="s">
        <v>240</v>
      </c>
    </row>
    <row r="182" spans="1:13" ht="16.8">
      <c r="A182" s="80"/>
      <c r="B182" s="81" t="s">
        <v>207</v>
      </c>
      <c r="D182" s="82"/>
      <c r="E182" s="83"/>
      <c r="F182" s="83"/>
      <c r="G182" s="83"/>
      <c r="H182" s="83"/>
      <c r="I182" s="83"/>
      <c r="J182" s="83"/>
      <c r="K182" s="84"/>
      <c r="L182" s="183"/>
      <c r="M182" s="85"/>
    </row>
    <row r="183" spans="1:13" ht="16.8">
      <c r="A183" s="86">
        <v>1</v>
      </c>
      <c r="B183" s="75" t="s">
        <v>241</v>
      </c>
      <c r="D183" s="87">
        <v>33.015222829182463</v>
      </c>
      <c r="E183" s="88">
        <v>31.160293764908463</v>
      </c>
      <c r="F183" s="88">
        <v>31.882840409298122</v>
      </c>
      <c r="G183" s="88">
        <v>31.18043803768256</v>
      </c>
      <c r="H183" s="88">
        <v>31.99254597530528</v>
      </c>
      <c r="I183" s="88">
        <v>29.571763005229077</v>
      </c>
      <c r="J183" s="88">
        <v>31.466486913817501</v>
      </c>
      <c r="K183" s="89">
        <v>31.937080597643327</v>
      </c>
      <c r="L183" s="172">
        <v>252.20667153306681</v>
      </c>
      <c r="M183" s="90">
        <v>31.525833941633351</v>
      </c>
    </row>
    <row r="184" spans="1:13" ht="16.8">
      <c r="A184" s="86">
        <v>2</v>
      </c>
      <c r="B184" s="75" t="s">
        <v>242</v>
      </c>
      <c r="D184" s="87">
        <v>85.318909175055737</v>
      </c>
      <c r="E184" s="88">
        <v>80.52534696953046</v>
      </c>
      <c r="F184" s="88">
        <v>82.392573244100149</v>
      </c>
      <c r="G184" s="88">
        <v>80.577404391287175</v>
      </c>
      <c r="H184" s="88">
        <v>82.676077592097144</v>
      </c>
      <c r="I184" s="88">
        <v>76.420219092366168</v>
      </c>
      <c r="J184" s="88">
        <v>81.316620304166364</v>
      </c>
      <c r="K184" s="89">
        <v>82.532742332977904</v>
      </c>
      <c r="L184" s="172">
        <v>651.75989310158116</v>
      </c>
      <c r="M184" s="90">
        <v>81.469986637697644</v>
      </c>
    </row>
    <row r="185" spans="1:13" ht="16.8">
      <c r="A185" s="86">
        <v>3</v>
      </c>
      <c r="B185" s="75" t="s">
        <v>243</v>
      </c>
      <c r="D185" s="87">
        <v>118.3341320042382</v>
      </c>
      <c r="E185" s="88">
        <v>111.68564073443892</v>
      </c>
      <c r="F185" s="88">
        <v>114.27541365339827</v>
      </c>
      <c r="G185" s="88">
        <v>111.75784242896974</v>
      </c>
      <c r="H185" s="88">
        <v>114.66862356740242</v>
      </c>
      <c r="I185" s="88">
        <v>105.99198209759524</v>
      </c>
      <c r="J185" s="88">
        <v>112.78310721798387</v>
      </c>
      <c r="K185" s="89">
        <v>114.46982293062123</v>
      </c>
      <c r="L185" s="172">
        <v>903.96656463464797</v>
      </c>
      <c r="M185" s="90">
        <v>112.995820579331</v>
      </c>
    </row>
    <row r="186" spans="1:13" ht="16.8">
      <c r="A186" s="80"/>
      <c r="B186" s="81" t="s">
        <v>244</v>
      </c>
      <c r="D186" s="82">
        <v>0</v>
      </c>
      <c r="E186" s="83">
        <v>0</v>
      </c>
      <c r="F186" s="83">
        <v>0</v>
      </c>
      <c r="G186" s="83">
        <v>0</v>
      </c>
      <c r="H186" s="83">
        <v>0</v>
      </c>
      <c r="I186" s="83">
        <v>0</v>
      </c>
      <c r="J186" s="83">
        <v>0</v>
      </c>
      <c r="K186" s="84">
        <v>0</v>
      </c>
      <c r="L186" s="183">
        <v>0</v>
      </c>
      <c r="M186" s="85">
        <v>0</v>
      </c>
    </row>
    <row r="187" spans="1:13" ht="16.8">
      <c r="A187" s="86">
        <v>4</v>
      </c>
      <c r="B187" s="75" t="s">
        <v>311</v>
      </c>
      <c r="D187" s="87">
        <v>74.160747515587701</v>
      </c>
      <c r="E187" s="88">
        <v>94.460797649830411</v>
      </c>
      <c r="F187" s="88">
        <v>106.29976364404084</v>
      </c>
      <c r="G187" s="88">
        <v>115.81468092496775</v>
      </c>
      <c r="H187" s="88">
        <v>121.90169275056566</v>
      </c>
      <c r="I187" s="88">
        <v>125.81220581654877</v>
      </c>
      <c r="J187" s="88">
        <v>125.23945858194335</v>
      </c>
      <c r="K187" s="89">
        <v>125.18499267152457</v>
      </c>
      <c r="L187" s="172">
        <v>0</v>
      </c>
      <c r="M187" s="90">
        <v>111.10929244437614</v>
      </c>
    </row>
    <row r="188" spans="1:13" ht="16.8">
      <c r="A188" s="86">
        <v>5</v>
      </c>
      <c r="B188" s="75" t="s">
        <v>246</v>
      </c>
      <c r="D188" s="87">
        <v>0</v>
      </c>
      <c r="E188" s="88">
        <v>0</v>
      </c>
      <c r="F188" s="88">
        <v>0</v>
      </c>
      <c r="G188" s="88">
        <v>0</v>
      </c>
      <c r="H188" s="88">
        <v>0</v>
      </c>
      <c r="I188" s="88">
        <v>0</v>
      </c>
      <c r="J188" s="88">
        <v>0</v>
      </c>
      <c r="K188" s="89">
        <v>0</v>
      </c>
      <c r="L188" s="172">
        <v>0</v>
      </c>
      <c r="M188" s="90">
        <v>0</v>
      </c>
    </row>
    <row r="189" spans="1:13" ht="16.8">
      <c r="A189" s="86">
        <v>6</v>
      </c>
      <c r="B189" s="75" t="s">
        <v>247</v>
      </c>
      <c r="D189" s="87">
        <v>74.160747515587701</v>
      </c>
      <c r="E189" s="88">
        <v>94.460797649830411</v>
      </c>
      <c r="F189" s="88">
        <v>106.29976364404084</v>
      </c>
      <c r="G189" s="88">
        <v>115.81468092496775</v>
      </c>
      <c r="H189" s="88">
        <v>121.90169275056566</v>
      </c>
      <c r="I189" s="88">
        <v>125.81220581654877</v>
      </c>
      <c r="J189" s="88">
        <v>125.23945858194335</v>
      </c>
      <c r="K189" s="89">
        <v>125.18499267152457</v>
      </c>
      <c r="L189" s="172">
        <v>0</v>
      </c>
      <c r="M189" s="90">
        <v>111.10929244437614</v>
      </c>
    </row>
    <row r="190" spans="1:13" ht="16.8">
      <c r="A190" s="86">
        <v>7</v>
      </c>
      <c r="B190" s="75" t="s">
        <v>248</v>
      </c>
      <c r="D190" s="87">
        <v>35.945371487606899</v>
      </c>
      <c r="E190" s="88">
        <v>31.160293764908463</v>
      </c>
      <c r="F190" s="88">
        <v>31.882840409298122</v>
      </c>
      <c r="G190" s="88">
        <v>31.18043803768256</v>
      </c>
      <c r="H190" s="88">
        <v>31.99254597530528</v>
      </c>
      <c r="I190" s="88">
        <v>29.571763005229077</v>
      </c>
      <c r="J190" s="88">
        <v>31.466486913817501</v>
      </c>
      <c r="K190" s="89">
        <v>31.937080597643327</v>
      </c>
      <c r="L190" s="172">
        <v>255.13682019149127</v>
      </c>
      <c r="M190" s="90">
        <v>31.892102523936408</v>
      </c>
    </row>
    <row r="191" spans="1:13" ht="16.8">
      <c r="A191" s="86">
        <v>8</v>
      </c>
      <c r="B191" s="75" t="s">
        <v>249</v>
      </c>
      <c r="D191" s="87">
        <v>-15.645321353364194</v>
      </c>
      <c r="E191" s="88">
        <v>-19.321327770698026</v>
      </c>
      <c r="F191" s="88">
        <v>-22.367923128371221</v>
      </c>
      <c r="G191" s="88">
        <v>-25.093426212084651</v>
      </c>
      <c r="H191" s="88">
        <v>-28.082032909322166</v>
      </c>
      <c r="I191" s="88">
        <v>-30.144510239834496</v>
      </c>
      <c r="J191" s="88">
        <v>-31.520952824236293</v>
      </c>
      <c r="K191" s="89">
        <v>-31.885677084835415</v>
      </c>
      <c r="L191" s="172">
        <v>-204.06117152274646</v>
      </c>
      <c r="M191" s="90">
        <v>-25.507646440343308</v>
      </c>
    </row>
    <row r="192" spans="1:13" ht="16.8">
      <c r="A192" s="86">
        <v>9</v>
      </c>
      <c r="B192" s="75" t="s">
        <v>250</v>
      </c>
      <c r="D192" s="87">
        <v>94.460797649830411</v>
      </c>
      <c r="E192" s="88">
        <v>106.29976364404084</v>
      </c>
      <c r="F192" s="88">
        <v>115.81468092496775</v>
      </c>
      <c r="G192" s="88">
        <v>121.90169275056566</v>
      </c>
      <c r="H192" s="88">
        <v>125.81220581654877</v>
      </c>
      <c r="I192" s="88">
        <v>125.23945858194335</v>
      </c>
      <c r="J192" s="88">
        <v>125.18499267152457</v>
      </c>
      <c r="K192" s="89">
        <v>125.23639618433248</v>
      </c>
      <c r="L192" s="172">
        <v>0</v>
      </c>
      <c r="M192" s="90">
        <v>117.49374852796922</v>
      </c>
    </row>
    <row r="193" spans="1:13" ht="16.8">
      <c r="A193" s="80"/>
      <c r="B193" s="81" t="s">
        <v>251</v>
      </c>
      <c r="D193" s="91">
        <v>0</v>
      </c>
      <c r="E193" s="92">
        <v>0</v>
      </c>
      <c r="F193" s="92">
        <v>0</v>
      </c>
      <c r="G193" s="92">
        <v>0</v>
      </c>
      <c r="H193" s="92">
        <v>0</v>
      </c>
      <c r="I193" s="92">
        <v>0</v>
      </c>
      <c r="J193" s="92">
        <v>0</v>
      </c>
      <c r="K193" s="93">
        <v>0</v>
      </c>
      <c r="L193" s="184">
        <v>0</v>
      </c>
      <c r="M193" s="94">
        <v>0</v>
      </c>
    </row>
    <row r="194" spans="1:13" ht="16.8">
      <c r="A194" s="86">
        <v>10</v>
      </c>
      <c r="B194" s="75" t="s">
        <v>252</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72">
        <v>619.93604258851951</v>
      </c>
      <c r="M194" s="90">
        <v>77.492005323564939</v>
      </c>
    </row>
    <row r="195" spans="1:13" ht="16.8">
      <c r="A195" s="86">
        <v>11</v>
      </c>
      <c r="B195" s="75" t="s">
        <v>253</v>
      </c>
      <c r="D195" s="87">
        <v>0</v>
      </c>
      <c r="E195" s="88">
        <v>0</v>
      </c>
      <c r="F195" s="88">
        <v>0</v>
      </c>
      <c r="G195" s="88">
        <v>0</v>
      </c>
      <c r="H195" s="88">
        <v>0</v>
      </c>
      <c r="I195" s="88">
        <v>0</v>
      </c>
      <c r="J195" s="88">
        <v>0</v>
      </c>
      <c r="K195" s="89">
        <v>0</v>
      </c>
      <c r="L195" s="172">
        <v>0</v>
      </c>
      <c r="M195" s="90">
        <v>0</v>
      </c>
    </row>
    <row r="196" spans="1:13" ht="16.8">
      <c r="A196" s="86">
        <v>12</v>
      </c>
      <c r="B196" s="75" t="s">
        <v>254</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72">
        <v>195.13882051652158</v>
      </c>
      <c r="M196" s="90">
        <v>24.392352564565197</v>
      </c>
    </row>
    <row r="197" spans="1:13" ht="16.8">
      <c r="A197" s="86">
        <v>13</v>
      </c>
      <c r="B197" s="75" t="s">
        <v>255</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72">
        <v>38.677549126287644</v>
      </c>
      <c r="M197" s="90">
        <v>4.8346936407859555</v>
      </c>
    </row>
    <row r="198" spans="1:13" ht="16.8">
      <c r="A198" s="86">
        <v>14</v>
      </c>
      <c r="B198" s="75" t="s">
        <v>256</v>
      </c>
      <c r="D198" s="87">
        <v>0</v>
      </c>
      <c r="E198" s="88">
        <v>0</v>
      </c>
      <c r="F198" s="88">
        <v>0</v>
      </c>
      <c r="G198" s="88">
        <v>0</v>
      </c>
      <c r="H198" s="88">
        <v>0</v>
      </c>
      <c r="I198" s="88">
        <v>0</v>
      </c>
      <c r="J198" s="88">
        <v>0</v>
      </c>
      <c r="K198" s="89">
        <v>0</v>
      </c>
      <c r="L198" s="172">
        <v>0</v>
      </c>
      <c r="M198" s="90">
        <v>0</v>
      </c>
    </row>
    <row r="199" spans="1:13" ht="16.8">
      <c r="A199" s="86">
        <v>15</v>
      </c>
      <c r="B199" s="75" t="s">
        <v>257</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72">
        <v>7.0928230769456135</v>
      </c>
      <c r="M199" s="90">
        <v>0.88660288461820169</v>
      </c>
    </row>
    <row r="200" spans="1:13" ht="16.8">
      <c r="A200" s="86">
        <v>16</v>
      </c>
      <c r="B200" s="75" t="s">
        <v>258</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72">
        <v>83.035157295435894</v>
      </c>
      <c r="M200" s="90">
        <v>10.379394661929487</v>
      </c>
    </row>
    <row r="201" spans="1:13" ht="16.8">
      <c r="A201" s="86">
        <v>17</v>
      </c>
      <c r="B201" s="75" t="s">
        <v>259</v>
      </c>
      <c r="D201" s="87">
        <v>2.0016092127672556</v>
      </c>
      <c r="E201" s="88">
        <v>0.82522992535408668</v>
      </c>
      <c r="F201" s="88">
        <v>0.15069905537749376</v>
      </c>
      <c r="G201" s="88">
        <v>0.12384729257669767</v>
      </c>
      <c r="H201" s="88">
        <v>1.0117778450783115</v>
      </c>
      <c r="I201" s="88">
        <v>0</v>
      </c>
      <c r="J201" s="88">
        <v>0.94578803093084196</v>
      </c>
      <c r="K201" s="89">
        <v>0.90950595778206589</v>
      </c>
      <c r="L201" s="172">
        <v>5.9684573198667525</v>
      </c>
      <c r="M201" s="90">
        <v>0.74605716498334407</v>
      </c>
    </row>
    <row r="202" spans="1:13" ht="16.8">
      <c r="A202" s="80"/>
      <c r="B202" s="81" t="s">
        <v>260</v>
      </c>
      <c r="D202" s="91">
        <v>0</v>
      </c>
      <c r="E202" s="92">
        <v>0</v>
      </c>
      <c r="F202" s="92">
        <v>0</v>
      </c>
      <c r="G202" s="92">
        <v>0</v>
      </c>
      <c r="H202" s="92">
        <v>0</v>
      </c>
      <c r="I202" s="92">
        <v>0</v>
      </c>
      <c r="J202" s="92">
        <v>0</v>
      </c>
      <c r="K202" s="93">
        <v>0</v>
      </c>
      <c r="L202" s="184">
        <v>0</v>
      </c>
      <c r="M202" s="94">
        <v>0</v>
      </c>
    </row>
    <row r="203" spans="1:13" ht="16.8">
      <c r="A203" s="86">
        <v>18</v>
      </c>
      <c r="B203" s="75" t="s">
        <v>252</v>
      </c>
      <c r="D203" s="87">
        <v>85.318909175055737</v>
      </c>
      <c r="E203" s="88">
        <v>80.52534696953046</v>
      </c>
      <c r="F203" s="88">
        <v>82.392573244100149</v>
      </c>
      <c r="G203" s="88">
        <v>80.577404391287175</v>
      </c>
      <c r="H203" s="88">
        <v>82.676077592097144</v>
      </c>
      <c r="I203" s="88">
        <v>76.420219092366168</v>
      </c>
      <c r="J203" s="88">
        <v>81.316620304166364</v>
      </c>
      <c r="K203" s="89">
        <v>82.532742332977904</v>
      </c>
      <c r="L203" s="172">
        <v>651.75989310158116</v>
      </c>
      <c r="M203" s="90">
        <v>81.469986637697644</v>
      </c>
    </row>
    <row r="204" spans="1:13" ht="16.8">
      <c r="A204" s="86">
        <v>19</v>
      </c>
      <c r="B204" s="75" t="s">
        <v>253</v>
      </c>
      <c r="D204" s="87">
        <v>0</v>
      </c>
      <c r="E204" s="88">
        <v>0</v>
      </c>
      <c r="F204" s="88">
        <v>0</v>
      </c>
      <c r="G204" s="88">
        <v>0</v>
      </c>
      <c r="H204" s="88">
        <v>0</v>
      </c>
      <c r="I204" s="88">
        <v>0</v>
      </c>
      <c r="J204" s="88">
        <v>0</v>
      </c>
      <c r="K204" s="89">
        <v>0</v>
      </c>
      <c r="L204" s="172">
        <v>0</v>
      </c>
      <c r="M204" s="90">
        <v>0</v>
      </c>
    </row>
    <row r="205" spans="1:13" ht="16.8">
      <c r="A205" s="86">
        <v>20</v>
      </c>
      <c r="B205" s="75" t="s">
        <v>254</v>
      </c>
      <c r="D205" s="87">
        <v>15.645321353364194</v>
      </c>
      <c r="E205" s="88">
        <v>19.321327770698026</v>
      </c>
      <c r="F205" s="88">
        <v>22.367923128371221</v>
      </c>
      <c r="G205" s="88">
        <v>25.093426212084651</v>
      </c>
      <c r="H205" s="88">
        <v>28.082032909322166</v>
      </c>
      <c r="I205" s="88">
        <v>30.144510239834496</v>
      </c>
      <c r="J205" s="88">
        <v>31.520952824236293</v>
      </c>
      <c r="K205" s="89">
        <v>31.885677084835415</v>
      </c>
      <c r="L205" s="172">
        <v>204.06117152274646</v>
      </c>
      <c r="M205" s="90">
        <v>25.507646440343308</v>
      </c>
    </row>
    <row r="206" spans="1:13" ht="16.8">
      <c r="A206" s="86">
        <v>21</v>
      </c>
      <c r="B206" s="75" t="s">
        <v>255</v>
      </c>
      <c r="D206" s="87">
        <v>3.7442225044469524</v>
      </c>
      <c r="E206" s="88">
        <v>4.3488843791375942</v>
      </c>
      <c r="F206" s="88">
        <v>4.7047137993370312</v>
      </c>
      <c r="G206" s="88">
        <v>4.920788280174011</v>
      </c>
      <c r="H206" s="88">
        <v>5.1287825259698936</v>
      </c>
      <c r="I206" s="88">
        <v>5.1998340506324503</v>
      </c>
      <c r="J206" s="88">
        <v>5.1866214715693353</v>
      </c>
      <c r="K206" s="89">
        <v>5.1865126517966695</v>
      </c>
      <c r="L206" s="172">
        <v>38.420359663063941</v>
      </c>
      <c r="M206" s="90">
        <v>4.8025449578829926</v>
      </c>
    </row>
    <row r="207" spans="1:13" ht="16.8">
      <c r="A207" s="86">
        <v>22</v>
      </c>
      <c r="B207" s="75" t="s">
        <v>256</v>
      </c>
      <c r="D207" s="87">
        <v>0</v>
      </c>
      <c r="E207" s="88">
        <v>0</v>
      </c>
      <c r="F207" s="88">
        <v>0</v>
      </c>
      <c r="G207" s="88">
        <v>0</v>
      </c>
      <c r="H207" s="88">
        <v>0</v>
      </c>
      <c r="I207" s="88">
        <v>0</v>
      </c>
      <c r="J207" s="88">
        <v>0</v>
      </c>
      <c r="K207" s="89">
        <v>0</v>
      </c>
      <c r="L207" s="172">
        <v>0</v>
      </c>
      <c r="M207" s="90">
        <v>0</v>
      </c>
    </row>
    <row r="208" spans="1:13" ht="16.8">
      <c r="A208" s="86">
        <v>23</v>
      </c>
      <c r="B208" s="75" t="s">
        <v>257</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72">
        <v>7.0928230769456135</v>
      </c>
      <c r="M208" s="90">
        <v>0.88660288461820169</v>
      </c>
    </row>
    <row r="209" spans="1:13" ht="16.8">
      <c r="A209" s="86">
        <v>24</v>
      </c>
      <c r="B209" s="75" t="s">
        <v>258</v>
      </c>
      <c r="D209" s="87">
        <v>12.238898857271282</v>
      </c>
      <c r="E209" s="88">
        <v>12.269320008809279</v>
      </c>
      <c r="F209" s="88">
        <v>13.501323356904841</v>
      </c>
      <c r="G209" s="88">
        <v>13.736881640130386</v>
      </c>
      <c r="H209" s="88">
        <v>13.778171327570707</v>
      </c>
      <c r="I209" s="88">
        <v>13.925434742996007</v>
      </c>
      <c r="J209" s="88">
        <v>14.178924455625488</v>
      </c>
      <c r="K209" s="89">
        <v>14.238903713304941</v>
      </c>
      <c r="L209" s="172">
        <v>107.86785810261293</v>
      </c>
      <c r="M209" s="90">
        <v>13.483482262826616</v>
      </c>
    </row>
    <row r="210" spans="1:13" ht="16.8">
      <c r="A210" s="86">
        <v>25</v>
      </c>
      <c r="B210" s="75" t="s">
        <v>259</v>
      </c>
      <c r="D210" s="87">
        <v>1.8203980714592094</v>
      </c>
      <c r="E210" s="88">
        <v>1.2242602279928407</v>
      </c>
      <c r="F210" s="88">
        <v>0.39572943295016616</v>
      </c>
      <c r="G210" s="88">
        <v>0.35480994873238869</v>
      </c>
      <c r="H210" s="88">
        <v>1.2512108093963641</v>
      </c>
      <c r="I210" s="88">
        <v>0.16742229699703778</v>
      </c>
      <c r="J210" s="88">
        <v>1.2988688743192023</v>
      </c>
      <c r="K210" s="89">
        <v>1.2132566349487963</v>
      </c>
      <c r="L210" s="172">
        <v>7.7259562967960047</v>
      </c>
      <c r="M210" s="90">
        <v>0.96574453709950059</v>
      </c>
    </row>
    <row r="211" spans="1:13" ht="16.8">
      <c r="A211" s="80"/>
      <c r="B211" s="81" t="s">
        <v>261</v>
      </c>
      <c r="D211" s="91">
        <v>0</v>
      </c>
      <c r="E211" s="92">
        <v>0</v>
      </c>
      <c r="F211" s="92">
        <v>0</v>
      </c>
      <c r="G211" s="92">
        <v>0</v>
      </c>
      <c r="H211" s="92">
        <v>0</v>
      </c>
      <c r="I211" s="92">
        <v>0</v>
      </c>
      <c r="J211" s="92">
        <v>0</v>
      </c>
      <c r="K211" s="93">
        <v>0</v>
      </c>
      <c r="L211" s="91">
        <v>0</v>
      </c>
      <c r="M211" s="184">
        <v>0</v>
      </c>
    </row>
    <row r="212" spans="1:13" ht="16.8">
      <c r="A212" s="86">
        <v>26</v>
      </c>
      <c r="B212" s="75" t="s">
        <v>262</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72">
        <v>949.84884992357684</v>
      </c>
      <c r="M212" s="90">
        <v>118.7311062404471</v>
      </c>
    </row>
    <row r="213" spans="1:13" ht="16.8">
      <c r="A213" s="86">
        <v>27</v>
      </c>
      <c r="B213" s="75" t="s">
        <v>312</v>
      </c>
      <c r="D213" s="87">
        <v>0</v>
      </c>
      <c r="E213" s="88">
        <v>3.7106038241035293</v>
      </c>
      <c r="F213" s="88">
        <v>6.0364438354306174</v>
      </c>
      <c r="G213" s="88">
        <v>20.850581449170846</v>
      </c>
      <c r="H213" s="88">
        <v>0</v>
      </c>
      <c r="I213" s="88">
        <v>0</v>
      </c>
      <c r="J213" s="88">
        <v>0</v>
      </c>
      <c r="K213" s="88">
        <v>0</v>
      </c>
      <c r="L213" s="172">
        <v>30.597629108704993</v>
      </c>
      <c r="M213" s="90">
        <v>3.8247036385881241</v>
      </c>
    </row>
    <row r="214" spans="1:13" ht="16.8">
      <c r="A214" s="86">
        <v>28</v>
      </c>
      <c r="B214" s="75" t="s">
        <v>264</v>
      </c>
      <c r="D214" s="96">
        <v>113.97553115199239</v>
      </c>
      <c r="E214" s="88">
        <v>117.24346896430818</v>
      </c>
      <c r="F214" s="88">
        <v>120.39300058545147</v>
      </c>
      <c r="G214" s="88">
        <v>137.55601536883614</v>
      </c>
      <c r="H214" s="88">
        <v>122.83308772040758</v>
      </c>
      <c r="I214" s="88">
        <v>117.52358286418433</v>
      </c>
      <c r="J214" s="88">
        <v>124.73063970685706</v>
      </c>
      <c r="K214" s="88">
        <v>126.19115267024478</v>
      </c>
      <c r="L214" s="172">
        <v>980.44647903228201</v>
      </c>
      <c r="M214" s="90">
        <v>122.55580987903525</v>
      </c>
    </row>
    <row r="215" spans="1:13" ht="16.8">
      <c r="A215" s="86">
        <v>29</v>
      </c>
      <c r="B215" s="75" t="s">
        <v>168</v>
      </c>
      <c r="D215" s="96">
        <v>0</v>
      </c>
      <c r="E215" s="88">
        <v>0</v>
      </c>
      <c r="F215" s="88">
        <v>0</v>
      </c>
      <c r="G215" s="88">
        <v>0</v>
      </c>
      <c r="H215" s="88">
        <v>0</v>
      </c>
      <c r="I215" s="88">
        <v>0</v>
      </c>
      <c r="J215" s="88">
        <v>0</v>
      </c>
      <c r="K215" s="88">
        <v>0</v>
      </c>
      <c r="L215" s="172">
        <v>0</v>
      </c>
      <c r="M215" s="90">
        <v>0</v>
      </c>
    </row>
    <row r="216" spans="1:13" ht="16.8">
      <c r="A216" s="86">
        <v>30</v>
      </c>
      <c r="B216" s="75" t="s">
        <v>265</v>
      </c>
      <c r="D216" s="96">
        <v>0</v>
      </c>
      <c r="E216" s="88">
        <v>0</v>
      </c>
      <c r="F216" s="88">
        <v>0</v>
      </c>
      <c r="G216" s="88">
        <v>0</v>
      </c>
      <c r="H216" s="88">
        <v>0</v>
      </c>
      <c r="I216" s="88">
        <v>0</v>
      </c>
      <c r="J216" s="88">
        <v>0</v>
      </c>
      <c r="K216" s="88">
        <v>0</v>
      </c>
      <c r="L216" s="172">
        <v>0</v>
      </c>
      <c r="M216" s="90">
        <v>0</v>
      </c>
    </row>
    <row r="217" spans="1:13" ht="16.8">
      <c r="A217" s="86">
        <v>31</v>
      </c>
      <c r="B217" s="75" t="s">
        <v>266</v>
      </c>
      <c r="D217" s="96">
        <v>0</v>
      </c>
      <c r="E217" s="88">
        <v>0</v>
      </c>
      <c r="F217" s="88">
        <v>0</v>
      </c>
      <c r="G217" s="88">
        <v>0</v>
      </c>
      <c r="H217" s="88">
        <v>0</v>
      </c>
      <c r="I217" s="88">
        <v>0</v>
      </c>
      <c r="J217" s="88">
        <v>0</v>
      </c>
      <c r="K217" s="88">
        <v>0</v>
      </c>
      <c r="L217" s="172">
        <v>0</v>
      </c>
      <c r="M217" s="90">
        <v>0</v>
      </c>
    </row>
    <row r="218" spans="1:13" ht="16.8">
      <c r="A218" s="86">
        <v>32</v>
      </c>
      <c r="B218" s="75" t="s">
        <v>267</v>
      </c>
      <c r="D218" s="96">
        <v>113.97553115199239</v>
      </c>
      <c r="E218" s="88">
        <v>117.24346896430818</v>
      </c>
      <c r="F218" s="88">
        <v>120.39300058545147</v>
      </c>
      <c r="G218" s="88">
        <v>137.55601536883614</v>
      </c>
      <c r="H218" s="88">
        <v>122.83308772040758</v>
      </c>
      <c r="I218" s="88">
        <v>117.52358286418433</v>
      </c>
      <c r="J218" s="88">
        <v>124.73063970685706</v>
      </c>
      <c r="K218" s="88">
        <v>126.19115267024478</v>
      </c>
      <c r="L218" s="172">
        <v>980.44647903228201</v>
      </c>
      <c r="M218" s="90">
        <v>122.55580987903525</v>
      </c>
    </row>
    <row r="219" spans="1:13" ht="16.8">
      <c r="A219" s="80"/>
      <c r="B219" s="81" t="s">
        <v>268</v>
      </c>
      <c r="D219" s="91">
        <v>0</v>
      </c>
      <c r="E219" s="92">
        <v>0</v>
      </c>
      <c r="F219" s="92">
        <v>0</v>
      </c>
      <c r="G219" s="92">
        <v>0</v>
      </c>
      <c r="H219" s="92">
        <v>0</v>
      </c>
      <c r="I219" s="92">
        <v>0</v>
      </c>
      <c r="J219" s="92">
        <v>0</v>
      </c>
      <c r="K219" s="93">
        <v>0</v>
      </c>
      <c r="L219" s="91">
        <v>0</v>
      </c>
      <c r="M219" s="184">
        <v>0</v>
      </c>
    </row>
    <row r="220" spans="1:13" ht="16.8">
      <c r="A220" s="86">
        <f>A218+1</f>
        <v>33</v>
      </c>
      <c r="B220" s="75" t="s">
        <v>268</v>
      </c>
      <c r="D220" s="87">
        <v>119.69994390743108</v>
      </c>
      <c r="E220" s="88">
        <v>118.58883728716589</v>
      </c>
      <c r="F220" s="88">
        <v>124.24009563853161</v>
      </c>
      <c r="G220" s="88">
        <v>125.55563156558647</v>
      </c>
      <c r="H220" s="88">
        <v>131.81503475003785</v>
      </c>
      <c r="I220" s="88">
        <v>126.68543752505576</v>
      </c>
      <c r="J220" s="88">
        <v>134.38616451554529</v>
      </c>
      <c r="K220" s="89">
        <v>135.95691657439207</v>
      </c>
      <c r="L220" s="172">
        <v>1016.9280617637459</v>
      </c>
      <c r="M220" s="90">
        <v>127.11600772046823</v>
      </c>
    </row>
    <row r="221" spans="1:13" ht="16.8">
      <c r="A221" s="86">
        <f>+A220+1</f>
        <v>34</v>
      </c>
      <c r="B221" s="75" t="s">
        <v>269</v>
      </c>
      <c r="D221" s="87">
        <v>114.12213945854668</v>
      </c>
      <c r="E221" s="88">
        <v>117.48816120419283</v>
      </c>
      <c r="F221" s="88">
        <v>119.97738821427971</v>
      </c>
      <c r="G221" s="88">
        <v>120.81569999206685</v>
      </c>
      <c r="H221" s="88">
        <v>126.97143119028321</v>
      </c>
      <c r="I221" s="88">
        <v>121.62192724489044</v>
      </c>
      <c r="J221" s="88">
        <v>129.05222106199386</v>
      </c>
      <c r="K221" s="89">
        <v>130.49285587456652</v>
      </c>
      <c r="L221" s="172">
        <v>980.54182424082012</v>
      </c>
      <c r="M221" s="90">
        <v>122.56772803010251</v>
      </c>
    </row>
    <row r="222" spans="1:13" ht="16.8">
      <c r="A222" s="80"/>
      <c r="B222" s="81" t="s">
        <v>270</v>
      </c>
      <c r="D222" s="91">
        <v>0</v>
      </c>
      <c r="E222" s="92">
        <v>0</v>
      </c>
      <c r="F222" s="92">
        <v>0</v>
      </c>
      <c r="G222" s="92">
        <v>0</v>
      </c>
      <c r="H222" s="92">
        <v>0</v>
      </c>
      <c r="I222" s="92">
        <v>0</v>
      </c>
      <c r="J222" s="92">
        <v>0</v>
      </c>
      <c r="K222" s="93">
        <v>0</v>
      </c>
      <c r="L222" s="91">
        <v>0</v>
      </c>
      <c r="M222" s="184">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72">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72">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72">
        <v>980.54182424082012</v>
      </c>
      <c r="M225" s="90">
        <v>122.56772803010251</v>
      </c>
    </row>
    <row r="226" spans="1:13" ht="16.8">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72">
        <v>1016.9280617637459</v>
      </c>
      <c r="M226" s="90">
        <v>127.11600772046823</v>
      </c>
    </row>
    <row r="227" spans="1:13" ht="16.8">
      <c r="A227" s="86">
        <f>A226+1</f>
        <v>39</v>
      </c>
      <c r="B227" s="98">
        <v>43190</v>
      </c>
      <c r="D227" s="96">
        <v>0</v>
      </c>
      <c r="E227" s="88">
        <v>0</v>
      </c>
      <c r="F227" s="88">
        <v>0</v>
      </c>
      <c r="G227" s="88">
        <v>0</v>
      </c>
      <c r="H227" s="88">
        <v>0</v>
      </c>
      <c r="I227" s="88">
        <v>0</v>
      </c>
      <c r="J227" s="88">
        <v>0</v>
      </c>
      <c r="K227" s="88">
        <v>0</v>
      </c>
      <c r="L227" s="172">
        <v>0</v>
      </c>
      <c r="M227" s="90">
        <v>0</v>
      </c>
    </row>
    <row r="228" spans="1:13" ht="16.8">
      <c r="A228" s="86">
        <f>A227+1</f>
        <v>40</v>
      </c>
      <c r="B228" s="98">
        <v>43555</v>
      </c>
      <c r="D228" s="96">
        <v>0</v>
      </c>
      <c r="E228" s="88">
        <v>0</v>
      </c>
      <c r="F228" s="88">
        <v>0</v>
      </c>
      <c r="G228" s="88">
        <v>0</v>
      </c>
      <c r="H228" s="88">
        <v>0</v>
      </c>
      <c r="I228" s="88">
        <v>0</v>
      </c>
      <c r="J228" s="88">
        <v>0</v>
      </c>
      <c r="K228" s="88">
        <v>0</v>
      </c>
      <c r="L228" s="172">
        <v>0</v>
      </c>
      <c r="M228" s="90">
        <v>0</v>
      </c>
    </row>
    <row r="229" spans="1:13" ht="16.8">
      <c r="A229" s="86">
        <f>A228+1</f>
        <v>41</v>
      </c>
      <c r="B229" s="98">
        <v>43921</v>
      </c>
      <c r="D229" s="96">
        <v>0</v>
      </c>
      <c r="E229" s="88">
        <v>0</v>
      </c>
      <c r="F229" s="88">
        <v>0</v>
      </c>
      <c r="G229" s="88">
        <v>0</v>
      </c>
      <c r="H229" s="88">
        <v>0</v>
      </c>
      <c r="I229" s="88">
        <v>0</v>
      </c>
      <c r="J229" s="88">
        <v>0</v>
      </c>
      <c r="K229" s="88">
        <v>0</v>
      </c>
      <c r="L229" s="172">
        <v>0</v>
      </c>
      <c r="M229" s="90">
        <v>0</v>
      </c>
    </row>
    <row r="230" spans="1:13" ht="17.399999999999999" thickBot="1">
      <c r="A230" s="103">
        <f>A229+1</f>
        <v>42</v>
      </c>
      <c r="B230" s="211">
        <v>44286</v>
      </c>
      <c r="D230" s="214">
        <v>0</v>
      </c>
      <c r="E230" s="106">
        <v>0</v>
      </c>
      <c r="F230" s="106">
        <v>0</v>
      </c>
      <c r="G230" s="106">
        <v>0</v>
      </c>
      <c r="H230" s="106">
        <v>0</v>
      </c>
      <c r="I230" s="106">
        <v>0</v>
      </c>
      <c r="J230" s="106">
        <v>0</v>
      </c>
      <c r="K230" s="106">
        <v>0</v>
      </c>
      <c r="L230" s="215">
        <v>0</v>
      </c>
      <c r="M230" s="108">
        <v>0</v>
      </c>
    </row>
    <row r="231" spans="1:13" ht="16.8">
      <c r="A231" s="80"/>
      <c r="B231" s="81" t="s">
        <v>313</v>
      </c>
      <c r="D231" s="91">
        <v>0</v>
      </c>
      <c r="E231" s="92">
        <v>0</v>
      </c>
      <c r="F231" s="92">
        <v>0</v>
      </c>
      <c r="G231" s="92">
        <v>0</v>
      </c>
      <c r="H231" s="92">
        <v>0</v>
      </c>
      <c r="I231" s="97">
        <v>0</v>
      </c>
      <c r="J231" s="92">
        <v>0</v>
      </c>
      <c r="K231" s="93">
        <v>0</v>
      </c>
      <c r="L231" s="95">
        <v>0</v>
      </c>
      <c r="M231" s="184">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8">
      <c r="A236" s="86">
        <f>A235+1</f>
        <v>47</v>
      </c>
      <c r="B236" s="98">
        <v>43190</v>
      </c>
      <c r="D236" s="96">
        <v>0</v>
      </c>
      <c r="E236" s="88">
        <v>0</v>
      </c>
      <c r="F236" s="88">
        <v>0</v>
      </c>
      <c r="G236" s="88">
        <v>0</v>
      </c>
      <c r="H236" s="88">
        <v>0</v>
      </c>
      <c r="I236" s="88">
        <v>0</v>
      </c>
      <c r="J236" s="88">
        <v>0</v>
      </c>
      <c r="K236" s="89">
        <v>0</v>
      </c>
      <c r="L236" s="90">
        <v>0</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314</v>
      </c>
      <c r="D240" s="91">
        <v>0</v>
      </c>
      <c r="E240" s="92">
        <v>0</v>
      </c>
      <c r="F240" s="92">
        <v>0</v>
      </c>
      <c r="G240" s="92">
        <v>0</v>
      </c>
      <c r="H240" s="92">
        <v>0</v>
      </c>
      <c r="I240" s="97">
        <v>0</v>
      </c>
      <c r="J240" s="92">
        <v>0</v>
      </c>
      <c r="K240" s="93">
        <v>0</v>
      </c>
      <c r="L240" s="91">
        <v>0</v>
      </c>
      <c r="M240" s="184">
        <v>0</v>
      </c>
    </row>
    <row r="241" spans="1:13" ht="16.8">
      <c r="A241" s="86">
        <f>A239+1</f>
        <v>51</v>
      </c>
      <c r="B241" s="75" t="s">
        <v>273</v>
      </c>
      <c r="D241" s="87">
        <v>82.254448691716874</v>
      </c>
      <c r="E241" s="88">
        <v>98.124647543718282</v>
      </c>
      <c r="F241" s="88">
        <v>108.65389836806075</v>
      </c>
      <c r="G241" s="88">
        <v>116.3857209123465</v>
      </c>
      <c r="H241" s="88">
        <v>121.30516854233427</v>
      </c>
      <c r="I241" s="88">
        <v>122.98566817957544</v>
      </c>
      <c r="J241" s="88">
        <v>122.6731663095869</v>
      </c>
      <c r="K241" s="89">
        <v>122.67059252120788</v>
      </c>
      <c r="L241" s="90">
        <v>895.05331106854692</v>
      </c>
      <c r="M241" s="90">
        <v>111.88166388356836</v>
      </c>
    </row>
    <row r="242" spans="1:13" ht="16.8">
      <c r="A242" s="86">
        <f>A241+1</f>
        <v>52</v>
      </c>
      <c r="B242" s="75" t="s">
        <v>26</v>
      </c>
      <c r="D242" s="216">
        <v>0.6</v>
      </c>
      <c r="E242" s="217">
        <v>0.6</v>
      </c>
      <c r="F242" s="217">
        <v>0.6</v>
      </c>
      <c r="G242" s="217">
        <v>0.6</v>
      </c>
      <c r="H242" s="217">
        <v>0.6</v>
      </c>
      <c r="I242" s="217">
        <v>0.6</v>
      </c>
      <c r="J242" s="217">
        <v>0.6</v>
      </c>
      <c r="K242" s="218">
        <v>0.6</v>
      </c>
      <c r="L242" s="219">
        <v>0.6</v>
      </c>
      <c r="M242" s="219">
        <v>0.6</v>
      </c>
    </row>
    <row r="243" spans="1:13" ht="16.8">
      <c r="A243" s="86">
        <f>A242+1</f>
        <v>53</v>
      </c>
      <c r="B243" s="75" t="s">
        <v>274</v>
      </c>
      <c r="D243" s="87">
        <v>32.901779476686748</v>
      </c>
      <c r="E243" s="88">
        <v>39.249859017487317</v>
      </c>
      <c r="F243" s="88">
        <v>43.461559347224302</v>
      </c>
      <c r="G243" s="88">
        <v>46.5542883649386</v>
      </c>
      <c r="H243" s="88">
        <v>48.522067416933709</v>
      </c>
      <c r="I243" s="88">
        <v>49.194267271830178</v>
      </c>
      <c r="J243" s="88">
        <v>49.069266523834763</v>
      </c>
      <c r="K243" s="89">
        <v>49.068237008483152</v>
      </c>
      <c r="L243" s="90">
        <v>358.02132442741879</v>
      </c>
      <c r="M243" s="90">
        <v>44.752665553427349</v>
      </c>
    </row>
    <row r="244" spans="1:13" ht="16.8">
      <c r="A244" s="86">
        <f>A243+1</f>
        <v>54</v>
      </c>
      <c r="B244" s="75" t="s">
        <v>275</v>
      </c>
      <c r="D244" s="87">
        <v>1.4410979410788798</v>
      </c>
      <c r="E244" s="88">
        <v>1.6013942479134822</v>
      </c>
      <c r="F244" s="88">
        <v>1.6624046450313292</v>
      </c>
      <c r="G244" s="88">
        <v>1.6619880946283081</v>
      </c>
      <c r="H244" s="88">
        <v>1.7322378067845334</v>
      </c>
      <c r="I244" s="88">
        <v>1.7562353416043373</v>
      </c>
      <c r="J244" s="88">
        <v>1.7517728149009009</v>
      </c>
      <c r="K244" s="89">
        <v>1.7517360612028487</v>
      </c>
      <c r="L244" s="90">
        <v>13.35886695314462</v>
      </c>
      <c r="M244" s="90">
        <v>1.6698583691430775</v>
      </c>
    </row>
    <row r="245" spans="1:13" ht="17.399999999999999" thickBot="1">
      <c r="A245" s="103">
        <f>A244+1</f>
        <v>55</v>
      </c>
      <c r="B245" s="104" t="s">
        <v>276</v>
      </c>
      <c r="D245" s="105">
        <v>2.3031245633680726</v>
      </c>
      <c r="E245" s="106">
        <v>2.747490131224112</v>
      </c>
      <c r="F245" s="106">
        <v>3.0423091543057019</v>
      </c>
      <c r="G245" s="106">
        <v>3.2588001855457032</v>
      </c>
      <c r="H245" s="106">
        <v>3.3965447191853602</v>
      </c>
      <c r="I245" s="106">
        <v>3.4435987090281133</v>
      </c>
      <c r="J245" s="106">
        <v>3.4348486566684344</v>
      </c>
      <c r="K245" s="107">
        <v>3.4347765905938208</v>
      </c>
      <c r="L245" s="108">
        <v>25.061492709919317</v>
      </c>
      <c r="M245" s="108">
        <v>3.1326865887399147</v>
      </c>
    </row>
    <row r="246" spans="1:13" ht="16.8">
      <c r="A246" s="212"/>
      <c r="B246" s="213"/>
    </row>
    <row r="247" spans="1:13" ht="16.8">
      <c r="A247" s="212"/>
      <c r="B247" s="213"/>
    </row>
    <row r="248" spans="1:13">
      <c r="B248" t="s">
        <v>355</v>
      </c>
      <c r="D248" s="53">
        <v>0.5</v>
      </c>
      <c r="E248" s="53">
        <v>0.4</v>
      </c>
      <c r="F248" s="53">
        <v>0.4</v>
      </c>
      <c r="G248" s="53">
        <v>0.5</v>
      </c>
      <c r="H248" s="53">
        <v>0.4</v>
      </c>
      <c r="I248" s="53">
        <v>0.4</v>
      </c>
      <c r="J248" s="53">
        <v>0.5</v>
      </c>
      <c r="K248" s="53">
        <v>0.4</v>
      </c>
    </row>
    <row r="249" spans="1:13">
      <c r="B249" t="s">
        <v>356</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293</v>
      </c>
      <c r="D250" s="53">
        <v>0.97533863299335366</v>
      </c>
      <c r="E250" s="53">
        <v>1.0185656412076189</v>
      </c>
      <c r="F250" s="53">
        <v>1.0626695334719087</v>
      </c>
      <c r="G250" s="53">
        <v>1.1075992013471012</v>
      </c>
      <c r="H250" s="53">
        <v>1.1544284955800568</v>
      </c>
      <c r="I250" s="53">
        <v>1.2032377323731818</v>
      </c>
      <c r="J250" s="53">
        <v>1.25411062369792</v>
      </c>
      <c r="K250" s="53">
        <v>1.3071344208678681</v>
      </c>
    </row>
    <row r="251" spans="1:13">
      <c r="D251" s="53">
        <f>SUM(D248:D250)</f>
        <v>10.271521977223172</v>
      </c>
      <c r="E251" s="53">
        <f t="shared" ref="E251:K251" si="54">SUM(E248:E250)</f>
        <v>10.214748985437437</v>
      </c>
      <c r="F251" s="53">
        <f t="shared" si="54"/>
        <v>11.357789408220997</v>
      </c>
      <c r="G251" s="53">
        <f t="shared" si="54"/>
        <v>11.50271907609619</v>
      </c>
      <c r="H251" s="53">
        <f t="shared" si="54"/>
        <v>11.449548370329145</v>
      </c>
      <c r="I251" s="53">
        <f t="shared" si="54"/>
        <v>11.498357607122271</v>
      </c>
      <c r="J251" s="53">
        <f t="shared" si="54"/>
        <v>11.649230498447009</v>
      </c>
      <c r="K251" s="53">
        <f t="shared" si="54"/>
        <v>11.602254295616957</v>
      </c>
    </row>
    <row r="253" spans="1:13">
      <c r="B253" t="s">
        <v>357</v>
      </c>
      <c r="D253" s="53">
        <v>1.9673768800481106</v>
      </c>
      <c r="E253" s="53">
        <v>2.0545710233718428</v>
      </c>
      <c r="F253" s="53">
        <v>2.1435339486838436</v>
      </c>
      <c r="G253" s="53">
        <v>2.2341625640341967</v>
      </c>
      <c r="H253" s="53">
        <v>2.3286229572415627</v>
      </c>
      <c r="I253" s="53">
        <v>2.427077135873736</v>
      </c>
      <c r="J253" s="53">
        <v>2.5296939571784778</v>
      </c>
      <c r="K253" s="53">
        <v>2.636649417687984</v>
      </c>
    </row>
    <row r="257" spans="2:4">
      <c r="B257" t="s">
        <v>358</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249977111117893"/>
  </sheetPr>
  <dimension ref="A1:AG147"/>
  <sheetViews>
    <sheetView topLeftCell="A100" workbookViewId="0">
      <pane xSplit="3" topLeftCell="D1" activePane="topRight" state="frozen"/>
      <selection activeCell="H35" sqref="H35"/>
      <selection pane="topRight" activeCell="H123" sqref="H123"/>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381</v>
      </c>
      <c r="C2" s="1" t="s">
        <v>384</v>
      </c>
      <c r="D2" s="2" t="s">
        <v>40</v>
      </c>
      <c r="E2" s="47" t="s">
        <v>41</v>
      </c>
      <c r="G2" s="112" t="s">
        <v>362</v>
      </c>
      <c r="H2" s="113" t="str">
        <f>RPI!$B$1</f>
        <v>Updated Oct 2019</v>
      </c>
      <c r="J2" s="224" t="s">
        <v>398</v>
      </c>
      <c r="K2">
        <f>1-0.4689</f>
        <v>0.53110000000000002</v>
      </c>
    </row>
    <row r="3" spans="1:11" ht="15.6" thickBot="1">
      <c r="C3" s="4" t="s">
        <v>42</v>
      </c>
      <c r="D3" s="64">
        <f>SUMPRODUCT(D81:K81,RPI!$E$2:$L$2)/1000</f>
        <v>1.4227487975585782</v>
      </c>
      <c r="E3" s="232">
        <f>L81/1000</f>
        <v>1.1588637620875542</v>
      </c>
    </row>
    <row r="4" spans="1:11" ht="15.6" thickBot="1">
      <c r="C4" s="3" t="s">
        <v>43</v>
      </c>
      <c r="D4" s="62">
        <f>SUMPRODUCT(D82:K82,RPI!$E$2:$L$2)/1000</f>
        <v>6.1368774763378324</v>
      </c>
      <c r="E4" s="63">
        <f t="shared" ref="E4:E8" si="0">L82/1000</f>
        <v>4.806417480663975</v>
      </c>
    </row>
    <row r="5" spans="1:11" ht="15.6" thickBot="1">
      <c r="C5" s="4" t="s">
        <v>44</v>
      </c>
      <c r="D5" s="64">
        <f>SUMPRODUCT(D83:K83,RPI!$E$2:$L$2)/1000</f>
        <v>4.0659328668525294</v>
      </c>
      <c r="E5" s="232">
        <f t="shared" si="0"/>
        <v>3.347288390677329</v>
      </c>
    </row>
    <row r="6" spans="1:11" ht="15.6" thickBot="1">
      <c r="C6" s="3" t="s">
        <v>45</v>
      </c>
      <c r="D6" s="62">
        <f>SUMPRODUCT(D84:K84,RPI!$E$2:$L$2)/1000</f>
        <v>0</v>
      </c>
      <c r="E6" s="63">
        <f t="shared" si="0"/>
        <v>0</v>
      </c>
    </row>
    <row r="7" spans="1:11" ht="15.6" thickBot="1">
      <c r="C7" s="4" t="s">
        <v>46</v>
      </c>
      <c r="D7" s="64">
        <f>SUMPRODUCT(D85:K85,RPI!$E$2:$L$2)/1000</f>
        <v>2.0550636343973276</v>
      </c>
      <c r="E7" s="232">
        <f t="shared" si="0"/>
        <v>1.623853135909078</v>
      </c>
    </row>
    <row r="8" spans="1:11" ht="15.6" thickBot="1">
      <c r="C8" s="3" t="s">
        <v>47</v>
      </c>
      <c r="D8" s="62">
        <f>SUMPRODUCT(D86:K86,RPI!$E$2:$L$2)/1000</f>
        <v>-0.30995244707176339</v>
      </c>
      <c r="E8" s="63">
        <f t="shared" si="0"/>
        <v>-0.26559764102121969</v>
      </c>
    </row>
    <row r="9" spans="1:11" ht="16.2" thickBot="1">
      <c r="C9" s="5" t="s">
        <v>48</v>
      </c>
      <c r="D9" s="67">
        <f>SUM(D3:D8)</f>
        <v>13.370670328074505</v>
      </c>
      <c r="E9" s="233">
        <f>SUM(E3:E8)</f>
        <v>10.670825128316716</v>
      </c>
    </row>
    <row r="10" spans="1:11" ht="15.6" thickBot="1">
      <c r="C10" s="3" t="s">
        <v>52</v>
      </c>
      <c r="D10" s="62">
        <f>SUMPRODUCT(D88:K88,RPI!$E$2:$L$2)/1000</f>
        <v>0.89416672601474101</v>
      </c>
      <c r="E10" s="63">
        <f>L88/1000</f>
        <v>0.70798416071864323</v>
      </c>
    </row>
    <row r="11" spans="1:11" ht="15.6" thickBot="1">
      <c r="C11" s="4"/>
      <c r="D11" s="64"/>
      <c r="E11" s="232"/>
    </row>
    <row r="12" spans="1:11" ht="15.6" thickBot="1">
      <c r="C12" s="3" t="s">
        <v>49</v>
      </c>
      <c r="D12" s="62">
        <f>SUMPRODUCT(D90:K90,RPI!$E$2:$L$2)/1000</f>
        <v>0.28922566338576178</v>
      </c>
      <c r="E12" s="63">
        <f t="shared" ref="E12:E14" si="1">L90/1000</f>
        <v>0.23082055237155213</v>
      </c>
    </row>
    <row r="13" spans="1:11" ht="15.6" thickBot="1">
      <c r="C13" s="4" t="s">
        <v>46</v>
      </c>
      <c r="D13" s="64">
        <f>SUMPRODUCT(D91:K91,RPI!$E$2:$L$2)/1000</f>
        <v>0.79680469644730745</v>
      </c>
      <c r="E13" s="232">
        <f t="shared" si="1"/>
        <v>0.62900752334068022</v>
      </c>
    </row>
    <row r="14" spans="1:11" ht="15.6" thickBot="1">
      <c r="C14" s="3" t="s">
        <v>47</v>
      </c>
      <c r="D14" s="62">
        <f>SUMPRODUCT(D92:K92,RPI!$E$2:$L$2)/1000</f>
        <v>-6.7604041682769382E-4</v>
      </c>
      <c r="E14" s="63">
        <f t="shared" si="1"/>
        <v>-5.7929770079493889E-4</v>
      </c>
    </row>
    <row r="15" spans="1:11" ht="16.2" thickBot="1">
      <c r="C15" s="5" t="s">
        <v>50</v>
      </c>
      <c r="D15" s="67">
        <f>SUM(D12:D14)</f>
        <v>1.0853543194162414</v>
      </c>
      <c r="E15" s="233">
        <f>SUM(E12:E14)</f>
        <v>0.8592487780114374</v>
      </c>
    </row>
    <row r="16" spans="1:11" ht="15.6" thickBot="1">
      <c r="C16" s="3"/>
      <c r="D16" s="62"/>
      <c r="E16" s="63"/>
    </row>
    <row r="17" spans="1:12" ht="16.2" thickBot="1">
      <c r="C17" s="5" t="s">
        <v>153</v>
      </c>
      <c r="D17" s="67">
        <f>D9+D15</f>
        <v>14.456024647490747</v>
      </c>
      <c r="E17" s="233">
        <f>E9+E15</f>
        <v>11.530073906328154</v>
      </c>
    </row>
    <row r="18" spans="1:12" ht="15.6" thickBot="1">
      <c r="C18" s="3"/>
      <c r="D18" s="62"/>
      <c r="E18" s="63"/>
    </row>
    <row r="19" spans="1:12" ht="16.2" thickBot="1">
      <c r="C19" s="5" t="s">
        <v>53</v>
      </c>
      <c r="D19" s="67">
        <f>E19*RPI!E4</f>
        <v>10.190343073497942</v>
      </c>
      <c r="E19" s="233">
        <f>D97/1000</f>
        <v>8.8650145032674477</v>
      </c>
    </row>
    <row r="20" spans="1:12" ht="16.2" thickBot="1">
      <c r="C20" s="6" t="s">
        <v>54</v>
      </c>
      <c r="D20" s="65">
        <f>E20*RPI!L3</f>
        <v>17.539023989328985</v>
      </c>
      <c r="E20" s="66">
        <f>K100/1000</f>
        <v>12.510204108311459</v>
      </c>
    </row>
    <row r="23" spans="1:12" ht="13.8" thickBot="1">
      <c r="A23" s="38" t="s">
        <v>360</v>
      </c>
    </row>
    <row r="24" spans="1:12" ht="13.8" thickBot="1">
      <c r="C24" s="14" t="s">
        <v>58</v>
      </c>
      <c r="D24" s="15" t="s">
        <v>59</v>
      </c>
      <c r="E24" s="15" t="s">
        <v>60</v>
      </c>
      <c r="F24" s="15" t="s">
        <v>61</v>
      </c>
      <c r="G24" s="15" t="s">
        <v>62</v>
      </c>
      <c r="H24" s="15" t="s">
        <v>63</v>
      </c>
      <c r="I24" s="15" t="s">
        <v>64</v>
      </c>
      <c r="J24" s="15" t="s">
        <v>65</v>
      </c>
      <c r="K24" s="15" t="s">
        <v>66</v>
      </c>
      <c r="L24" s="15" t="s">
        <v>118</v>
      </c>
    </row>
    <row r="25" spans="1:12">
      <c r="C25" s="16"/>
      <c r="D25" s="26"/>
      <c r="E25" s="26"/>
      <c r="F25" s="26"/>
      <c r="G25" s="26"/>
      <c r="H25" s="26"/>
      <c r="I25" s="26"/>
      <c r="J25" s="26"/>
      <c r="K25" s="26"/>
      <c r="L25" s="26"/>
    </row>
    <row r="26" spans="1:12">
      <c r="A26" t="s">
        <v>338</v>
      </c>
      <c r="C26" s="17" t="s">
        <v>119</v>
      </c>
      <c r="D26" s="27">
        <f>'ET workings 15-16'!D15+'ET workings 15-16'!D16+'ET workings 15-16'!D20</f>
        <v>1472.4942399467068</v>
      </c>
      <c r="E26" s="27">
        <f>'ET workings 15-16'!E15+'ET workings 15-16'!E16+'ET workings 15-16'!E20</f>
        <v>1460.526296537415</v>
      </c>
      <c r="F26" s="27">
        <f>'ET workings 15-16'!F15+'ET workings 15-16'!F16+'ET workings 15-16'!F20</f>
        <v>1358.2853938082756</v>
      </c>
      <c r="G26" s="27">
        <f>'ET workings 15-16'!G15+'ET workings 15-16'!G16+'ET workings 15-16'!G20</f>
        <v>1233.344721185963</v>
      </c>
      <c r="H26" s="27">
        <f>'ET workings 15-16'!H15+'ET workings 15-16'!H16+'ET workings 15-16'!H20</f>
        <v>1066.6946981529602</v>
      </c>
      <c r="I26" s="27">
        <f>'ET workings 15-16'!I15+'ET workings 15-16'!I16+'ET workings 15-16'!I20</f>
        <v>1047.8487022275799</v>
      </c>
      <c r="J26" s="27">
        <f>'ET workings 15-16'!J15+'ET workings 15-16'!J16+'ET workings 15-16'!J20</f>
        <v>910.61512341239154</v>
      </c>
      <c r="K26" s="27">
        <f>'ET workings 15-16'!K15+'ET workings 15-16'!K16+'ET workings 15-16'!K20</f>
        <v>762.76045815756584</v>
      </c>
      <c r="L26" s="28">
        <f>SUM(D26:K26)</f>
        <v>9312.5696334288568</v>
      </c>
    </row>
    <row r="27" spans="1:12">
      <c r="C27" s="18" t="s">
        <v>386</v>
      </c>
      <c r="D27" s="29">
        <f>'ET workings 15-16'!D21+'ET workings 15-16'!D17</f>
        <v>192.21282629439594</v>
      </c>
      <c r="E27" s="29">
        <f>'ET workings 15-16'!E21+'ET workings 15-16'!E17</f>
        <v>196.41204072355288</v>
      </c>
      <c r="F27" s="29">
        <f>'ET workings 15-16'!F21+'ET workings 15-16'!F17</f>
        <v>203.04710659109347</v>
      </c>
      <c r="G27" s="29">
        <f>'ET workings 15-16'!G21+'ET workings 15-16'!G17</f>
        <v>204.35171680440774</v>
      </c>
      <c r="H27" s="29">
        <f>'ET workings 15-16'!H21+'ET workings 15-16'!H17</f>
        <v>205.72203973741003</v>
      </c>
      <c r="I27" s="29">
        <f>'ET workings 15-16'!I21+'ET workings 15-16'!I17</f>
        <v>206.0644404839947</v>
      </c>
      <c r="J27" s="29">
        <f>'ET workings 15-16'!J21+'ET workings 15-16'!J17</f>
        <v>207.83890997781467</v>
      </c>
      <c r="K27" s="29">
        <f>'ET workings 15-16'!K21+'ET workings 15-16'!K17</f>
        <v>208.20405529640865</v>
      </c>
      <c r="L27" s="30">
        <f t="shared" ref="L27:L38" si="2">SUM(D27:K27)</f>
        <v>1623.853135909078</v>
      </c>
    </row>
    <row r="28" spans="1:12">
      <c r="C28" s="19" t="s">
        <v>71</v>
      </c>
      <c r="D28" s="31">
        <f>SUM(D26:D27)</f>
        <v>1664.7070662411027</v>
      </c>
      <c r="E28" s="31">
        <f t="shared" ref="E28:K28" si="3">SUM(E26:E27)</f>
        <v>1656.9383372609677</v>
      </c>
      <c r="F28" s="31">
        <f t="shared" si="3"/>
        <v>1561.3325003993691</v>
      </c>
      <c r="G28" s="31">
        <f t="shared" si="3"/>
        <v>1437.6964379903707</v>
      </c>
      <c r="H28" s="31">
        <f t="shared" si="3"/>
        <v>1272.4167378903703</v>
      </c>
      <c r="I28" s="31">
        <f t="shared" si="3"/>
        <v>1253.9131427115747</v>
      </c>
      <c r="J28" s="31">
        <f t="shared" si="3"/>
        <v>1118.4540333902062</v>
      </c>
      <c r="K28" s="31">
        <f t="shared" si="3"/>
        <v>970.96451345397452</v>
      </c>
      <c r="L28" s="28">
        <f t="shared" si="2"/>
        <v>10936.422769337936</v>
      </c>
    </row>
    <row r="29" spans="1:12">
      <c r="A29" t="s">
        <v>346</v>
      </c>
      <c r="C29" s="17" t="s">
        <v>121</v>
      </c>
      <c r="D29" s="27">
        <f>'ET workings 15-16'!D38+'ET workings 15-16'!D39+'ET workings 15-16'!D43</f>
        <v>999.3312346747548</v>
      </c>
      <c r="E29" s="27">
        <f>'ET workings 15-16'!E38+'ET workings 15-16'!E39+'ET workings 15-16'!E43</f>
        <v>1460.526296537415</v>
      </c>
      <c r="F29" s="27">
        <f>'ET workings 15-16'!F38+'ET workings 15-16'!F39+'ET workings 15-16'!F43</f>
        <v>1358.2853938082756</v>
      </c>
      <c r="G29" s="27">
        <f>'ET workings 15-16'!G38+'ET workings 15-16'!G39+'ET workings 15-16'!G43</f>
        <v>1233.344721185963</v>
      </c>
      <c r="H29" s="27">
        <f>'ET workings 15-16'!H38+'ET workings 15-16'!H39+'ET workings 15-16'!H43</f>
        <v>1066.6946981529602</v>
      </c>
      <c r="I29" s="27">
        <f>'ET workings 15-16'!I38+'ET workings 15-16'!I39+'ET workings 15-16'!I43</f>
        <v>1047.8487022275799</v>
      </c>
      <c r="J29" s="27">
        <f>'ET workings 15-16'!J38+'ET workings 15-16'!J39+'ET workings 15-16'!J43</f>
        <v>910.61512341239154</v>
      </c>
      <c r="K29" s="27">
        <f>'ET workings 15-16'!K38+'ET workings 15-16'!K39+'ET workings 15-16'!K43</f>
        <v>762.76045815756584</v>
      </c>
      <c r="L29" s="28">
        <f t="shared" si="2"/>
        <v>8839.4066281569048</v>
      </c>
    </row>
    <row r="30" spans="1:12">
      <c r="C30" s="18" t="s">
        <v>387</v>
      </c>
      <c r="D30" s="29">
        <f>'ET workings 15-16'!D40+'ET workings 15-16'!D44</f>
        <v>165.28612902215741</v>
      </c>
      <c r="E30" s="29">
        <f>'ET workings 15-16'!E40+'ET workings 15-16'!E44</f>
        <v>196.41204072355288</v>
      </c>
      <c r="F30" s="29">
        <f>'ET workings 15-16'!F40+'ET workings 15-16'!F44</f>
        <v>203.04710659109347</v>
      </c>
      <c r="G30" s="29">
        <f>'ET workings 15-16'!G40+'ET workings 15-16'!G44</f>
        <v>204.35171680440774</v>
      </c>
      <c r="H30" s="29">
        <f>'ET workings 15-16'!H40+'ET workings 15-16'!H44</f>
        <v>205.72203973741003</v>
      </c>
      <c r="I30" s="29">
        <f>'ET workings 15-16'!I40+'ET workings 15-16'!I44</f>
        <v>206.0644404839947</v>
      </c>
      <c r="J30" s="29">
        <f>'ET workings 15-16'!J40+'ET workings 15-16'!J44</f>
        <v>207.83890997781467</v>
      </c>
      <c r="K30" s="29">
        <f>'ET workings 15-16'!K40+'ET workings 15-16'!K44</f>
        <v>208.20405529640865</v>
      </c>
      <c r="L30" s="30">
        <f t="shared" si="2"/>
        <v>1596.9264386368393</v>
      </c>
    </row>
    <row r="31" spans="1:12">
      <c r="C31" s="19" t="s">
        <v>77</v>
      </c>
      <c r="D31" s="31">
        <f>SUM(D29:D30)</f>
        <v>1164.6173636969122</v>
      </c>
      <c r="E31" s="31">
        <f t="shared" ref="E31:K31" si="4">SUM(E29:E30)</f>
        <v>1656.9383372609677</v>
      </c>
      <c r="F31" s="31">
        <f t="shared" si="4"/>
        <v>1561.3325003993691</v>
      </c>
      <c r="G31" s="31">
        <f t="shared" si="4"/>
        <v>1437.6964379903707</v>
      </c>
      <c r="H31" s="31">
        <f t="shared" si="4"/>
        <v>1272.4167378903703</v>
      </c>
      <c r="I31" s="31">
        <f t="shared" si="4"/>
        <v>1253.9131427115747</v>
      </c>
      <c r="J31" s="31">
        <f t="shared" si="4"/>
        <v>1118.4540333902062</v>
      </c>
      <c r="K31" s="31">
        <f t="shared" si="4"/>
        <v>970.96451345397452</v>
      </c>
      <c r="L31" s="28">
        <f t="shared" si="2"/>
        <v>10436.333066793746</v>
      </c>
    </row>
    <row r="32" spans="1:12">
      <c r="A32" t="s">
        <v>233</v>
      </c>
      <c r="C32" s="17" t="s">
        <v>388</v>
      </c>
      <c r="D32" s="27">
        <f>D26-(D26-D29)*$K$2</f>
        <v>1221.197367846773</v>
      </c>
      <c r="E32" s="27">
        <f t="shared" ref="E32:K32" si="5">E26-(E26-E29)*$K$2</f>
        <v>1460.526296537415</v>
      </c>
      <c r="F32" s="27">
        <f t="shared" si="5"/>
        <v>1358.2853938082756</v>
      </c>
      <c r="G32" s="27">
        <f t="shared" si="5"/>
        <v>1233.344721185963</v>
      </c>
      <c r="H32" s="27">
        <f t="shared" si="5"/>
        <v>1066.6946981529602</v>
      </c>
      <c r="I32" s="27">
        <f t="shared" si="5"/>
        <v>1047.8487022275799</v>
      </c>
      <c r="J32" s="27">
        <f t="shared" si="5"/>
        <v>910.61512341239154</v>
      </c>
      <c r="K32" s="27">
        <f t="shared" si="5"/>
        <v>762.76045815756584</v>
      </c>
      <c r="L32" s="28">
        <f t="shared" si="2"/>
        <v>9061.2727613289226</v>
      </c>
    </row>
    <row r="33" spans="3:14">
      <c r="C33" s="18" t="s">
        <v>389</v>
      </c>
      <c r="D33" s="29">
        <f>D27-(D27-D30)*$K$2</f>
        <v>177.91205737311006</v>
      </c>
      <c r="E33" s="29">
        <f t="shared" ref="E33:K33" si="6">E27-(E27-E30)*$K$2</f>
        <v>196.41204072355288</v>
      </c>
      <c r="F33" s="29">
        <f t="shared" si="6"/>
        <v>203.04710659109347</v>
      </c>
      <c r="G33" s="29">
        <f t="shared" si="6"/>
        <v>204.35171680440774</v>
      </c>
      <c r="H33" s="29">
        <f t="shared" si="6"/>
        <v>205.72203973741003</v>
      </c>
      <c r="I33" s="29">
        <f t="shared" si="6"/>
        <v>206.0644404839947</v>
      </c>
      <c r="J33" s="29">
        <f t="shared" si="6"/>
        <v>207.83890997781467</v>
      </c>
      <c r="K33" s="29">
        <f t="shared" si="6"/>
        <v>208.20405529640865</v>
      </c>
      <c r="L33" s="30">
        <f t="shared" si="2"/>
        <v>1609.5523669877921</v>
      </c>
    </row>
    <row r="34" spans="3:14">
      <c r="C34" s="19" t="s">
        <v>78</v>
      </c>
      <c r="D34" s="31">
        <f>SUM(D32:D33)</f>
        <v>1399.109425219883</v>
      </c>
      <c r="E34" s="31">
        <f t="shared" ref="E34:K34" si="7">SUM(E32:E33)</f>
        <v>1656.9383372609677</v>
      </c>
      <c r="F34" s="31">
        <f t="shared" si="7"/>
        <v>1561.3325003993691</v>
      </c>
      <c r="G34" s="31">
        <f t="shared" si="7"/>
        <v>1437.6964379903707</v>
      </c>
      <c r="H34" s="31">
        <f t="shared" si="7"/>
        <v>1272.4167378903703</v>
      </c>
      <c r="I34" s="31">
        <f t="shared" si="7"/>
        <v>1253.9131427115747</v>
      </c>
      <c r="J34" s="31">
        <f t="shared" si="7"/>
        <v>1118.4540333902062</v>
      </c>
      <c r="K34" s="31">
        <f t="shared" si="7"/>
        <v>970.96451345397452</v>
      </c>
      <c r="L34" s="28">
        <f t="shared" si="2"/>
        <v>10670.825128316717</v>
      </c>
    </row>
    <row r="35" spans="3:14">
      <c r="C35" s="20"/>
      <c r="D35" s="32"/>
      <c r="E35" s="32"/>
      <c r="F35" s="32"/>
      <c r="G35" s="32"/>
      <c r="H35" s="32"/>
      <c r="I35" s="32"/>
      <c r="J35" s="32"/>
      <c r="K35" s="32"/>
      <c r="L35" s="33"/>
    </row>
    <row r="36" spans="3:14">
      <c r="C36" s="17" t="s">
        <v>79</v>
      </c>
      <c r="D36" s="27">
        <f>'ET workings 15-16'!D55</f>
        <v>209.86641378298268</v>
      </c>
      <c r="E36" s="27">
        <f>'ET workings 15-16'!E55</f>
        <v>248.54075058914538</v>
      </c>
      <c r="F36" s="27">
        <f>'ET workings 15-16'!F55</f>
        <v>234.19987505990539</v>
      </c>
      <c r="G36" s="27">
        <f>'ET workings 15-16'!G55</f>
        <v>215.65446569855544</v>
      </c>
      <c r="H36" s="27">
        <f>'ET workings 15-16'!H55</f>
        <v>190.86251068355574</v>
      </c>
      <c r="I36" s="27">
        <f>'ET workings 15-16'!I55</f>
        <v>188.08697140673627</v>
      </c>
      <c r="J36" s="27">
        <f>'ET workings 15-16'!J55</f>
        <v>167.76810500853094</v>
      </c>
      <c r="K36" s="27">
        <f>'ET workings 15-16'!K55</f>
        <v>145.64467701809619</v>
      </c>
      <c r="L36" s="28">
        <f t="shared" si="2"/>
        <v>1600.6237692475079</v>
      </c>
    </row>
    <row r="37" spans="3:14">
      <c r="C37" s="18" t="s">
        <v>80</v>
      </c>
      <c r="D37" s="29">
        <f>'ET workings 15-16'!D54</f>
        <v>1189.2430114369006</v>
      </c>
      <c r="E37" s="29">
        <f>'ET workings 15-16'!E54</f>
        <v>1408.3975866718224</v>
      </c>
      <c r="F37" s="29">
        <f>'ET workings 15-16'!F54</f>
        <v>1327.1326253394636</v>
      </c>
      <c r="G37" s="29">
        <f>'ET workings 15-16'!G54</f>
        <v>1222.041972291815</v>
      </c>
      <c r="H37" s="29">
        <f>'ET workings 15-16'!H54</f>
        <v>1081.5542272068149</v>
      </c>
      <c r="I37" s="29">
        <f>'ET workings 15-16'!I54</f>
        <v>1065.8261713048387</v>
      </c>
      <c r="J37" s="29">
        <f>'ET workings 15-16'!J54</f>
        <v>950.68592838167524</v>
      </c>
      <c r="K37" s="29">
        <f>'ET workings 15-16'!K54</f>
        <v>825.3198364358783</v>
      </c>
      <c r="L37" s="30">
        <f t="shared" si="2"/>
        <v>9070.2013590692077</v>
      </c>
    </row>
    <row r="38" spans="3:14" ht="13.8" thickBot="1">
      <c r="C38" s="21" t="s">
        <v>390</v>
      </c>
      <c r="D38" s="34">
        <f t="shared" ref="D38:K38" si="8">SUM(D36:D37)</f>
        <v>1399.1094252198832</v>
      </c>
      <c r="E38" s="34">
        <f t="shared" si="8"/>
        <v>1656.9383372609677</v>
      </c>
      <c r="F38" s="34">
        <f t="shared" si="8"/>
        <v>1561.3325003993691</v>
      </c>
      <c r="G38" s="34">
        <f t="shared" si="8"/>
        <v>1437.6964379903704</v>
      </c>
      <c r="H38" s="34">
        <f t="shared" si="8"/>
        <v>1272.4167378903705</v>
      </c>
      <c r="I38" s="34">
        <f t="shared" si="8"/>
        <v>1253.9131427115749</v>
      </c>
      <c r="J38" s="34">
        <f t="shared" si="8"/>
        <v>1118.4540333902062</v>
      </c>
      <c r="K38" s="34">
        <f t="shared" si="8"/>
        <v>970.96451345397452</v>
      </c>
      <c r="L38" s="35">
        <f t="shared" si="2"/>
        <v>10670.825128316717</v>
      </c>
    </row>
    <row r="39" spans="3:14">
      <c r="D39" s="109">
        <f>D38-D34</f>
        <v>0</v>
      </c>
      <c r="E39" s="109">
        <f t="shared" ref="E39:L39" si="9">E38-E34</f>
        <v>0</v>
      </c>
      <c r="F39" s="109">
        <f t="shared" si="9"/>
        <v>0</v>
      </c>
      <c r="G39" s="109">
        <f t="shared" si="9"/>
        <v>0</v>
      </c>
      <c r="H39" s="109">
        <f t="shared" si="9"/>
        <v>0</v>
      </c>
      <c r="I39" s="109">
        <f t="shared" si="9"/>
        <v>0</v>
      </c>
      <c r="J39" s="109">
        <f t="shared" si="9"/>
        <v>0</v>
      </c>
      <c r="K39" s="109">
        <f t="shared" si="9"/>
        <v>0</v>
      </c>
      <c r="L39" s="109">
        <f t="shared" si="9"/>
        <v>0</v>
      </c>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'ET workings 15-16'!D130</f>
        <v>8790.8537557518612</v>
      </c>
      <c r="E42" s="36">
        <f>D46</f>
        <v>9249.0628771499869</v>
      </c>
      <c r="F42" s="36">
        <f t="shared" ref="F42:K42" si="10">E46</f>
        <v>10063.147088763437</v>
      </c>
      <c r="G42" s="36">
        <f t="shared" si="10"/>
        <v>10755.324414010309</v>
      </c>
      <c r="H42" s="36">
        <f t="shared" si="10"/>
        <v>11311.023474160047</v>
      </c>
      <c r="I42" s="36">
        <f t="shared" si="10"/>
        <v>11701.373136676613</v>
      </c>
      <c r="J42" s="36">
        <f t="shared" si="10"/>
        <v>12056.906009636523</v>
      </c>
      <c r="K42" s="36">
        <f t="shared" si="10"/>
        <v>12289.321780471559</v>
      </c>
    </row>
    <row r="43" spans="3:14">
      <c r="C43" s="17" t="s">
        <v>86</v>
      </c>
      <c r="D43" s="27">
        <f>'ET workings 15-16'!D131</f>
        <v>1027.0681172532477</v>
      </c>
      <c r="E43" s="27">
        <f>'ET workings 15-16'!E131</f>
        <v>1408.3975866718224</v>
      </c>
      <c r="F43" s="27">
        <f>'ET workings 15-16'!F131</f>
        <v>1327.1326253394636</v>
      </c>
      <c r="G43" s="27">
        <f>'ET workings 15-16'!G131</f>
        <v>1222.041972291815</v>
      </c>
      <c r="H43" s="27">
        <f>'ET workings 15-16'!H131</f>
        <v>1081.5542272068149</v>
      </c>
      <c r="I43" s="27">
        <f>'ET workings 15-16'!I131</f>
        <v>1065.8261713048387</v>
      </c>
      <c r="J43" s="27">
        <f>'ET workings 15-16'!J131</f>
        <v>950.68592838167524</v>
      </c>
      <c r="K43" s="27">
        <f>'ET workings 15-16'!K131</f>
        <v>825.3198364358783</v>
      </c>
    </row>
    <row r="44" spans="3:14">
      <c r="C44" s="18" t="s">
        <v>92</v>
      </c>
      <c r="D44" s="29">
        <f>'ET workings 15-16'!D165</f>
        <v>-568.85899585512277</v>
      </c>
      <c r="E44" s="29">
        <f>'ET workings 15-16'!E165</f>
        <v>-549.89961863661074</v>
      </c>
      <c r="F44" s="29">
        <f>'ET workings 15-16'!F165</f>
        <v>-536.88830227380834</v>
      </c>
      <c r="G44" s="29">
        <f>'ET workings 15-16'!G165</f>
        <v>-523.0969313330138</v>
      </c>
      <c r="H44" s="29">
        <f>'ET workings 15-16'!H165</f>
        <v>-510.35729242605225</v>
      </c>
      <c r="I44" s="29">
        <f>'ET workings 15-16'!I165</f>
        <v>-499.08660917668203</v>
      </c>
      <c r="J44" s="29">
        <f>'ET workings 15-16'!J165</f>
        <v>-479.55827686084973</v>
      </c>
      <c r="K44" s="29">
        <f>'ET workings 15-16'!K165</f>
        <v>-462.21006048952034</v>
      </c>
    </row>
    <row r="45" spans="3:14">
      <c r="C45" s="17" t="s">
        <v>93</v>
      </c>
      <c r="D45" s="27">
        <f>'ET workings 15-16'!D166</f>
        <v>0</v>
      </c>
      <c r="E45" s="27">
        <f>'ET workings 15-16'!E166</f>
        <v>-44.413756421762059</v>
      </c>
      <c r="F45" s="27">
        <f>'ET workings 15-16'!F166</f>
        <v>-98.066997818783875</v>
      </c>
      <c r="G45" s="27">
        <f>'ET workings 15-16'!G166</f>
        <v>-143.2459808090635</v>
      </c>
      <c r="H45" s="27">
        <f>'ET workings 15-16'!H166</f>
        <v>-180.84727226419625</v>
      </c>
      <c r="I45" s="27">
        <f>'ET workings 15-16'!I166</f>
        <v>-211.20668916824718</v>
      </c>
      <c r="J45" s="27">
        <f>'ET workings 15-16'!J166</f>
        <v>-238.71188068579141</v>
      </c>
      <c r="K45" s="27">
        <f>'ET workings 15-16'!K166</f>
        <v>-261.41482822923439</v>
      </c>
      <c r="N45" s="132" t="s">
        <v>301</v>
      </c>
    </row>
    <row r="46" spans="3:14" ht="13.8" thickBot="1">
      <c r="C46" s="25" t="s">
        <v>94</v>
      </c>
      <c r="D46" s="37">
        <f>SUM(D42:D45)</f>
        <v>9249.0628771499869</v>
      </c>
      <c r="E46" s="37">
        <f t="shared" ref="E46:K46" si="11">SUM(E42:E45)</f>
        <v>10063.147088763437</v>
      </c>
      <c r="F46" s="37">
        <f t="shared" si="11"/>
        <v>10755.324414010309</v>
      </c>
      <c r="G46" s="37">
        <f t="shared" si="11"/>
        <v>11311.023474160047</v>
      </c>
      <c r="H46" s="37">
        <f t="shared" si="11"/>
        <v>11701.373136676613</v>
      </c>
      <c r="I46" s="37">
        <f t="shared" si="11"/>
        <v>12056.906009636523</v>
      </c>
      <c r="J46" s="37">
        <f t="shared" si="11"/>
        <v>12289.321780471559</v>
      </c>
      <c r="K46" s="37">
        <f t="shared" si="11"/>
        <v>12391.016728188682</v>
      </c>
      <c r="N46" s="133">
        <f>(K46/D46)^(1/7)-1</f>
        <v>4.2663505714612082E-2</v>
      </c>
    </row>
    <row r="47" spans="3:14">
      <c r="D47" s="53">
        <f>D46-'ET workings 15-16'!D133</f>
        <v>0</v>
      </c>
      <c r="E47" s="53">
        <f>E46-'ET workings 15-16'!E133</f>
        <v>0</v>
      </c>
      <c r="F47" s="53">
        <f>F46-'ET workings 15-16'!F133</f>
        <v>0</v>
      </c>
      <c r="G47" s="53">
        <f>G46-'ET workings 15-16'!G133</f>
        <v>0</v>
      </c>
      <c r="H47" s="53">
        <f>H46-'ET workings 15-16'!H133</f>
        <v>0</v>
      </c>
      <c r="I47" s="53">
        <f>I46-'ET workings 15-16'!I133</f>
        <v>0</v>
      </c>
      <c r="J47" s="53">
        <f>J46-'ET workings 15-16'!J133</f>
        <v>0</v>
      </c>
      <c r="K47" s="53">
        <f>K46-'ET workings 15-16'!K133</f>
        <v>0</v>
      </c>
    </row>
    <row r="49" spans="1:33" ht="13.8" thickBot="1">
      <c r="A49" s="38" t="s">
        <v>363</v>
      </c>
    </row>
    <row r="50" spans="1:33" ht="13.8" thickBot="1">
      <c r="C50" s="7" t="s">
        <v>58</v>
      </c>
      <c r="D50" s="8" t="s">
        <v>59</v>
      </c>
      <c r="E50" s="8" t="s">
        <v>60</v>
      </c>
      <c r="F50" s="8" t="s">
        <v>61</v>
      </c>
      <c r="G50" s="8" t="s">
        <v>62</v>
      </c>
      <c r="H50" s="8" t="s">
        <v>63</v>
      </c>
      <c r="I50" s="8" t="s">
        <v>64</v>
      </c>
      <c r="J50" s="8" t="s">
        <v>65</v>
      </c>
      <c r="K50" s="8" t="s">
        <v>66</v>
      </c>
      <c r="P50" s="204"/>
    </row>
    <row r="51" spans="1:33">
      <c r="C51" s="22" t="s">
        <v>91</v>
      </c>
      <c r="D51" s="41">
        <f>'ET workings 15-16'!D58</f>
        <v>8691.0913006079008</v>
      </c>
      <c r="E51" s="41">
        <f>D55</f>
        <v>9154.4123523338712</v>
      </c>
      <c r="F51" s="41">
        <f t="shared" ref="F51:K51" si="12">E55</f>
        <v>9974.6275121183826</v>
      </c>
      <c r="G51" s="41">
        <f t="shared" si="12"/>
        <v>10672.935785536316</v>
      </c>
      <c r="H51" s="41">
        <f t="shared" si="12"/>
        <v>11311.023474160047</v>
      </c>
      <c r="I51" s="41">
        <f t="shared" si="12"/>
        <v>11701.373136676613</v>
      </c>
      <c r="J51" s="41">
        <f t="shared" si="12"/>
        <v>12056.906009636523</v>
      </c>
      <c r="K51" s="41">
        <f t="shared" si="12"/>
        <v>12289.321780471557</v>
      </c>
      <c r="P51" s="42"/>
    </row>
    <row r="52" spans="1:33">
      <c r="C52" s="10" t="s">
        <v>85</v>
      </c>
      <c r="D52" s="42">
        <f>'ET workings 15-16'!D59</f>
        <v>0</v>
      </c>
      <c r="E52" s="42">
        <f>'ET workings 15-16'!E59</f>
        <v>0</v>
      </c>
      <c r="F52" s="42">
        <f>'ET workings 15-16'!F59</f>
        <v>0</v>
      </c>
      <c r="G52" s="42">
        <f>'ET workings 15-16'!G59</f>
        <v>82.388628473992952</v>
      </c>
      <c r="H52" s="42">
        <f>'ET workings 15-16'!H59</f>
        <v>0</v>
      </c>
      <c r="I52" s="42">
        <f>'ET workings 15-16'!I59</f>
        <v>0</v>
      </c>
      <c r="J52" s="42">
        <f>'ET workings 15-16'!J59</f>
        <v>0</v>
      </c>
      <c r="K52" s="42">
        <f>'ET workings 15-16'!K59</f>
        <v>0</v>
      </c>
      <c r="P52" s="42"/>
    </row>
    <row r="53" spans="1:33">
      <c r="C53" s="11" t="s">
        <v>86</v>
      </c>
      <c r="D53" s="43">
        <f>'ET workings 15-16'!D61</f>
        <v>1027.0681172532477</v>
      </c>
      <c r="E53" s="43">
        <f>'ET workings 15-16'!E61</f>
        <v>1408.3975866718224</v>
      </c>
      <c r="F53" s="43">
        <f>'ET workings 15-16'!F61</f>
        <v>1327.1326253394636</v>
      </c>
      <c r="G53" s="43">
        <f>'ET workings 15-16'!G61</f>
        <v>1222.041972291815</v>
      </c>
      <c r="H53" s="43">
        <f>'ET workings 15-16'!H61</f>
        <v>1081.5542272068149</v>
      </c>
      <c r="I53" s="43">
        <f>'ET workings 15-16'!I61</f>
        <v>1065.8261713048387</v>
      </c>
      <c r="J53" s="43">
        <f>'ET workings 15-16'!J61</f>
        <v>950.68592838167524</v>
      </c>
      <c r="K53" s="43">
        <f>'ET workings 15-16'!K61</f>
        <v>825.3198364358783</v>
      </c>
      <c r="P53" s="42"/>
    </row>
    <row r="54" spans="1:33">
      <c r="C54" s="10" t="s">
        <v>87</v>
      </c>
      <c r="D54" s="42">
        <f>'ET workings 15-16'!D62</f>
        <v>-563.74706552727753</v>
      </c>
      <c r="E54" s="42">
        <f>'ET workings 15-16'!E62</f>
        <v>-588.18242688731129</v>
      </c>
      <c r="F54" s="42">
        <f>'ET workings 15-16'!F62</f>
        <v>-628.82435192153071</v>
      </c>
      <c r="G54" s="42">
        <f>'ET workings 15-16'!G62</f>
        <v>-666.34291214207735</v>
      </c>
      <c r="H54" s="42">
        <f>'ET workings 15-16'!H62</f>
        <v>-691.2045646902485</v>
      </c>
      <c r="I54" s="42">
        <f>'ET workings 15-16'!I62</f>
        <v>-710.29329834492921</v>
      </c>
      <c r="J54" s="42">
        <f>'ET workings 15-16'!J62</f>
        <v>-718.27015754664114</v>
      </c>
      <c r="K54" s="42">
        <f>'ET workings 15-16'!K62</f>
        <v>-723.62488871875473</v>
      </c>
      <c r="P54" s="42"/>
    </row>
    <row r="55" spans="1:33">
      <c r="C55" s="39" t="s">
        <v>94</v>
      </c>
      <c r="D55" s="45">
        <f>'ET workings 15-16'!D63</f>
        <v>9154.4123523338712</v>
      </c>
      <c r="E55" s="45">
        <f>'ET workings 15-16'!E63</f>
        <v>9974.6275121183826</v>
      </c>
      <c r="F55" s="45">
        <f>'ET workings 15-16'!F63</f>
        <v>10672.935785536316</v>
      </c>
      <c r="G55" s="45">
        <f>'ET workings 15-16'!G63</f>
        <v>11311.023474160047</v>
      </c>
      <c r="H55" s="45">
        <f>'ET workings 15-16'!H63</f>
        <v>11701.373136676613</v>
      </c>
      <c r="I55" s="45">
        <f>'ET workings 15-16'!I63</f>
        <v>12056.906009636523</v>
      </c>
      <c r="J55" s="45">
        <f>'ET workings 15-16'!J63</f>
        <v>12289.321780471557</v>
      </c>
      <c r="K55" s="45">
        <f>'ET workings 15-16'!K63</f>
        <v>12391.016728188681</v>
      </c>
      <c r="P55" s="50"/>
    </row>
    <row r="56" spans="1:33" ht="13.8" thickBot="1">
      <c r="C56" s="40" t="s">
        <v>163</v>
      </c>
      <c r="D56" s="46">
        <f>'ET workings 15-16'!D128-'ET workings 15-16'!D127</f>
        <v>94.650524816115961</v>
      </c>
      <c r="E56" s="46">
        <f>'ET workings 15-16'!E128-'ET workings 15-16'!E127</f>
        <v>88.519576645054457</v>
      </c>
      <c r="F56" s="46">
        <f>'ET workings 15-16'!F128-'ET workings 15-16'!F127</f>
        <v>82.388628473992952</v>
      </c>
      <c r="G56" s="46">
        <f>'ET workings 15-16'!G128-'ET workings 15-16'!G127</f>
        <v>0</v>
      </c>
      <c r="H56" s="46">
        <f>'ET workings 15-16'!H128-'ET workings 15-16'!H127</f>
        <v>0</v>
      </c>
      <c r="I56" s="46">
        <f>'ET workings 15-16'!I128-'ET workings 15-16'!I127</f>
        <v>0</v>
      </c>
      <c r="J56" s="46">
        <f>'ET workings 15-16'!J128-'ET workings 15-16'!J127</f>
        <v>0</v>
      </c>
      <c r="K56" s="46">
        <f>'ET workings 15-16'!K128-'ET workings 15-16'!K127</f>
        <v>0</v>
      </c>
      <c r="P56" s="42"/>
    </row>
    <row r="57" spans="1:33">
      <c r="D57" s="53">
        <f>D55-'ET workings 15-16'!D63</f>
        <v>0</v>
      </c>
      <c r="E57" s="53">
        <f>E55-'ET workings 15-16'!E63</f>
        <v>0</v>
      </c>
      <c r="F57" s="53">
        <f>F55-'ET workings 15-16'!F63</f>
        <v>0</v>
      </c>
      <c r="G57" s="53">
        <f>G55-'ET workings 15-16'!G63</f>
        <v>0</v>
      </c>
      <c r="H57" s="53">
        <f>H55-'ET workings 15-16'!H63</f>
        <v>0</v>
      </c>
      <c r="I57" s="53">
        <f>I55-'ET workings 15-16'!I63</f>
        <v>0</v>
      </c>
      <c r="J57" s="53">
        <f>J55-'ET workings 15-16'!J63</f>
        <v>0</v>
      </c>
      <c r="K57" s="53">
        <f>K55-'ET workings 15-16'!K63</f>
        <v>0</v>
      </c>
      <c r="P57" s="53"/>
    </row>
    <row r="58" spans="1:33" ht="13.8" thickBot="1">
      <c r="P58" s="207"/>
    </row>
    <row r="59" spans="1:33" ht="13.8" thickBot="1">
      <c r="C59" s="7" t="s">
        <v>58</v>
      </c>
      <c r="D59" s="8" t="s">
        <v>59</v>
      </c>
      <c r="E59" s="8" t="s">
        <v>60</v>
      </c>
      <c r="F59" s="8" t="s">
        <v>61</v>
      </c>
      <c r="G59" s="8" t="s">
        <v>62</v>
      </c>
      <c r="H59" s="8" t="s">
        <v>63</v>
      </c>
      <c r="I59" s="8" t="s">
        <v>64</v>
      </c>
      <c r="J59" s="8" t="s">
        <v>65</v>
      </c>
      <c r="K59" s="8" t="s">
        <v>66</v>
      </c>
      <c r="P59" s="204"/>
      <c r="S59" s="204"/>
      <c r="T59" s="204"/>
      <c r="U59" s="204"/>
      <c r="W59" s="204"/>
      <c r="X59" s="204"/>
      <c r="Y59" s="204"/>
      <c r="Z59" s="204"/>
      <c r="AA59" s="204"/>
      <c r="AB59" s="204"/>
      <c r="AC59" s="204"/>
      <c r="AD59" s="204"/>
      <c r="AE59" s="204"/>
    </row>
    <row r="60" spans="1:33">
      <c r="C60" s="22" t="s">
        <v>79</v>
      </c>
      <c r="D60" s="41">
        <f>'ET workings 15-16'!D74</f>
        <v>209.86641378298268</v>
      </c>
      <c r="E60" s="41">
        <f>'ET workings 15-16'!E74</f>
        <v>248.54075058914538</v>
      </c>
      <c r="F60" s="41">
        <f>'ET workings 15-16'!F74</f>
        <v>234.19987505990539</v>
      </c>
      <c r="G60" s="41">
        <f>'ET workings 15-16'!G74</f>
        <v>215.65446569855544</v>
      </c>
      <c r="H60" s="41">
        <f>'ET workings 15-16'!H74</f>
        <v>190.86251068355574</v>
      </c>
      <c r="I60" s="41">
        <f>'ET workings 15-16'!I74</f>
        <v>188.08697140673627</v>
      </c>
      <c r="J60" s="41">
        <f>'ET workings 15-16'!J74</f>
        <v>167.76810500853094</v>
      </c>
      <c r="K60" s="41">
        <f>'ET workings 15-16'!K74</f>
        <v>145.64467701809619</v>
      </c>
      <c r="L60" s="28">
        <f t="shared" ref="L60:L73" si="13">SUM(D60:K60)</f>
        <v>1600.6237692475079</v>
      </c>
      <c r="P60" s="42"/>
      <c r="S60" s="42"/>
      <c r="T60" s="42"/>
      <c r="U60" s="42"/>
      <c r="V60" s="109"/>
      <c r="W60" s="42"/>
      <c r="X60" s="42"/>
      <c r="Y60" s="42"/>
      <c r="Z60" s="42"/>
      <c r="AA60" s="42"/>
      <c r="AB60" s="42"/>
      <c r="AC60" s="42"/>
      <c r="AD60" s="42"/>
      <c r="AE60" s="50"/>
      <c r="AF60" s="109"/>
      <c r="AG60" s="109"/>
    </row>
    <row r="61" spans="1:33">
      <c r="C61" s="10" t="s">
        <v>98</v>
      </c>
      <c r="D61" s="42">
        <f>'ET workings 15-16'!D75</f>
        <v>94.24723304227993</v>
      </c>
      <c r="E61" s="42">
        <f>'ET workings 15-16'!E75</f>
        <v>87.678224204681584</v>
      </c>
      <c r="F61" s="42">
        <f>'ET workings 15-16'!F75</f>
        <v>87.676243763178761</v>
      </c>
      <c r="G61" s="42">
        <f>'ET workings 15-16'!G75</f>
        <v>87.677481779017953</v>
      </c>
      <c r="H61" s="42">
        <f>'ET workings 15-16'!H75</f>
        <v>87.676244486345595</v>
      </c>
      <c r="I61" s="42">
        <f>'ET workings 15-16'!I75</f>
        <v>87.676244488148086</v>
      </c>
      <c r="J61" s="42">
        <f>'ET workings 15-16'!J75</f>
        <v>87.676244492723825</v>
      </c>
      <c r="K61" s="42">
        <f>'ET workings 15-16'!K75</f>
        <v>87.676244462267519</v>
      </c>
      <c r="L61" s="28">
        <f t="shared" si="13"/>
        <v>707.98416071864324</v>
      </c>
      <c r="P61" s="42"/>
      <c r="S61" s="42"/>
      <c r="T61" s="42"/>
      <c r="U61" s="42"/>
      <c r="V61" s="109"/>
      <c r="W61" s="42"/>
      <c r="X61" s="42"/>
      <c r="Y61" s="42"/>
      <c r="Z61" s="42"/>
      <c r="AA61" s="42"/>
      <c r="AB61" s="42"/>
      <c r="AC61" s="42"/>
      <c r="AD61" s="42"/>
      <c r="AE61" s="50"/>
      <c r="AF61" s="109"/>
      <c r="AG61" s="109"/>
    </row>
    <row r="62" spans="1:33">
      <c r="C62" s="11" t="s">
        <v>99</v>
      </c>
      <c r="D62" s="43">
        <f>'ET workings 15-16'!D140</f>
        <v>32.057225303006618</v>
      </c>
      <c r="E62" s="43">
        <f>'ET workings 15-16'!E140</f>
        <v>31.92938591920073</v>
      </c>
      <c r="F62" s="43">
        <f>'ET workings 15-16'!F140</f>
        <v>35.659710857037616</v>
      </c>
      <c r="G62" s="43">
        <f>'ET workings 15-16'!G140</f>
        <v>35.936523229731222</v>
      </c>
      <c r="H62" s="43">
        <f>'ET workings 15-16'!H140</f>
        <v>35.816661578162453</v>
      </c>
      <c r="I62" s="43">
        <f>'ET workings 15-16'!I140</f>
        <v>35.900269917080756</v>
      </c>
      <c r="J62" s="43">
        <f>'ET workings 15-16'!J140</f>
        <v>36.187498497074223</v>
      </c>
      <c r="K62" s="43">
        <f>'ET workings 15-16'!K140</f>
        <v>36.07850407458141</v>
      </c>
      <c r="L62" s="28">
        <f t="shared" si="13"/>
        <v>279.56577937587497</v>
      </c>
      <c r="P62" s="42"/>
      <c r="S62" s="42"/>
      <c r="T62" s="42"/>
      <c r="U62" s="42"/>
      <c r="V62" s="109"/>
      <c r="W62" s="42"/>
      <c r="X62" s="42"/>
      <c r="Y62" s="42"/>
      <c r="Z62" s="42"/>
      <c r="AA62" s="42"/>
      <c r="AB62" s="42"/>
      <c r="AC62" s="42"/>
      <c r="AD62" s="42"/>
      <c r="AE62" s="50"/>
      <c r="AF62" s="109"/>
      <c r="AG62" s="109"/>
    </row>
    <row r="63" spans="1:33">
      <c r="C63" s="10" t="s">
        <v>100</v>
      </c>
      <c r="D63" s="42">
        <f>'ET workings 15-16'!D78</f>
        <v>0</v>
      </c>
      <c r="E63" s="42">
        <f>'ET workings 15-16'!E78</f>
        <v>0</v>
      </c>
      <c r="F63" s="42">
        <f>'ET workings 15-16'!F78</f>
        <v>0</v>
      </c>
      <c r="G63" s="42">
        <f>'ET workings 15-16'!G78</f>
        <v>19.263784250501491</v>
      </c>
      <c r="H63" s="42">
        <f>'ET workings 15-16'!H78</f>
        <v>0</v>
      </c>
      <c r="I63" s="42">
        <f>'ET workings 15-16'!I78</f>
        <v>0</v>
      </c>
      <c r="J63" s="42">
        <f>'ET workings 15-16'!J78</f>
        <v>0</v>
      </c>
      <c r="K63" s="42">
        <f>'ET workings 15-16'!K78</f>
        <v>0</v>
      </c>
      <c r="L63" s="28">
        <f t="shared" si="13"/>
        <v>19.263784250501491</v>
      </c>
      <c r="P63" s="42"/>
      <c r="S63" s="42"/>
      <c r="T63" s="42"/>
      <c r="U63" s="42"/>
      <c r="V63" s="109"/>
      <c r="W63" s="42"/>
      <c r="X63" s="42"/>
      <c r="Y63" s="42"/>
      <c r="Z63" s="42"/>
      <c r="AA63" s="42"/>
      <c r="AB63" s="42"/>
      <c r="AC63" s="42"/>
      <c r="AD63" s="42"/>
      <c r="AE63" s="50"/>
      <c r="AF63" s="109"/>
      <c r="AG63" s="109"/>
    </row>
    <row r="64" spans="1:33">
      <c r="C64" s="11" t="s">
        <v>101</v>
      </c>
      <c r="D64" s="43">
        <f>'ET workings 15-16'!D79</f>
        <v>15.168246288518162</v>
      </c>
      <c r="E64" s="43">
        <f>'ET workings 15-16'!E79</f>
        <v>16.275110005972994</v>
      </c>
      <c r="F64" s="43">
        <f>'ET workings 15-16'!F79</f>
        <v>15.614702904478012</v>
      </c>
      <c r="G64" s="43">
        <f>'ET workings 15-16'!G79</f>
        <v>14.911674359737152</v>
      </c>
      <c r="H64" s="43">
        <f>'ET workings 15-16'!H79</f>
        <v>13.033415757853545</v>
      </c>
      <c r="I64" s="43">
        <f>'ET workings 15-16'!I79</f>
        <v>12.556067765830047</v>
      </c>
      <c r="J64" s="43">
        <f>'ET workings 15-16'!J79</f>
        <v>11.285100906339711</v>
      </c>
      <c r="K64" s="43">
        <f>'ET workings 15-16'!K79</f>
        <v>9.8268179419485548</v>
      </c>
      <c r="L64" s="28">
        <f t="shared" si="13"/>
        <v>108.67113593067819</v>
      </c>
      <c r="P64" s="42"/>
      <c r="S64" s="42"/>
      <c r="T64" s="42"/>
      <c r="U64" s="42"/>
      <c r="V64" s="109"/>
      <c r="W64" s="42"/>
      <c r="X64" s="42"/>
      <c r="Y64" s="42"/>
      <c r="Z64" s="42"/>
      <c r="AA64" s="42"/>
      <c r="AB64" s="42"/>
      <c r="AC64" s="42"/>
      <c r="AD64" s="42"/>
      <c r="AE64" s="50"/>
      <c r="AF64" s="109"/>
      <c r="AG64" s="109"/>
    </row>
    <row r="65" spans="1:33">
      <c r="C65" s="10" t="s">
        <v>102</v>
      </c>
      <c r="D65" s="42">
        <f>'ET workings 15-16'!D81</f>
        <v>96.601957554126471</v>
      </c>
      <c r="E65" s="42">
        <f>'ET workings 15-16'!E81</f>
        <v>77.502688543666494</v>
      </c>
      <c r="F65" s="42">
        <f>'ET workings 15-16'!F81</f>
        <v>68.842447373180065</v>
      </c>
      <c r="G65" s="42">
        <f>'ET workings 15-16'!G81</f>
        <v>74.280186000346205</v>
      </c>
      <c r="H65" s="42">
        <f>'ET workings 15-16'!H81</f>
        <v>66.106356690065709</v>
      </c>
      <c r="I65" s="42">
        <f>'ET workings 15-16'!I81</f>
        <v>69.123710778979657</v>
      </c>
      <c r="J65" s="42">
        <f>'ET workings 15-16'!J81</f>
        <v>67.722245612627177</v>
      </c>
      <c r="K65" s="42">
        <f>'ET workings 15-16'!K81</f>
        <v>68.218853774063078</v>
      </c>
      <c r="L65" s="28">
        <f t="shared" si="13"/>
        <v>588.39844632705478</v>
      </c>
      <c r="P65" s="42"/>
      <c r="S65" s="42"/>
      <c r="T65" s="42"/>
      <c r="U65" s="42"/>
      <c r="V65" s="109"/>
      <c r="W65" s="42"/>
      <c r="X65" s="42"/>
      <c r="Y65" s="42"/>
      <c r="Z65" s="42"/>
      <c r="AA65" s="42"/>
      <c r="AB65" s="42"/>
      <c r="AC65" s="42"/>
      <c r="AD65" s="42"/>
      <c r="AE65" s="50"/>
      <c r="AF65" s="109"/>
      <c r="AG65" s="109"/>
    </row>
    <row r="66" spans="1:33">
      <c r="C66" s="11" t="s">
        <v>103</v>
      </c>
      <c r="D66" s="43">
        <f>'ET workings 15-16'!D76+'ET workings 15-16'!D77</f>
        <v>960.83936376623831</v>
      </c>
      <c r="E66" s="43">
        <f>'ET workings 15-16'!E76+'ET workings 15-16'!E77</f>
        <v>1002.7013074844026</v>
      </c>
      <c r="F66" s="43">
        <f>'ET workings 15-16'!F76+'ET workings 15-16'!F77</f>
        <v>1066.2540558248395</v>
      </c>
      <c r="G66" s="43">
        <f>'ET workings 15-16'!G76+'ET workings 15-16'!G77</f>
        <v>1133.9159562081945</v>
      </c>
      <c r="H66" s="43">
        <f>'ET workings 15-16'!H76+'ET workings 15-16'!H77</f>
        <v>1178.9088194830672</v>
      </c>
      <c r="I66" s="43">
        <f>'ET workings 15-16'!I76+'ET workings 15-16'!I77</f>
        <v>1213.8264501304093</v>
      </c>
      <c r="J66" s="43">
        <f>'ET workings 15-16'!J76+'ET workings 15-16'!J77</f>
        <v>1234.3235630005315</v>
      </c>
      <c r="K66" s="43">
        <f>'ET workings 15-16'!K76+'ET workings 15-16'!K77</f>
        <v>1246.8204144246765</v>
      </c>
      <c r="L66" s="28">
        <f t="shared" si="13"/>
        <v>9037.5899303223596</v>
      </c>
      <c r="P66" s="42"/>
      <c r="S66" s="42"/>
      <c r="T66" s="42"/>
      <c r="U66" s="42"/>
      <c r="V66" s="109"/>
      <c r="W66" s="42"/>
      <c r="X66" s="42"/>
      <c r="Y66" s="42"/>
      <c r="Z66" s="42"/>
      <c r="AA66" s="42"/>
      <c r="AB66" s="42"/>
      <c r="AC66" s="42"/>
      <c r="AD66" s="42"/>
      <c r="AE66" s="50"/>
      <c r="AF66" s="109"/>
      <c r="AG66" s="109"/>
    </row>
    <row r="67" spans="1:33">
      <c r="C67" s="10" t="s">
        <v>168</v>
      </c>
      <c r="D67" s="42">
        <f>'ET workings 15-16'!D86</f>
        <v>13.751034124367685</v>
      </c>
      <c r="E67" s="42">
        <f>'ET workings 15-16'!E86</f>
        <v>13.274690050778315</v>
      </c>
      <c r="F67" s="42">
        <f>'ET workings 15-16'!F86</f>
        <v>12.798257977175346</v>
      </c>
      <c r="G67" s="42">
        <f>'ET workings 15-16'!G86</f>
        <v>0</v>
      </c>
      <c r="H67" s="42">
        <f>'ET workings 15-16'!H86</f>
        <v>0</v>
      </c>
      <c r="I67" s="42">
        <f>'ET workings 15-16'!I86</f>
        <v>0</v>
      </c>
      <c r="J67" s="42">
        <f>'ET workings 15-16'!J86</f>
        <v>0</v>
      </c>
      <c r="K67" s="42">
        <f>'ET workings 15-16'!K86</f>
        <v>0</v>
      </c>
      <c r="L67" s="28">
        <f t="shared" si="13"/>
        <v>39.823982152321349</v>
      </c>
      <c r="P67" s="42"/>
      <c r="S67" s="42"/>
      <c r="T67" s="42"/>
      <c r="U67" s="42"/>
      <c r="V67" s="109"/>
      <c r="W67" s="42"/>
      <c r="X67" s="42"/>
      <c r="Y67" s="42"/>
      <c r="Z67" s="42"/>
      <c r="AA67" s="42"/>
      <c r="AB67" s="42"/>
      <c r="AC67" s="42"/>
      <c r="AD67" s="42"/>
      <c r="AE67" s="50"/>
      <c r="AF67" s="109"/>
      <c r="AG67" s="109"/>
    </row>
    <row r="68" spans="1:33">
      <c r="C68" s="11" t="s">
        <v>169</v>
      </c>
      <c r="D68" s="43">
        <f>'ET workings 15-16'!D149+'ET workings 15-16'!D88-'ET workings 15-16'!D147</f>
        <v>45.617619993651118</v>
      </c>
      <c r="E68" s="43">
        <f>'ET workings 15-16'!E149+'ET workings 15-16'!E88-'ET workings 15-16'!E147</f>
        <v>46.179887471769717</v>
      </c>
      <c r="F68" s="43">
        <f>'ET workings 15-16'!F149+'ET workings 15-16'!F88-'ET workings 15-16'!F147</f>
        <v>47.253544399297347</v>
      </c>
      <c r="G68" s="43">
        <f>'ET workings 15-16'!G149+'ET workings 15-16'!G88-'ET workings 15-16'!G147</f>
        <v>46.849095471786924</v>
      </c>
      <c r="H68" s="43">
        <f>'ET workings 15-16'!H149+'ET workings 15-16'!H88-'ET workings 15-16'!H147</f>
        <v>48.730783605715288</v>
      </c>
      <c r="I68" s="43">
        <f>'ET workings 15-16'!I149+'ET workings 15-16'!I88-'ET workings 15-16'!I147</f>
        <v>50.488992135842764</v>
      </c>
      <c r="J68" s="43">
        <f>'ET workings 15-16'!J149+'ET workings 15-16'!J88-'ET workings 15-16'!J147</f>
        <v>52.470250895324739</v>
      </c>
      <c r="K68" s="43">
        <f>'ET workings 15-16'!K149+'ET workings 15-16'!K88-'ET workings 15-16'!K147</f>
        <v>54.541242559092311</v>
      </c>
      <c r="L68" s="28">
        <f t="shared" si="13"/>
        <v>392.13141653248022</v>
      </c>
      <c r="P68" s="42"/>
      <c r="S68" s="42"/>
      <c r="T68" s="42"/>
      <c r="U68" s="42"/>
      <c r="V68" s="109"/>
      <c r="W68" s="42"/>
      <c r="X68" s="42"/>
      <c r="Y68" s="42"/>
      <c r="Z68" s="42"/>
      <c r="AA68" s="42"/>
      <c r="AB68" s="42"/>
      <c r="AC68" s="42"/>
      <c r="AD68" s="42"/>
      <c r="AE68" s="50"/>
      <c r="AF68" s="109"/>
      <c r="AG68" s="109"/>
    </row>
    <row r="69" spans="1:33" ht="13.8" thickBot="1">
      <c r="C69" s="23" t="s">
        <v>107</v>
      </c>
      <c r="D69" s="44">
        <f>SUM(D60:D68)</f>
        <v>1468.1490938551708</v>
      </c>
      <c r="E69" s="44">
        <f t="shared" ref="E69:K69" si="14">SUM(E60:E68)</f>
        <v>1524.0820442696179</v>
      </c>
      <c r="F69" s="44">
        <f t="shared" si="14"/>
        <v>1568.2988381590922</v>
      </c>
      <c r="G69" s="44">
        <f t="shared" si="14"/>
        <v>1628.4891669978711</v>
      </c>
      <c r="H69" s="44">
        <f t="shared" si="14"/>
        <v>1621.1347922847654</v>
      </c>
      <c r="I69" s="44">
        <f t="shared" si="14"/>
        <v>1657.658706623027</v>
      </c>
      <c r="J69" s="44">
        <f t="shared" si="14"/>
        <v>1657.433008413152</v>
      </c>
      <c r="K69" s="44">
        <f t="shared" si="14"/>
        <v>1648.8067542547255</v>
      </c>
      <c r="L69" s="28">
        <f t="shared" ref="L69" si="15">SUM(D69:K69)</f>
        <v>12774.052404857423</v>
      </c>
      <c r="P69" s="50"/>
      <c r="S69" s="42"/>
      <c r="T69" s="42"/>
      <c r="U69" s="42"/>
      <c r="V69" s="109"/>
      <c r="W69" s="42"/>
      <c r="X69" s="42"/>
      <c r="Y69" s="42"/>
      <c r="Z69" s="42"/>
      <c r="AA69" s="42"/>
      <c r="AB69" s="42"/>
      <c r="AC69" s="42"/>
      <c r="AD69" s="42"/>
      <c r="AE69" s="50"/>
      <c r="AF69" s="109"/>
      <c r="AG69" s="109"/>
    </row>
    <row r="70" spans="1:33" ht="13.8" thickBot="1">
      <c r="L70" s="28"/>
      <c r="S70" s="42"/>
      <c r="T70" s="42"/>
      <c r="U70" s="42"/>
      <c r="V70" s="109"/>
      <c r="W70" s="42"/>
      <c r="X70" s="42"/>
      <c r="Y70" s="42"/>
      <c r="Z70" s="42"/>
      <c r="AA70" s="42"/>
      <c r="AB70" s="42"/>
      <c r="AC70" s="42"/>
      <c r="AD70" s="42"/>
      <c r="AE70" s="50"/>
      <c r="AF70" s="109"/>
      <c r="AG70" s="109"/>
    </row>
    <row r="71" spans="1:33" ht="13.8" thickBot="1">
      <c r="C71" s="7" t="s">
        <v>58</v>
      </c>
      <c r="D71" s="8" t="s">
        <v>59</v>
      </c>
      <c r="E71" s="8" t="s">
        <v>60</v>
      </c>
      <c r="F71" s="8" t="s">
        <v>61</v>
      </c>
      <c r="G71" s="8" t="s">
        <v>62</v>
      </c>
      <c r="H71" s="8" t="s">
        <v>63</v>
      </c>
      <c r="I71" s="8" t="s">
        <v>64</v>
      </c>
      <c r="J71" s="8" t="s">
        <v>65</v>
      </c>
      <c r="K71" s="8" t="s">
        <v>66</v>
      </c>
      <c r="L71" s="28"/>
      <c r="P71" s="204"/>
      <c r="S71" s="42"/>
      <c r="T71" s="42"/>
      <c r="U71" s="42"/>
      <c r="V71" s="109"/>
      <c r="W71" s="42"/>
      <c r="X71" s="42"/>
      <c r="Y71" s="42"/>
      <c r="Z71" s="42"/>
      <c r="AA71" s="42"/>
      <c r="AB71" s="42"/>
      <c r="AC71" s="42"/>
      <c r="AD71" s="42"/>
      <c r="AE71" s="50"/>
      <c r="AF71" s="109"/>
      <c r="AG71" s="109"/>
    </row>
    <row r="72" spans="1:33">
      <c r="C72" s="10" t="s">
        <v>392</v>
      </c>
      <c r="D72" s="42">
        <f>'ET workings 15-16'!D91+'ET workings 15-16'!D86</f>
        <v>1345.149093855171</v>
      </c>
      <c r="E72" s="42">
        <f>'ET workings 15-16'!E91+'ET workings 15-16'!E86</f>
        <v>1401.2820442696179</v>
      </c>
      <c r="F72" s="42">
        <f>'ET workings 15-16'!F91+'ET workings 15-16'!F86</f>
        <v>1438.498838159092</v>
      </c>
      <c r="G72" s="42">
        <f>'ET workings 15-16'!G91+'ET workings 15-16'!G86</f>
        <v>1502.8891669978711</v>
      </c>
      <c r="H72" s="42">
        <f>'ET workings 15-16'!H91+'ET workings 15-16'!H86</f>
        <v>1493.8347922847654</v>
      </c>
      <c r="I72" s="42">
        <f>'ET workings 15-16'!I91+'ET workings 15-16'!I86</f>
        <v>1529.0587066230266</v>
      </c>
      <c r="J72" s="42">
        <f>'ET workings 15-16'!J91+'ET workings 15-16'!J86</f>
        <v>1527.233008413152</v>
      </c>
      <c r="K72" s="42">
        <f>'ET workings 15-16'!K91+'ET workings 15-16'!K86</f>
        <v>1517.1067542547255</v>
      </c>
      <c r="L72" s="28">
        <f t="shared" si="13"/>
        <v>11755.052404857423</v>
      </c>
      <c r="P72" s="42"/>
      <c r="S72" s="42"/>
      <c r="T72" s="42"/>
      <c r="U72" s="42"/>
      <c r="V72" s="109"/>
      <c r="W72" s="42"/>
      <c r="X72" s="42"/>
      <c r="Y72" s="42"/>
      <c r="Z72" s="42"/>
      <c r="AA72" s="42"/>
      <c r="AB72" s="42"/>
      <c r="AC72" s="42"/>
      <c r="AD72" s="42"/>
      <c r="AE72" s="50"/>
      <c r="AF72" s="109"/>
      <c r="AG72" s="109"/>
    </row>
    <row r="73" spans="1:33">
      <c r="C73" s="11" t="s">
        <v>175</v>
      </c>
      <c r="D73" s="43">
        <f>'ET workings 15-16'!D88</f>
        <v>123</v>
      </c>
      <c r="E73" s="43">
        <f>'ET workings 15-16'!E88</f>
        <v>122.8</v>
      </c>
      <c r="F73" s="43">
        <f>'ET workings 15-16'!F88</f>
        <v>129.80000000000001</v>
      </c>
      <c r="G73" s="43">
        <f>'ET workings 15-16'!G88</f>
        <v>125.6</v>
      </c>
      <c r="H73" s="43">
        <f>'ET workings 15-16'!H88</f>
        <v>127.3</v>
      </c>
      <c r="I73" s="43">
        <f>'ET workings 15-16'!I88</f>
        <v>128.6</v>
      </c>
      <c r="J73" s="43">
        <f>'ET workings 15-16'!J88</f>
        <v>130.19999999999999</v>
      </c>
      <c r="K73" s="43">
        <f>'ET workings 15-16'!K88</f>
        <v>131.69999999999999</v>
      </c>
      <c r="L73" s="28">
        <f t="shared" si="13"/>
        <v>1019</v>
      </c>
      <c r="N73" s="132" t="s">
        <v>301</v>
      </c>
      <c r="P73" s="42"/>
      <c r="S73" s="42"/>
      <c r="T73" s="42"/>
      <c r="U73" s="42"/>
      <c r="V73" s="109"/>
      <c r="W73" s="42"/>
      <c r="X73" s="42"/>
      <c r="Y73" s="42"/>
      <c r="Z73" s="42"/>
      <c r="AA73" s="42"/>
      <c r="AB73" s="42"/>
      <c r="AC73" s="42"/>
      <c r="AD73" s="42"/>
      <c r="AE73" s="50"/>
      <c r="AF73" s="109"/>
      <c r="AG73" s="109"/>
    </row>
    <row r="74" spans="1:33" ht="13.8" thickBot="1">
      <c r="C74" s="23" t="s">
        <v>107</v>
      </c>
      <c r="D74" s="44">
        <f t="shared" ref="D74:L74" si="16">D72+D73</f>
        <v>1468.149093855171</v>
      </c>
      <c r="E74" s="44">
        <f t="shared" si="16"/>
        <v>1524.0820442696179</v>
      </c>
      <c r="F74" s="44">
        <f t="shared" si="16"/>
        <v>1568.2988381590919</v>
      </c>
      <c r="G74" s="44">
        <f t="shared" si="16"/>
        <v>1628.4891669978711</v>
      </c>
      <c r="H74" s="44">
        <f t="shared" si="16"/>
        <v>1621.1347922847654</v>
      </c>
      <c r="I74" s="44">
        <f t="shared" si="16"/>
        <v>1657.6587066230265</v>
      </c>
      <c r="J74" s="44">
        <f t="shared" si="16"/>
        <v>1657.433008413152</v>
      </c>
      <c r="K74" s="44">
        <f t="shared" si="16"/>
        <v>1648.8067542547255</v>
      </c>
      <c r="L74" s="28">
        <f t="shared" si="16"/>
        <v>12774.052404857423</v>
      </c>
      <c r="N74" s="133">
        <f>(K74/D74)^(1/7)-1</f>
        <v>1.6716665498528682E-2</v>
      </c>
      <c r="P74" s="50"/>
      <c r="S74" s="50"/>
      <c r="T74" s="50"/>
      <c r="U74" s="50"/>
      <c r="V74" s="109"/>
      <c r="W74" s="50"/>
      <c r="X74" s="50"/>
      <c r="Y74" s="50"/>
      <c r="Z74" s="50"/>
      <c r="AA74" s="50"/>
      <c r="AB74" s="50"/>
      <c r="AC74" s="50"/>
      <c r="AD74" s="50"/>
      <c r="AE74" s="50"/>
      <c r="AF74" s="109"/>
      <c r="AG74" s="109"/>
    </row>
    <row r="75" spans="1:33">
      <c r="D75" s="53"/>
      <c r="E75" s="53"/>
      <c r="F75" s="53"/>
      <c r="G75" s="53"/>
      <c r="H75" s="53"/>
      <c r="I75" s="53"/>
      <c r="J75" s="53"/>
      <c r="K75" s="53"/>
      <c r="L75" s="53"/>
      <c r="P75" s="53"/>
      <c r="AE75" s="38"/>
    </row>
    <row r="76" spans="1:33">
      <c r="D76" s="53"/>
      <c r="E76" s="53"/>
      <c r="F76" s="53"/>
      <c r="G76" s="53"/>
      <c r="H76" s="53"/>
      <c r="I76" s="53"/>
      <c r="J76" s="53"/>
      <c r="K76" s="53"/>
      <c r="L76" s="53"/>
      <c r="AE76" s="38"/>
    </row>
    <row r="77" spans="1:33">
      <c r="D77" s="53"/>
      <c r="E77" s="53"/>
      <c r="F77" s="53"/>
      <c r="G77" s="53"/>
      <c r="H77" s="53"/>
      <c r="I77" s="53"/>
      <c r="J77" s="53"/>
      <c r="K77" s="53"/>
      <c r="L77" s="53"/>
      <c r="AE77" s="38"/>
    </row>
    <row r="78" spans="1:33" ht="13.8" thickBot="1"/>
    <row r="79" spans="1:33" ht="13.8" thickBot="1">
      <c r="A79" s="38"/>
      <c r="C79" s="14" t="s">
        <v>58</v>
      </c>
      <c r="D79" s="15" t="s">
        <v>59</v>
      </c>
      <c r="E79" s="15" t="s">
        <v>60</v>
      </c>
      <c r="F79" s="15" t="s">
        <v>61</v>
      </c>
      <c r="G79" s="15" t="s">
        <v>62</v>
      </c>
      <c r="H79" s="15" t="s">
        <v>63</v>
      </c>
      <c r="I79" s="15" t="s">
        <v>64</v>
      </c>
      <c r="J79" s="15" t="s">
        <v>65</v>
      </c>
      <c r="K79" s="15" t="s">
        <v>66</v>
      </c>
      <c r="L79" s="15" t="s">
        <v>118</v>
      </c>
      <c r="P79" s="205"/>
    </row>
    <row r="80" spans="1:33">
      <c r="C80" s="124"/>
      <c r="D80" s="125"/>
      <c r="E80" s="125"/>
      <c r="F80" s="125"/>
      <c r="G80" s="125"/>
      <c r="H80" s="125"/>
      <c r="I80" s="125"/>
      <c r="J80" s="125"/>
      <c r="K80" s="125"/>
      <c r="L80" s="125"/>
      <c r="P80" s="206"/>
    </row>
    <row r="81" spans="1:16">
      <c r="C81" s="17" t="str">
        <f>C3</f>
        <v>TO capex - load-related</v>
      </c>
      <c r="D81" s="165">
        <f>'ET workings 15-16'!D15</f>
        <v>241.91835100747039</v>
      </c>
      <c r="E81" s="165">
        <f>'ET workings 15-16'!E15</f>
        <v>206.22285805015076</v>
      </c>
      <c r="F81" s="165">
        <f>'ET workings 15-16'!F15</f>
        <v>183.4765697039528</v>
      </c>
      <c r="G81" s="165">
        <f>IF('ET workings 15-16'!G23='ET workings 15-16'!G46,'ET workings 15-16'!G15,('ET workings 15-16'!G15+'ET workings 15-16'!G20)-('ET workings 15-16'!G15+'ET workings 15-16'!G20-'ET workings 15-16'!G38)*$K$2)</f>
        <v>187.40173539185469</v>
      </c>
      <c r="H81" s="165">
        <f>IF('ET workings 15-16'!H23='ET workings 15-16'!H46,'ET workings 15-16'!H15,('ET workings 15-16'!H15+'ET workings 15-16'!H20)-('ET workings 15-16'!H15+'ET workings 15-16'!H20-'ET workings 15-16'!H38)*$K$2)</f>
        <v>142.92705896695065</v>
      </c>
      <c r="I81" s="165">
        <f>IF('ET workings 15-16'!I23='ET workings 15-16'!I46,'ET workings 15-16'!I15,('ET workings 15-16'!I15+'ET workings 15-16'!I20)-('ET workings 15-16'!I15+'ET workings 15-16'!I20-'ET workings 15-16'!I38)*$K$2)</f>
        <v>124.46128971626086</v>
      </c>
      <c r="J81" s="165">
        <f>IF('ET workings 15-16'!J23='ET workings 15-16'!J46,'ET workings 15-16'!J15,('ET workings 15-16'!J15+'ET workings 15-16'!J20)-('ET workings 15-16'!J15+'ET workings 15-16'!J20-'ET workings 15-16'!J38)*$K$2)</f>
        <v>44.072350609794569</v>
      </c>
      <c r="K81" s="165">
        <f>IF('ET workings 15-16'!K23='ET workings 15-16'!K46,'ET workings 15-16'!K15,('ET workings 15-16'!K15+'ET workings 15-16'!K20)-('ET workings 15-16'!K15+'ET workings 15-16'!K20-'ET workings 15-16'!K38)*$K$2)</f>
        <v>28.383548641119383</v>
      </c>
      <c r="L81" s="165">
        <f>SUM(D81:K81)</f>
        <v>1158.8637620875541</v>
      </c>
      <c r="M81" s="53">
        <f>E3</f>
        <v>1.1588637620875542</v>
      </c>
      <c r="N81" s="53">
        <f>E3-L81/1000</f>
        <v>0</v>
      </c>
      <c r="P81" s="165"/>
    </row>
    <row r="82" spans="1:16">
      <c r="C82" s="17" t="str">
        <f>C4</f>
        <v>TO capex - non-load related</v>
      </c>
      <c r="D82" s="165">
        <f>'ET workings 15-16'!D16</f>
        <v>506.11836500601339</v>
      </c>
      <c r="E82" s="165">
        <f>'ET workings 15-16'!E16</f>
        <v>499.20409814951984</v>
      </c>
      <c r="F82" s="165">
        <f>'ET workings 15-16'!F16</f>
        <v>485.07329761796098</v>
      </c>
      <c r="G82" s="165">
        <f>'ET workings 15-16'!G16</f>
        <v>489.14143160750723</v>
      </c>
      <c r="H82" s="165">
        <f>'ET workings 15-16'!H16</f>
        <v>622.61892466629627</v>
      </c>
      <c r="I82" s="165">
        <f>'ET workings 15-16'!I16</f>
        <v>715.79753719305393</v>
      </c>
      <c r="J82" s="165">
        <f>'ET workings 15-16'!J16</f>
        <v>784.25081046797004</v>
      </c>
      <c r="K82" s="165">
        <f>'ET workings 15-16'!K16</f>
        <v>704.21301595565285</v>
      </c>
      <c r="L82" s="165">
        <f>SUM(D82:K82)</f>
        <v>4806.4174806639749</v>
      </c>
      <c r="M82" s="53">
        <f>E4</f>
        <v>4.806417480663975</v>
      </c>
      <c r="N82" s="53">
        <f>E4-L82/1000</f>
        <v>0</v>
      </c>
      <c r="P82" s="165"/>
    </row>
    <row r="83" spans="1:16">
      <c r="C83" s="18" t="str">
        <f>C5</f>
        <v xml:space="preserve">Uncertainty mechanism capex </v>
      </c>
      <c r="D83" s="166">
        <f>'ET workings 15-16'!D20</f>
        <v>724.45752393322289</v>
      </c>
      <c r="E83" s="166">
        <f>'ET workings 15-16'!E20</f>
        <v>755.09934033774448</v>
      </c>
      <c r="F83" s="166">
        <f>'ET workings 15-16'!F20</f>
        <v>689.73552648636178</v>
      </c>
      <c r="G83" s="166">
        <f>'ET workings 15-16'!G20</f>
        <v>556.80155418660092</v>
      </c>
      <c r="H83" s="166">
        <f>'ET workings 15-16'!H20</f>
        <v>301.14871451971328</v>
      </c>
      <c r="I83" s="166">
        <f>'ET workings 15-16'!I20</f>
        <v>207.58987531826511</v>
      </c>
      <c r="J83" s="166">
        <f>'ET workings 15-16'!J20</f>
        <v>82.29196233462693</v>
      </c>
      <c r="K83" s="166">
        <f>'ET workings 15-16'!K20</f>
        <v>30.163893560793589</v>
      </c>
      <c r="L83" s="166">
        <f t="shared" ref="L83:L91" si="17">SUM(D83:K83)</f>
        <v>3347.2883906773291</v>
      </c>
      <c r="M83" s="53">
        <f>E5</f>
        <v>3.347288390677329</v>
      </c>
      <c r="N83" s="53">
        <f>E5-L83/1000</f>
        <v>0</v>
      </c>
      <c r="P83" s="165"/>
    </row>
    <row r="84" spans="1:16">
      <c r="C84" s="17" t="str">
        <f>C6</f>
        <v xml:space="preserve">Uncertainty mechanism opex </v>
      </c>
      <c r="D84" s="165">
        <f>'ET workings 15-16'!D21</f>
        <v>0</v>
      </c>
      <c r="E84" s="165">
        <f>'ET workings 15-16'!E21</f>
        <v>0</v>
      </c>
      <c r="F84" s="165">
        <f>'ET workings 15-16'!F21</f>
        <v>0</v>
      </c>
      <c r="G84" s="165">
        <f>'ET workings 15-16'!G21</f>
        <v>0</v>
      </c>
      <c r="H84" s="165">
        <f>'ET workings 15-16'!H21</f>
        <v>0</v>
      </c>
      <c r="I84" s="165">
        <f>'ET workings 15-16'!I21</f>
        <v>0</v>
      </c>
      <c r="J84" s="165">
        <f>'ET workings 15-16'!J21</f>
        <v>0</v>
      </c>
      <c r="K84" s="165">
        <f>'ET workings 15-16'!K21</f>
        <v>0</v>
      </c>
      <c r="L84" s="165">
        <f t="shared" si="17"/>
        <v>0</v>
      </c>
      <c r="M84" s="53">
        <f>E6</f>
        <v>0</v>
      </c>
      <c r="N84" s="53">
        <f>E6-L84/1000</f>
        <v>0</v>
      </c>
      <c r="P84" s="165"/>
    </row>
    <row r="85" spans="1:16">
      <c r="C85" s="18" t="str">
        <f>C7</f>
        <v xml:space="preserve">Controllable opex </v>
      </c>
      <c r="D85" s="158">
        <f>'ET workings 15-16'!D17</f>
        <v>192.21282629439594</v>
      </c>
      <c r="E85" s="158">
        <f>'ET workings 15-16'!E17</f>
        <v>196.41204072355288</v>
      </c>
      <c r="F85" s="158">
        <f>'ET workings 15-16'!F17</f>
        <v>203.04710659109347</v>
      </c>
      <c r="G85" s="158">
        <f>'ET workings 15-16'!G17</f>
        <v>204.35171680440774</v>
      </c>
      <c r="H85" s="158">
        <f>'ET workings 15-16'!H17</f>
        <v>205.72203973741003</v>
      </c>
      <c r="I85" s="158">
        <f>'ET workings 15-16'!I17</f>
        <v>206.0644404839947</v>
      </c>
      <c r="J85" s="158">
        <f>'ET workings 15-16'!J17</f>
        <v>207.83890997781467</v>
      </c>
      <c r="K85" s="158">
        <f>'ET workings 15-16'!K17</f>
        <v>208.20405529640865</v>
      </c>
      <c r="L85" s="158">
        <f t="shared" si="17"/>
        <v>1623.853135909078</v>
      </c>
      <c r="M85" s="53">
        <f>E7</f>
        <v>1.623853135909078</v>
      </c>
      <c r="N85" s="53">
        <f>E7-L85/1000</f>
        <v>0</v>
      </c>
      <c r="P85" s="168"/>
    </row>
    <row r="86" spans="1:16">
      <c r="A86" s="116"/>
      <c r="C86" s="18" t="s">
        <v>47</v>
      </c>
      <c r="D86" s="158">
        <f>D34-D28</f>
        <v>-265.59764102121972</v>
      </c>
      <c r="E86" s="158">
        <f t="shared" ref="E86:K86" si="18">E34-E28</f>
        <v>0</v>
      </c>
      <c r="F86" s="158">
        <f t="shared" si="18"/>
        <v>0</v>
      </c>
      <c r="G86" s="158">
        <f t="shared" si="18"/>
        <v>0</v>
      </c>
      <c r="H86" s="158">
        <f t="shared" si="18"/>
        <v>0</v>
      </c>
      <c r="I86" s="158">
        <f t="shared" si="18"/>
        <v>0</v>
      </c>
      <c r="J86" s="158">
        <f t="shared" si="18"/>
        <v>0</v>
      </c>
      <c r="K86" s="158">
        <f t="shared" si="18"/>
        <v>0</v>
      </c>
      <c r="L86" s="158">
        <f t="shared" si="17"/>
        <v>-265.59764102121972</v>
      </c>
      <c r="M86" s="53"/>
      <c r="N86" s="53"/>
      <c r="P86" s="168"/>
    </row>
    <row r="87" spans="1:16">
      <c r="C87" s="19" t="str">
        <f>C9</f>
        <v xml:space="preserve">TO Totex </v>
      </c>
      <c r="D87" s="167">
        <f>SUM(D81:D86)</f>
        <v>1399.109425219883</v>
      </c>
      <c r="E87" s="167">
        <f t="shared" ref="E87:K87" si="19">SUM(E81:E86)</f>
        <v>1656.9383372609677</v>
      </c>
      <c r="F87" s="167">
        <f t="shared" si="19"/>
        <v>1561.3325003993691</v>
      </c>
      <c r="G87" s="167">
        <f t="shared" si="19"/>
        <v>1437.6964379903707</v>
      </c>
      <c r="H87" s="167">
        <f t="shared" si="19"/>
        <v>1272.4167378903703</v>
      </c>
      <c r="I87" s="167">
        <f t="shared" si="19"/>
        <v>1253.9131427115747</v>
      </c>
      <c r="J87" s="167">
        <f t="shared" si="19"/>
        <v>1118.4540333902062</v>
      </c>
      <c r="K87" s="167">
        <f t="shared" si="19"/>
        <v>970.96451345397452</v>
      </c>
      <c r="L87" s="167">
        <f t="shared" si="17"/>
        <v>10670.825128316717</v>
      </c>
      <c r="M87" s="53">
        <f>E9</f>
        <v>10.670825128316716</v>
      </c>
      <c r="N87" s="53">
        <f>E9-L87/1000</f>
        <v>0</v>
      </c>
      <c r="P87" s="167"/>
    </row>
    <row r="88" spans="1:16">
      <c r="C88" s="18" t="str">
        <f>C10</f>
        <v xml:space="preserve">Non controllable opex </v>
      </c>
      <c r="D88" s="166">
        <f>'ET workings 15-16'!D26</f>
        <v>94.24723304227993</v>
      </c>
      <c r="E88" s="166">
        <f>'ET workings 15-16'!E26</f>
        <v>87.678224204681584</v>
      </c>
      <c r="F88" s="166">
        <f>'ET workings 15-16'!F26</f>
        <v>87.676243763178761</v>
      </c>
      <c r="G88" s="166">
        <f>'ET workings 15-16'!G26</f>
        <v>87.677481779017953</v>
      </c>
      <c r="H88" s="166">
        <f>'ET workings 15-16'!H26</f>
        <v>87.676244486345595</v>
      </c>
      <c r="I88" s="166">
        <f>'ET workings 15-16'!I26</f>
        <v>87.676244488148086</v>
      </c>
      <c r="J88" s="166">
        <f>'ET workings 15-16'!J26</f>
        <v>87.676244492723825</v>
      </c>
      <c r="K88" s="166">
        <f>'ET workings 15-16'!K26</f>
        <v>87.676244462267519</v>
      </c>
      <c r="L88" s="166">
        <f t="shared" si="17"/>
        <v>707.98416071864324</v>
      </c>
      <c r="M88" s="53">
        <f>E10</f>
        <v>0.70798416071864323</v>
      </c>
      <c r="N88" s="53">
        <f>E10-L88/1000</f>
        <v>0</v>
      </c>
      <c r="P88" s="165"/>
    </row>
    <row r="89" spans="1:16">
      <c r="C89" s="17"/>
      <c r="D89" s="168"/>
      <c r="E89" s="168"/>
      <c r="F89" s="168"/>
      <c r="G89" s="168"/>
      <c r="H89" s="168"/>
      <c r="I89" s="168"/>
      <c r="J89" s="168"/>
      <c r="K89" s="168"/>
      <c r="L89" s="165"/>
      <c r="M89" s="53"/>
      <c r="N89" s="53"/>
      <c r="P89" s="168"/>
    </row>
    <row r="90" spans="1:16">
      <c r="C90" s="18" t="str">
        <f>C12</f>
        <v xml:space="preserve">SO capex </v>
      </c>
      <c r="D90" s="158">
        <f>'ET workings 15-16'!D8</f>
        <v>39.230261993822481</v>
      </c>
      <c r="E90" s="158">
        <f>'ET workings 15-16'!E8</f>
        <v>34.208586772300464</v>
      </c>
      <c r="F90" s="158">
        <f>'ET workings 15-16'!F8</f>
        <v>29.40934615713995</v>
      </c>
      <c r="G90" s="158">
        <f>'ET workings 15-16'!G8</f>
        <v>27.165060319864111</v>
      </c>
      <c r="H90" s="158">
        <f>'ET workings 15-16'!H8</f>
        <v>29.591699211758403</v>
      </c>
      <c r="I90" s="158">
        <f>'ET workings 15-16'!I8</f>
        <v>20.377561078577621</v>
      </c>
      <c r="J90" s="158">
        <f>'ET workings 15-16'!J8</f>
        <v>25.429651204161818</v>
      </c>
      <c r="K90" s="158">
        <f>'ET workings 15-16'!K8</f>
        <v>25.40838563392731</v>
      </c>
      <c r="L90" s="158">
        <f t="shared" si="17"/>
        <v>230.82055237155214</v>
      </c>
      <c r="M90" s="53">
        <f>E12</f>
        <v>0.23082055237155213</v>
      </c>
      <c r="N90" s="53">
        <f>E12-L90/1000</f>
        <v>0</v>
      </c>
      <c r="P90" s="168"/>
    </row>
    <row r="91" spans="1:16">
      <c r="C91" s="17" t="str">
        <f>C13</f>
        <v xml:space="preserve">Controllable opex </v>
      </c>
      <c r="D91" s="165">
        <f>'ET workings 15-16'!D7</f>
        <v>73.775027711210655</v>
      </c>
      <c r="E91" s="165">
        <f>'ET workings 15-16'!E7</f>
        <v>74.857370793520886</v>
      </c>
      <c r="F91" s="165">
        <f>'ET workings 15-16'!F7</f>
        <v>77.005994132717234</v>
      </c>
      <c r="G91" s="165">
        <f>'ET workings 15-16'!G7</f>
        <v>78.582137772280092</v>
      </c>
      <c r="H91" s="165">
        <f>'ET workings 15-16'!H7</f>
        <v>79.36050736397776</v>
      </c>
      <c r="I91" s="165">
        <f>'ET workings 15-16'!I7</f>
        <v>79.998881974263142</v>
      </c>
      <c r="J91" s="165">
        <f>'ET workings 15-16'!J7</f>
        <v>81.754729960219521</v>
      </c>
      <c r="K91" s="165">
        <f>'ET workings 15-16'!K7</f>
        <v>83.672873632490891</v>
      </c>
      <c r="L91" s="165">
        <f t="shared" si="17"/>
        <v>629.00752334068022</v>
      </c>
      <c r="M91" s="53">
        <f>E13</f>
        <v>0.62900752334068022</v>
      </c>
      <c r="N91" s="53">
        <f>E13-L91/1000</f>
        <v>0</v>
      </c>
      <c r="P91" s="165"/>
    </row>
    <row r="92" spans="1:16">
      <c r="A92" s="116"/>
      <c r="C92" s="18" t="s">
        <v>47</v>
      </c>
      <c r="D92" s="158">
        <f>D130-D124</f>
        <v>-0.57929770079493892</v>
      </c>
      <c r="E92" s="158">
        <f t="shared" ref="E92:K92" si="20">E130-E124</f>
        <v>0</v>
      </c>
      <c r="F92" s="158">
        <f t="shared" si="20"/>
        <v>0</v>
      </c>
      <c r="G92" s="158">
        <f t="shared" si="20"/>
        <v>0</v>
      </c>
      <c r="H92" s="158">
        <f t="shared" si="20"/>
        <v>0</v>
      </c>
      <c r="I92" s="158">
        <f t="shared" si="20"/>
        <v>0</v>
      </c>
      <c r="J92" s="158">
        <f t="shared" si="20"/>
        <v>0</v>
      </c>
      <c r="K92" s="158">
        <f t="shared" si="20"/>
        <v>0</v>
      </c>
      <c r="L92" s="158">
        <f t="shared" ref="L92" si="21">SUM(D92:K92)</f>
        <v>-0.57929770079493892</v>
      </c>
      <c r="M92" s="53"/>
      <c r="N92" s="53"/>
      <c r="P92" s="168"/>
    </row>
    <row r="93" spans="1:16" ht="13.8" thickBot="1">
      <c r="C93" s="23" t="str">
        <f>C15</f>
        <v xml:space="preserve">SO Totex </v>
      </c>
      <c r="D93" s="44">
        <f>SUM(D90:D92)</f>
        <v>112.4259920042382</v>
      </c>
      <c r="E93" s="44">
        <f t="shared" ref="E93:L93" si="22">SUM(E90:E92)</f>
        <v>109.06595756582135</v>
      </c>
      <c r="F93" s="44">
        <f t="shared" si="22"/>
        <v>106.41534028985718</v>
      </c>
      <c r="G93" s="44">
        <f t="shared" si="22"/>
        <v>105.7471980921442</v>
      </c>
      <c r="H93" s="44">
        <f t="shared" si="22"/>
        <v>108.95220657573617</v>
      </c>
      <c r="I93" s="44">
        <f t="shared" si="22"/>
        <v>100.37644305284076</v>
      </c>
      <c r="J93" s="44">
        <f t="shared" si="22"/>
        <v>107.18438116438134</v>
      </c>
      <c r="K93" s="44">
        <f t="shared" si="22"/>
        <v>109.0812592664182</v>
      </c>
      <c r="L93" s="44">
        <f t="shared" si="22"/>
        <v>859.24877801143748</v>
      </c>
      <c r="M93" s="53">
        <f>E15</f>
        <v>0.8592487780114374</v>
      </c>
      <c r="N93" s="53">
        <f>E15-L93/1000</f>
        <v>0</v>
      </c>
      <c r="P93" s="50"/>
    </row>
    <row r="94" spans="1:16">
      <c r="A94" s="38" t="s">
        <v>378</v>
      </c>
    </row>
    <row r="95" spans="1:16" ht="13.8" thickBot="1">
      <c r="C95" s="38" t="s">
        <v>140</v>
      </c>
    </row>
    <row r="96" spans="1:16" ht="13.8" thickBot="1">
      <c r="C96" s="7" t="s">
        <v>58</v>
      </c>
      <c r="D96" s="8" t="s">
        <v>59</v>
      </c>
      <c r="E96" s="8" t="s">
        <v>60</v>
      </c>
      <c r="F96" s="8" t="s">
        <v>61</v>
      </c>
      <c r="G96" s="8" t="s">
        <v>62</v>
      </c>
      <c r="H96" s="8" t="s">
        <v>63</v>
      </c>
      <c r="I96" s="8" t="s">
        <v>64</v>
      </c>
      <c r="J96" s="8" t="s">
        <v>65</v>
      </c>
      <c r="K96" s="8" t="s">
        <v>66</v>
      </c>
    </row>
    <row r="97" spans="1:11">
      <c r="C97" s="22" t="s">
        <v>91</v>
      </c>
      <c r="D97" s="41">
        <f>'ET workings 15-16'!D130+'ET workings 15-16'!D152</f>
        <v>8865.0145032674482</v>
      </c>
      <c r="E97" s="41">
        <f>'ET workings 15-16'!E130+'ET workings 15-16'!E152</f>
        <v>9341.8753037398164</v>
      </c>
      <c r="F97" s="41">
        <f>'ET workings 15-16'!F130+'ET workings 15-16'!F152</f>
        <v>10167.782951323434</v>
      </c>
      <c r="G97" s="41">
        <f>'ET workings 15-16'!G130+'ET workings 15-16'!G152</f>
        <v>10868.270603763382</v>
      </c>
      <c r="H97" s="41">
        <f>'ET workings 15-16'!H130+'ET workings 15-16'!H152</f>
        <v>11428.861893559097</v>
      </c>
      <c r="I97" s="41">
        <f>'ET workings 15-16'!I130+'ET workings 15-16'!I152</f>
        <v>11822.248943501323</v>
      </c>
      <c r="J97" s="41">
        <f>'ET workings 15-16'!J130+'ET workings 15-16'!J152</f>
        <v>12176.591928582156</v>
      </c>
      <c r="K97" s="41">
        <f>'ET workings 15-16'!K130+'ET workings 15-16'!K152</f>
        <v>12408.564603028761</v>
      </c>
    </row>
    <row r="98" spans="1:11">
      <c r="C98" s="10" t="s">
        <v>86</v>
      </c>
      <c r="D98" s="42">
        <f>'ET workings 15-16'!D131+'ET workings 15-16'!D153</f>
        <v>1061.3651176808546</v>
      </c>
      <c r="E98" s="42">
        <f>'ET workings 15-16'!E131+'ET workings 15-16'!E153</f>
        <v>1439.3068688326866</v>
      </c>
      <c r="F98" s="42">
        <f>'ET workings 15-16'!F131+'ET workings 15-16'!F153</f>
        <v>1357.5395352803339</v>
      </c>
      <c r="G98" s="42">
        <f>'ET workings 15-16'!G131+'ET workings 15-16'!G153</f>
        <v>1251.5454405595233</v>
      </c>
      <c r="H98" s="42">
        <f>'ET workings 15-16'!H131+'ET workings 15-16'!H153</f>
        <v>1111.9518928414452</v>
      </c>
      <c r="I98" s="42">
        <f>'ET workings 15-16'!I131+'ET workings 15-16'!I153</f>
        <v>1093.8311989165813</v>
      </c>
      <c r="J98" s="42">
        <f>'ET workings 15-16'!J131+'ET workings 15-16'!J153</f>
        <v>980.59037072653769</v>
      </c>
      <c r="K98" s="42">
        <f>'ET workings 15-16'!K131+'ET workings 15-16'!K153</f>
        <v>855.753507771209</v>
      </c>
    </row>
    <row r="99" spans="1:11">
      <c r="C99" s="11" t="s">
        <v>87</v>
      </c>
      <c r="D99" s="43">
        <f>'ET workings 15-16'!D132+'ET workings 15-16'!D154</f>
        <v>-584.50431720848701</v>
      </c>
      <c r="E99" s="43">
        <f>'ET workings 15-16'!E132+'ET workings 15-16'!E154</f>
        <v>-613.39922124907082</v>
      </c>
      <c r="F99" s="43">
        <f>'ET workings 15-16'!F132+'ET workings 15-16'!F154</f>
        <v>-657.0518828403857</v>
      </c>
      <c r="G99" s="43">
        <f>'ET workings 15-16'!G132+'ET workings 15-16'!G154</f>
        <v>-690.9541507638088</v>
      </c>
      <c r="H99" s="43">
        <f>'ET workings 15-16'!H132+'ET workings 15-16'!H154</f>
        <v>-718.56484289922116</v>
      </c>
      <c r="I99" s="43">
        <f>'ET workings 15-16'!I132+'ET workings 15-16'!I154</f>
        <v>-739.48821383574636</v>
      </c>
      <c r="J99" s="43">
        <f>'ET workings 15-16'!J132+'ET workings 15-16'!J154</f>
        <v>-748.6176962799334</v>
      </c>
      <c r="K99" s="43">
        <f>'ET workings 15-16'!K132+'ET workings 15-16'!K154</f>
        <v>-754.11400248850975</v>
      </c>
    </row>
    <row r="100" spans="1:11" ht="13.8" thickBot="1">
      <c r="C100" s="13" t="s">
        <v>94</v>
      </c>
      <c r="D100" s="52">
        <f>'ET workings 15-16'!D133+'ET workings 15-16'!D155</f>
        <v>9341.8753037398164</v>
      </c>
      <c r="E100" s="52">
        <f>'ET workings 15-16'!E133+'ET workings 15-16'!E155</f>
        <v>10167.782951323434</v>
      </c>
      <c r="F100" s="52">
        <f>'ET workings 15-16'!F133+'ET workings 15-16'!F155</f>
        <v>10868.270603763382</v>
      </c>
      <c r="G100" s="52">
        <f>'ET workings 15-16'!G133+'ET workings 15-16'!G155</f>
        <v>11428.861893559097</v>
      </c>
      <c r="H100" s="52">
        <f>'ET workings 15-16'!H133+'ET workings 15-16'!H155</f>
        <v>11822.248943501321</v>
      </c>
      <c r="I100" s="52">
        <f>'ET workings 15-16'!I133+'ET workings 15-16'!I155</f>
        <v>12176.591928582156</v>
      </c>
      <c r="J100" s="52">
        <f>'ET workings 15-16'!J133+'ET workings 15-16'!J155</f>
        <v>12408.564603028761</v>
      </c>
      <c r="K100" s="52">
        <f>'ET workings 15-16'!K133+'ET workings 15-16'!K155</f>
        <v>12510.20410831146</v>
      </c>
    </row>
    <row r="102" spans="1:11" ht="13.8" thickBot="1"/>
    <row r="103" spans="1:11" ht="13.8" thickBot="1">
      <c r="C103" s="7" t="s">
        <v>58</v>
      </c>
      <c r="D103" s="8" t="s">
        <v>59</v>
      </c>
      <c r="E103" s="8" t="s">
        <v>60</v>
      </c>
      <c r="F103" s="8" t="s">
        <v>61</v>
      </c>
      <c r="G103" s="8" t="s">
        <v>62</v>
      </c>
      <c r="H103" s="8" t="s">
        <v>63</v>
      </c>
      <c r="I103" s="8" t="s">
        <v>64</v>
      </c>
      <c r="J103" s="8" t="s">
        <v>65</v>
      </c>
      <c r="K103" s="8" t="s">
        <v>66</v>
      </c>
    </row>
    <row r="104" spans="1:11">
      <c r="C104" s="10" t="s">
        <v>370</v>
      </c>
      <c r="D104" s="169">
        <f>'ET workings 15-16'!D86</f>
        <v>13.751034124367685</v>
      </c>
      <c r="E104" s="169">
        <f>'ET workings 15-16'!E86</f>
        <v>13.274690050778315</v>
      </c>
      <c r="F104" s="169">
        <f>'ET workings 15-16'!F86</f>
        <v>12.798257977175346</v>
      </c>
      <c r="G104" s="169">
        <f>'ET workings 15-16'!G86</f>
        <v>0</v>
      </c>
      <c r="H104" s="169">
        <f>'ET workings 15-16'!H86</f>
        <v>0</v>
      </c>
      <c r="I104" s="169">
        <f>'ET workings 15-16'!I86</f>
        <v>0</v>
      </c>
      <c r="J104" s="169">
        <f>'ET workings 15-16'!J86</f>
        <v>0</v>
      </c>
      <c r="K104" s="169">
        <f>'ET workings 15-16'!K86</f>
        <v>0</v>
      </c>
    </row>
    <row r="105" spans="1:11">
      <c r="C105" s="170" t="s">
        <v>371</v>
      </c>
      <c r="D105" s="171">
        <v>0</v>
      </c>
      <c r="E105" s="171">
        <v>0</v>
      </c>
      <c r="F105" s="171">
        <v>0</v>
      </c>
      <c r="G105" s="171">
        <v>0</v>
      </c>
      <c r="H105" s="171">
        <v>0</v>
      </c>
      <c r="I105" s="171">
        <v>0</v>
      </c>
      <c r="J105" s="171">
        <v>0</v>
      </c>
      <c r="K105" s="171">
        <v>0</v>
      </c>
    </row>
    <row r="106" spans="1:11">
      <c r="C106" s="10"/>
      <c r="D106" s="169"/>
      <c r="E106" s="169"/>
      <c r="F106" s="169"/>
      <c r="G106" s="169"/>
      <c r="H106" s="169"/>
      <c r="I106" s="169"/>
      <c r="J106" s="169"/>
      <c r="K106" s="169"/>
    </row>
    <row r="107" spans="1:11">
      <c r="C107" s="11" t="s">
        <v>372</v>
      </c>
      <c r="D107" s="171">
        <f>'ET workings 15-16'!D88</f>
        <v>123</v>
      </c>
      <c r="E107" s="171">
        <f>'ET workings 15-16'!E88</f>
        <v>122.8</v>
      </c>
      <c r="F107" s="171">
        <f>'ET workings 15-16'!F88</f>
        <v>129.80000000000001</v>
      </c>
      <c r="G107" s="171">
        <f>'ET workings 15-16'!G88</f>
        <v>125.6</v>
      </c>
      <c r="H107" s="171">
        <f>'ET workings 15-16'!H88</f>
        <v>127.3</v>
      </c>
      <c r="I107" s="171">
        <f>'ET workings 15-16'!I88</f>
        <v>128.6</v>
      </c>
      <c r="J107" s="171">
        <f>'ET workings 15-16'!J88</f>
        <v>130.19999999999999</v>
      </c>
      <c r="K107" s="171">
        <f>'ET workings 15-16'!K88</f>
        <v>131.69999999999999</v>
      </c>
    </row>
    <row r="108" spans="1:11">
      <c r="C108" s="10" t="s">
        <v>373</v>
      </c>
      <c r="D108" s="169">
        <f>-D107</f>
        <v>-123</v>
      </c>
      <c r="E108" s="169">
        <f t="shared" ref="E108:K108" si="23">-E107</f>
        <v>-122.8</v>
      </c>
      <c r="F108" s="169">
        <f t="shared" si="23"/>
        <v>-129.80000000000001</v>
      </c>
      <c r="G108" s="169">
        <f t="shared" si="23"/>
        <v>-125.6</v>
      </c>
      <c r="H108" s="169">
        <f t="shared" si="23"/>
        <v>-127.3</v>
      </c>
      <c r="I108" s="169">
        <f t="shared" si="23"/>
        <v>-128.6</v>
      </c>
      <c r="J108" s="169">
        <f t="shared" si="23"/>
        <v>-130.19999999999999</v>
      </c>
      <c r="K108" s="169">
        <f t="shared" si="23"/>
        <v>-131.69999999999999</v>
      </c>
    </row>
    <row r="109" spans="1:11">
      <c r="C109" s="11"/>
      <c r="D109" s="171"/>
      <c r="E109" s="171"/>
      <c r="F109" s="171"/>
      <c r="G109" s="171"/>
      <c r="H109" s="171"/>
      <c r="I109" s="171"/>
      <c r="J109" s="171"/>
      <c r="K109" s="171"/>
    </row>
    <row r="110" spans="1:11" ht="13.8" thickBot="1">
      <c r="C110" s="40" t="s">
        <v>374</v>
      </c>
      <c r="D110" s="46">
        <f>SUM('ET workings 15-16'!D169:D170)</f>
        <v>53.1</v>
      </c>
      <c r="E110" s="46">
        <f>SUM('ET workings 15-16'!E169:E170)</f>
        <v>53.000000000000007</v>
      </c>
      <c r="F110" s="46">
        <f>SUM('ET workings 15-16'!F169:F170)</f>
        <v>50.999999999999993</v>
      </c>
      <c r="G110" s="46">
        <f>SUM('ET workings 15-16'!G169:G170)</f>
        <v>57.5</v>
      </c>
      <c r="H110" s="46">
        <f>SUM('ET workings 15-16'!H169:H170)</f>
        <v>49</v>
      </c>
      <c r="I110" s="46">
        <f>SUM('ET workings 15-16'!I169:I170)</f>
        <v>28.499999999999996</v>
      </c>
      <c r="J110" s="46">
        <f>SUM('ET workings 15-16'!J169:J170)</f>
        <v>3.6999999999999993</v>
      </c>
      <c r="K110" s="46">
        <f>SUM('ET workings 15-16'!K169:K170)</f>
        <v>0</v>
      </c>
    </row>
    <row r="111" spans="1:11">
      <c r="A111" s="38" t="s">
        <v>364</v>
      </c>
    </row>
    <row r="112" spans="1:11" ht="13.8" thickBot="1">
      <c r="C112" s="38" t="s">
        <v>122</v>
      </c>
    </row>
    <row r="113" spans="1:14" ht="13.8" thickBot="1">
      <c r="C113" s="7" t="s">
        <v>58</v>
      </c>
      <c r="D113" s="8" t="s">
        <v>59</v>
      </c>
      <c r="E113" s="8" t="s">
        <v>60</v>
      </c>
      <c r="F113" s="8" t="s">
        <v>61</v>
      </c>
      <c r="G113" s="8" t="s">
        <v>62</v>
      </c>
      <c r="H113" s="8" t="s">
        <v>63</v>
      </c>
      <c r="I113" s="8" t="s">
        <v>64</v>
      </c>
      <c r="J113" s="8" t="s">
        <v>65</v>
      </c>
      <c r="K113" s="8" t="s">
        <v>66</v>
      </c>
    </row>
    <row r="114" spans="1:14">
      <c r="C114" s="22" t="s">
        <v>91</v>
      </c>
      <c r="D114" s="41">
        <f>'ET workings 15-16'!D152</f>
        <v>74.160747515587701</v>
      </c>
      <c r="E114" s="41">
        <f>'ET workings 15-16'!E152</f>
        <v>92.812426589830409</v>
      </c>
      <c r="F114" s="41">
        <f>'ET workings 15-16'!F152</f>
        <v>104.63586255999655</v>
      </c>
      <c r="G114" s="41">
        <f>'ET workings 15-16'!G152</f>
        <v>112.94618975307324</v>
      </c>
      <c r="H114" s="41">
        <f>'ET workings 15-16'!H152</f>
        <v>117.83841939905</v>
      </c>
      <c r="I114" s="41">
        <f>'ET workings 15-16'!I152</f>
        <v>120.87580682470772</v>
      </c>
      <c r="J114" s="41">
        <f>'ET workings 15-16'!J152</f>
        <v>119.68591894563316</v>
      </c>
      <c r="K114" s="41">
        <f>'ET workings 15-16'!K152</f>
        <v>119.24282255720327</v>
      </c>
    </row>
    <row r="115" spans="1:14">
      <c r="C115" s="10" t="s">
        <v>86</v>
      </c>
      <c r="D115" s="42">
        <f>'ET workings 15-16'!D153</f>
        <v>34.297000427606903</v>
      </c>
      <c r="E115" s="42">
        <f>'ET workings 15-16'!E153</f>
        <v>30.909282160864159</v>
      </c>
      <c r="F115" s="42">
        <f>'ET workings 15-16'!F153</f>
        <v>30.406909940870154</v>
      </c>
      <c r="G115" s="42">
        <f>'ET workings 15-16'!G153</f>
        <v>29.503468267708236</v>
      </c>
      <c r="H115" s="42">
        <f>'ET workings 15-16'!H153</f>
        <v>30.397665634630393</v>
      </c>
      <c r="I115" s="42">
        <f>'ET workings 15-16'!I153</f>
        <v>28.005027611742573</v>
      </c>
      <c r="J115" s="42">
        <f>'ET workings 15-16'!J153</f>
        <v>29.904442344862396</v>
      </c>
      <c r="K115" s="42">
        <f>'ET workings 15-16'!K153</f>
        <v>30.433671335330679</v>
      </c>
    </row>
    <row r="116" spans="1:14">
      <c r="C116" s="11" t="s">
        <v>87</v>
      </c>
      <c r="D116" s="43">
        <f>'ET workings 15-16'!D154</f>
        <v>-15.645321353364194</v>
      </c>
      <c r="E116" s="43">
        <f>'ET workings 15-16'!E154</f>
        <v>-19.085846190698028</v>
      </c>
      <c r="F116" s="43">
        <f>'ET workings 15-16'!F154</f>
        <v>-22.096582747793462</v>
      </c>
      <c r="G116" s="43">
        <f>'ET workings 15-16'!G154</f>
        <v>-24.611238621731466</v>
      </c>
      <c r="H116" s="43">
        <f>'ET workings 15-16'!H154</f>
        <v>-27.360278208972655</v>
      </c>
      <c r="I116" s="43">
        <f>'ET workings 15-16'!I154</f>
        <v>-29.194915490817138</v>
      </c>
      <c r="J116" s="43">
        <f>'ET workings 15-16'!J154</f>
        <v>-30.3475387332923</v>
      </c>
      <c r="K116" s="43">
        <f>'ET workings 15-16'!K154</f>
        <v>-30.489113769754972</v>
      </c>
    </row>
    <row r="117" spans="1:14" ht="13.8" thickBot="1">
      <c r="C117" s="13" t="s">
        <v>94</v>
      </c>
      <c r="D117" s="52">
        <f>'ET workings 15-16'!D155</f>
        <v>92.812426589830409</v>
      </c>
      <c r="E117" s="52">
        <f>'ET workings 15-16'!E155</f>
        <v>104.63586255999655</v>
      </c>
      <c r="F117" s="52">
        <f>'ET workings 15-16'!F155</f>
        <v>112.94618975307324</v>
      </c>
      <c r="G117" s="52">
        <f>'ET workings 15-16'!G155</f>
        <v>117.83841939905</v>
      </c>
      <c r="H117" s="52">
        <f>'ET workings 15-16'!H155</f>
        <v>120.87580682470772</v>
      </c>
      <c r="I117" s="52">
        <f>'ET workings 15-16'!I155</f>
        <v>119.68591894563316</v>
      </c>
      <c r="J117" s="52">
        <f>'ET workings 15-16'!J155</f>
        <v>119.24282255720327</v>
      </c>
      <c r="K117" s="52">
        <f>'ET workings 15-16'!K155</f>
        <v>119.18738012277899</v>
      </c>
    </row>
    <row r="119" spans="1:14" ht="13.8" thickBot="1">
      <c r="C119" s="38" t="s">
        <v>395</v>
      </c>
    </row>
    <row r="120" spans="1:14" ht="13.8" thickBot="1">
      <c r="C120" s="14" t="s">
        <v>58</v>
      </c>
      <c r="D120" s="15" t="s">
        <v>59</v>
      </c>
      <c r="E120" s="15" t="s">
        <v>60</v>
      </c>
      <c r="F120" s="15" t="s">
        <v>61</v>
      </c>
      <c r="G120" s="15" t="s">
        <v>62</v>
      </c>
      <c r="H120" s="15" t="s">
        <v>63</v>
      </c>
      <c r="I120" s="15" t="s">
        <v>64</v>
      </c>
      <c r="J120" s="15" t="s">
        <v>65</v>
      </c>
      <c r="K120" s="15" t="s">
        <v>66</v>
      </c>
      <c r="L120" s="15" t="s">
        <v>118</v>
      </c>
    </row>
    <row r="121" spans="1:14">
      <c r="C121" s="16"/>
      <c r="D121" s="26"/>
      <c r="E121" s="26"/>
      <c r="F121" s="26"/>
      <c r="G121" s="26"/>
      <c r="H121" s="26"/>
      <c r="I121" s="26"/>
      <c r="J121" s="26"/>
      <c r="K121" s="26"/>
      <c r="L121" s="26"/>
    </row>
    <row r="122" spans="1:14">
      <c r="A122" t="s">
        <v>338</v>
      </c>
      <c r="C122" s="17" t="s">
        <v>119</v>
      </c>
      <c r="D122" s="27">
        <f>'ET workings 15-16'!D8+'ET workings 15-16'!D12</f>
        <v>39.230261993822481</v>
      </c>
      <c r="E122" s="27">
        <f>'ET workings 15-16'!E8+'ET workings 15-16'!E12</f>
        <v>34.208586772300464</v>
      </c>
      <c r="F122" s="27">
        <f>'ET workings 15-16'!F8+'ET workings 15-16'!F12</f>
        <v>29.40934615713995</v>
      </c>
      <c r="G122" s="27">
        <f>'ET workings 15-16'!G8+'ET workings 15-16'!G12</f>
        <v>27.165060319864111</v>
      </c>
      <c r="H122" s="27">
        <f>'ET workings 15-16'!H8+'ET workings 15-16'!H12</f>
        <v>29.591699211758403</v>
      </c>
      <c r="I122" s="27">
        <f>'ET workings 15-16'!I8+'ET workings 15-16'!I12</f>
        <v>20.377561078577621</v>
      </c>
      <c r="J122" s="27">
        <f>'ET workings 15-16'!J8+'ET workings 15-16'!J12</f>
        <v>25.429651204161818</v>
      </c>
      <c r="K122" s="27">
        <f>'ET workings 15-16'!K8+'ET workings 15-16'!K12</f>
        <v>25.40838563392731</v>
      </c>
      <c r="L122" s="28">
        <f>SUM(D122:K122)</f>
        <v>230.82055237155214</v>
      </c>
      <c r="N122" s="53"/>
    </row>
    <row r="123" spans="1:14">
      <c r="C123" s="18" t="s">
        <v>396</v>
      </c>
      <c r="D123" s="29">
        <f>'ET workings 15-16'!D7+'ET workings 15-16'!D13</f>
        <v>73.775027711210655</v>
      </c>
      <c r="E123" s="29">
        <f>'ET workings 15-16'!E7+'ET workings 15-16'!E13</f>
        <v>76.577370793520885</v>
      </c>
      <c r="F123" s="29">
        <f>'ET workings 15-16'!F7+'ET workings 15-16'!F13</f>
        <v>79.575994132717227</v>
      </c>
      <c r="G123" s="29">
        <f>'ET workings 15-16'!G7+'ET workings 15-16'!G13</f>
        <v>78.582137772280092</v>
      </c>
      <c r="H123" s="29">
        <f>'ET workings 15-16'!H7+'ET workings 15-16'!H13</f>
        <v>79.36050736397776</v>
      </c>
      <c r="I123" s="29">
        <f>'ET workings 15-16'!I7+'ET workings 15-16'!I13</f>
        <v>79.998881974263142</v>
      </c>
      <c r="J123" s="29">
        <f>'ET workings 15-16'!J7+'ET workings 15-16'!J13</f>
        <v>81.754729960219521</v>
      </c>
      <c r="K123" s="29">
        <f>'ET workings 15-16'!K7+'ET workings 15-16'!K13</f>
        <v>83.672873632490891</v>
      </c>
      <c r="L123" s="30">
        <f t="shared" ref="L123:L130" si="24">SUM(D123:K123)</f>
        <v>633.29752334068019</v>
      </c>
      <c r="N123" s="53"/>
    </row>
    <row r="124" spans="1:14">
      <c r="C124" s="19" t="s">
        <v>71</v>
      </c>
      <c r="D124" s="31">
        <f>SUM(D122:D123)</f>
        <v>113.00528970503314</v>
      </c>
      <c r="E124" s="31">
        <f t="shared" ref="E124:K124" si="25">SUM(E122:E123)</f>
        <v>110.78595756582135</v>
      </c>
      <c r="F124" s="31">
        <f t="shared" si="25"/>
        <v>108.98534028985718</v>
      </c>
      <c r="G124" s="31">
        <f t="shared" si="25"/>
        <v>105.7471980921442</v>
      </c>
      <c r="H124" s="31">
        <f t="shared" si="25"/>
        <v>108.95220657573617</v>
      </c>
      <c r="I124" s="31">
        <f t="shared" si="25"/>
        <v>100.37644305284076</v>
      </c>
      <c r="J124" s="31">
        <f t="shared" si="25"/>
        <v>107.18438116438134</v>
      </c>
      <c r="K124" s="31">
        <f t="shared" si="25"/>
        <v>109.0812592664182</v>
      </c>
      <c r="L124" s="28">
        <f t="shared" si="24"/>
        <v>864.11807571223233</v>
      </c>
    </row>
    <row r="125" spans="1:14">
      <c r="A125" t="s">
        <v>346</v>
      </c>
      <c r="C125" s="17" t="s">
        <v>121</v>
      </c>
      <c r="D125" s="27">
        <f>'ET workings 15-16'!D31+'ET workings 15-16'!D35</f>
        <v>32.211091901803051</v>
      </c>
      <c r="E125" s="27">
        <f>'ET workings 15-16'!E31+'ET workings 15-16'!E35</f>
        <v>34.208586772300464</v>
      </c>
      <c r="F125" s="27">
        <f>'ET workings 15-16'!F31+'ET workings 15-16'!F35</f>
        <v>29.40934615713995</v>
      </c>
      <c r="G125" s="27">
        <f>'ET workings 15-16'!G31+'ET workings 15-16'!G35</f>
        <v>27.165060319864111</v>
      </c>
      <c r="H125" s="27">
        <f>'ET workings 15-16'!H31+'ET workings 15-16'!H35</f>
        <v>29.591699211758403</v>
      </c>
      <c r="I125" s="27">
        <f>'ET workings 15-16'!I31+'ET workings 15-16'!I35</f>
        <v>20.377561078577621</v>
      </c>
      <c r="J125" s="27">
        <f>'ET workings 15-16'!J31+'ET workings 15-16'!J35</f>
        <v>25.429651204161818</v>
      </c>
      <c r="K125" s="27">
        <f>'ET workings 15-16'!K31+'ET workings 15-16'!K35</f>
        <v>25.40838563392731</v>
      </c>
      <c r="L125" s="28">
        <f t="shared" si="24"/>
        <v>223.80138227953273</v>
      </c>
      <c r="N125" s="53"/>
    </row>
    <row r="126" spans="1:14">
      <c r="C126" s="18" t="s">
        <v>387</v>
      </c>
      <c r="D126" s="29">
        <f>'ET workings 15-16'!D30+'ET workings 15-16'!D36</f>
        <v>79.703447095651597</v>
      </c>
      <c r="E126" s="29">
        <f>'ET workings 15-16'!E30+'ET workings 15-16'!E36</f>
        <v>76.577370793520885</v>
      </c>
      <c r="F126" s="29">
        <f>'ET workings 15-16'!F30+'ET workings 15-16'!F36</f>
        <v>79.575994132717227</v>
      </c>
      <c r="G126" s="29">
        <f>'ET workings 15-16'!G30+'ET workings 15-16'!G36</f>
        <v>78.582137772280092</v>
      </c>
      <c r="H126" s="29">
        <f>'ET workings 15-16'!H30+'ET workings 15-16'!H36</f>
        <v>79.36050736397776</v>
      </c>
      <c r="I126" s="29">
        <f>'ET workings 15-16'!I30+'ET workings 15-16'!I36</f>
        <v>79.998881974263142</v>
      </c>
      <c r="J126" s="29">
        <f>'ET workings 15-16'!J30+'ET workings 15-16'!J36</f>
        <v>81.754729960219521</v>
      </c>
      <c r="K126" s="29">
        <f>'ET workings 15-16'!K30+'ET workings 15-16'!K36</f>
        <v>83.672873632490891</v>
      </c>
      <c r="L126" s="30">
        <f t="shared" si="24"/>
        <v>639.22594272512117</v>
      </c>
      <c r="N126" s="53"/>
    </row>
    <row r="127" spans="1:14">
      <c r="C127" s="19" t="s">
        <v>77</v>
      </c>
      <c r="D127" s="31">
        <f>SUM(D125:D126)</f>
        <v>111.91453899745466</v>
      </c>
      <c r="E127" s="31">
        <f t="shared" ref="E127:K127" si="26">SUM(E125:E126)</f>
        <v>110.78595756582135</v>
      </c>
      <c r="F127" s="31">
        <f t="shared" si="26"/>
        <v>108.98534028985718</v>
      </c>
      <c r="G127" s="31">
        <f t="shared" si="26"/>
        <v>105.7471980921442</v>
      </c>
      <c r="H127" s="31">
        <f t="shared" si="26"/>
        <v>108.95220657573617</v>
      </c>
      <c r="I127" s="31">
        <f t="shared" si="26"/>
        <v>100.37644305284076</v>
      </c>
      <c r="J127" s="31">
        <f t="shared" si="26"/>
        <v>107.18438116438134</v>
      </c>
      <c r="K127" s="31">
        <f t="shared" si="26"/>
        <v>109.0812592664182</v>
      </c>
      <c r="L127" s="28">
        <f t="shared" si="24"/>
        <v>863.02732500465379</v>
      </c>
    </row>
    <row r="128" spans="1:14">
      <c r="A128" t="s">
        <v>233</v>
      </c>
      <c r="C128" s="17" t="s">
        <v>388</v>
      </c>
      <c r="D128" s="27">
        <f>D122-(D122-D125)*$K$2</f>
        <v>35.502380757950959</v>
      </c>
      <c r="E128" s="27">
        <f t="shared" ref="E128:K129" si="27">E122-(E122-E125)*$K$2</f>
        <v>34.208586772300464</v>
      </c>
      <c r="F128" s="27">
        <f t="shared" si="27"/>
        <v>29.40934615713995</v>
      </c>
      <c r="G128" s="27">
        <f t="shared" si="27"/>
        <v>27.165060319864111</v>
      </c>
      <c r="H128" s="27">
        <f t="shared" si="27"/>
        <v>29.591699211758403</v>
      </c>
      <c r="I128" s="27">
        <f t="shared" si="27"/>
        <v>20.377561078577621</v>
      </c>
      <c r="J128" s="27">
        <f t="shared" si="27"/>
        <v>25.429651204161818</v>
      </c>
      <c r="K128" s="27">
        <f t="shared" si="27"/>
        <v>25.40838563392731</v>
      </c>
      <c r="L128" s="28">
        <f t="shared" si="24"/>
        <v>227.09267113568063</v>
      </c>
      <c r="N128" s="53"/>
    </row>
    <row r="129" spans="1:14">
      <c r="C129" s="18" t="s">
        <v>389</v>
      </c>
      <c r="D129" s="29">
        <f>D123-(D123-D126)*$K$2</f>
        <v>76.923611246287237</v>
      </c>
      <c r="E129" s="29">
        <f t="shared" si="27"/>
        <v>76.577370793520885</v>
      </c>
      <c r="F129" s="29">
        <f t="shared" si="27"/>
        <v>79.575994132717227</v>
      </c>
      <c r="G129" s="29">
        <f t="shared" si="27"/>
        <v>78.582137772280092</v>
      </c>
      <c r="H129" s="29">
        <f t="shared" si="27"/>
        <v>79.36050736397776</v>
      </c>
      <c r="I129" s="29">
        <f t="shared" si="27"/>
        <v>79.998881974263142</v>
      </c>
      <c r="J129" s="29">
        <f t="shared" si="27"/>
        <v>81.754729960219521</v>
      </c>
      <c r="K129" s="29">
        <f t="shared" si="27"/>
        <v>83.672873632490891</v>
      </c>
      <c r="L129" s="30">
        <f t="shared" si="24"/>
        <v>636.44610687575675</v>
      </c>
      <c r="N129" s="53"/>
    </row>
    <row r="130" spans="1:14">
      <c r="C130" s="19" t="s">
        <v>78</v>
      </c>
      <c r="D130" s="31">
        <f>SUM(D128:D129)</f>
        <v>112.4259920042382</v>
      </c>
      <c r="E130" s="31">
        <f t="shared" ref="E130:K130" si="28">SUM(E128:E129)</f>
        <v>110.78595756582135</v>
      </c>
      <c r="F130" s="31">
        <f t="shared" si="28"/>
        <v>108.98534028985718</v>
      </c>
      <c r="G130" s="31">
        <f t="shared" si="28"/>
        <v>105.7471980921442</v>
      </c>
      <c r="H130" s="31">
        <f t="shared" si="28"/>
        <v>108.95220657573617</v>
      </c>
      <c r="I130" s="31">
        <f t="shared" si="28"/>
        <v>100.37644305284076</v>
      </c>
      <c r="J130" s="31">
        <f t="shared" si="28"/>
        <v>107.18438116438134</v>
      </c>
      <c r="K130" s="31">
        <f t="shared" si="28"/>
        <v>109.0812592664182</v>
      </c>
      <c r="L130" s="28">
        <f t="shared" si="24"/>
        <v>863.53877801143733</v>
      </c>
    </row>
    <row r="131" spans="1:14">
      <c r="C131" s="20"/>
      <c r="D131" s="32"/>
      <c r="E131" s="32"/>
      <c r="F131" s="32"/>
      <c r="G131" s="32"/>
      <c r="H131" s="32"/>
      <c r="I131" s="32"/>
      <c r="J131" s="32"/>
      <c r="K131" s="32"/>
      <c r="L131" s="33"/>
    </row>
    <row r="132" spans="1:14">
      <c r="C132" s="17" t="s">
        <v>79</v>
      </c>
      <c r="D132" s="27">
        <f>'ET workings 15-16'!D175</f>
        <v>81.05914023505575</v>
      </c>
      <c r="E132" s="27">
        <f>'ET workings 15-16'!E175</f>
        <v>79.876675404957183</v>
      </c>
      <c r="F132" s="27">
        <f>'ET workings 15-16'!F175</f>
        <v>78.578430348987027</v>
      </c>
      <c r="G132" s="27">
        <f>'ET workings 15-16'!G175</f>
        <v>76.243729824435974</v>
      </c>
      <c r="H132" s="27">
        <f>'ET workings 15-16'!H175</f>
        <v>78.55454094110577</v>
      </c>
      <c r="I132" s="27">
        <f>'ET workings 15-16'!I175</f>
        <v>72.371415441098179</v>
      </c>
      <c r="J132" s="27">
        <f>'ET workings 15-16'!J175</f>
        <v>77.279938819518947</v>
      </c>
      <c r="K132" s="27">
        <f>'ET workings 15-16'!K175</f>
        <v>78.647587931087514</v>
      </c>
      <c r="L132" s="28">
        <f t="shared" ref="L132:L134" si="29">SUM(D132:K132)</f>
        <v>622.61145894624633</v>
      </c>
    </row>
    <row r="133" spans="1:14">
      <c r="C133" s="18" t="s">
        <v>80</v>
      </c>
      <c r="D133" s="29">
        <f>'ET workings 15-16'!D174</f>
        <v>31.366851769182464</v>
      </c>
      <c r="E133" s="29">
        <f>'ET workings 15-16'!E174</f>
        <v>30.909282160864159</v>
      </c>
      <c r="F133" s="29">
        <f>'ET workings 15-16'!F174</f>
        <v>30.406909940870154</v>
      </c>
      <c r="G133" s="29">
        <f>'ET workings 15-16'!G174</f>
        <v>29.503468267708236</v>
      </c>
      <c r="H133" s="29">
        <f>'ET workings 15-16'!H174</f>
        <v>30.397665634630393</v>
      </c>
      <c r="I133" s="29">
        <f>'ET workings 15-16'!I174</f>
        <v>28.005027611742573</v>
      </c>
      <c r="J133" s="29">
        <f>'ET workings 15-16'!J174</f>
        <v>29.904442344862396</v>
      </c>
      <c r="K133" s="29">
        <f>'ET workings 15-16'!K174</f>
        <v>30.433671335330679</v>
      </c>
      <c r="L133" s="30">
        <f t="shared" si="29"/>
        <v>240.92731906519103</v>
      </c>
    </row>
    <row r="134" spans="1:14" ht="13.8" thickBot="1">
      <c r="C134" s="21" t="s">
        <v>390</v>
      </c>
      <c r="D134" s="34">
        <f t="shared" ref="D134:K134" si="30">SUM(D132:D133)</f>
        <v>112.42599200423821</v>
      </c>
      <c r="E134" s="34">
        <f t="shared" si="30"/>
        <v>110.78595756582135</v>
      </c>
      <c r="F134" s="34">
        <f t="shared" si="30"/>
        <v>108.98534028985718</v>
      </c>
      <c r="G134" s="34">
        <f t="shared" si="30"/>
        <v>105.7471980921442</v>
      </c>
      <c r="H134" s="34">
        <f t="shared" si="30"/>
        <v>108.95220657573617</v>
      </c>
      <c r="I134" s="34">
        <f t="shared" si="30"/>
        <v>100.37644305284076</v>
      </c>
      <c r="J134" s="34">
        <f t="shared" si="30"/>
        <v>107.18438116438134</v>
      </c>
      <c r="K134" s="34">
        <f t="shared" si="30"/>
        <v>109.08125926641819</v>
      </c>
      <c r="L134" s="35">
        <f t="shared" si="29"/>
        <v>863.53877801143733</v>
      </c>
    </row>
    <row r="136" spans="1:14" ht="13.8" thickBot="1">
      <c r="A136" s="38" t="s">
        <v>375</v>
      </c>
    </row>
    <row r="137" spans="1:14" ht="13.8" thickBot="1">
      <c r="C137" s="7" t="s">
        <v>58</v>
      </c>
      <c r="D137" s="8" t="s">
        <v>59</v>
      </c>
      <c r="E137" s="8" t="s">
        <v>60</v>
      </c>
      <c r="F137" s="8" t="s">
        <v>61</v>
      </c>
      <c r="G137" s="8" t="s">
        <v>62</v>
      </c>
      <c r="H137" s="8" t="s">
        <v>63</v>
      </c>
      <c r="I137" s="8" t="s">
        <v>64</v>
      </c>
      <c r="J137" s="8" t="s">
        <v>65</v>
      </c>
      <c r="K137" s="8" t="s">
        <v>66</v>
      </c>
    </row>
    <row r="138" spans="1:14">
      <c r="C138" s="22" t="s">
        <v>79</v>
      </c>
      <c r="D138" s="41">
        <f>'ET workings 15-16'!D203</f>
        <v>81.05914023505575</v>
      </c>
      <c r="E138" s="41">
        <f>'ET workings 15-16'!E203</f>
        <v>79.876675404957183</v>
      </c>
      <c r="F138" s="41">
        <f>'ET workings 15-16'!F203</f>
        <v>78.578430348987027</v>
      </c>
      <c r="G138" s="41">
        <f>'ET workings 15-16'!G203</f>
        <v>76.243729824435974</v>
      </c>
      <c r="H138" s="41">
        <f>'ET workings 15-16'!H203</f>
        <v>78.55454094110577</v>
      </c>
      <c r="I138" s="41">
        <f>'ET workings 15-16'!I203</f>
        <v>72.371415441098179</v>
      </c>
      <c r="J138" s="41">
        <f>'ET workings 15-16'!J203</f>
        <v>77.279938819518947</v>
      </c>
      <c r="K138" s="41">
        <f>'ET workings 15-16'!K203</f>
        <v>78.647587931087514</v>
      </c>
      <c r="L138" s="28"/>
    </row>
    <row r="139" spans="1:14">
      <c r="C139" s="10" t="s">
        <v>98</v>
      </c>
      <c r="D139" s="42">
        <f>'ET workings 15-16'!D204</f>
        <v>0</v>
      </c>
      <c r="E139" s="42">
        <f>'ET workings 15-16'!E204</f>
        <v>0</v>
      </c>
      <c r="F139" s="42">
        <f>'ET workings 15-16'!F204</f>
        <v>0</v>
      </c>
      <c r="G139" s="42">
        <f>'ET workings 15-16'!G204</f>
        <v>0</v>
      </c>
      <c r="H139" s="42">
        <f>'ET workings 15-16'!H204</f>
        <v>0</v>
      </c>
      <c r="I139" s="42">
        <f>'ET workings 15-16'!I204</f>
        <v>0</v>
      </c>
      <c r="J139" s="42">
        <f>'ET workings 15-16'!J204</f>
        <v>0</v>
      </c>
      <c r="K139" s="42">
        <f>'ET workings 15-16'!K204</f>
        <v>0</v>
      </c>
      <c r="L139" s="28"/>
    </row>
    <row r="140" spans="1:14">
      <c r="C140" s="11" t="s">
        <v>99</v>
      </c>
      <c r="D140" s="43">
        <f>'ET workings 15-16'!D251</f>
        <v>10.271521977223172</v>
      </c>
      <c r="E140" s="43">
        <f>'ET workings 15-16'!E251</f>
        <v>10.214748985437437</v>
      </c>
      <c r="F140" s="43">
        <f>'ET workings 15-16'!F251</f>
        <v>11.357789408220997</v>
      </c>
      <c r="G140" s="43">
        <f>'ET workings 15-16'!G251</f>
        <v>11.50380299902033</v>
      </c>
      <c r="H140" s="43">
        <f>'ET workings 15-16'!H251</f>
        <v>11.451808978301276</v>
      </c>
      <c r="I140" s="43">
        <f>'ET workings 15-16'!I251</f>
        <v>11.501893616485086</v>
      </c>
      <c r="J140" s="43">
        <f>'ET workings 15-16'!J251</f>
        <v>11.654146919502253</v>
      </c>
      <c r="K140" s="43">
        <f>'ET workings 15-16'!K251</f>
        <v>11.608662790540066</v>
      </c>
      <c r="L140" s="28"/>
    </row>
    <row r="141" spans="1:14">
      <c r="C141" s="10" t="s">
        <v>100</v>
      </c>
      <c r="D141" s="42">
        <f>'ET workings 15-16'!D207</f>
        <v>0</v>
      </c>
      <c r="E141" s="42">
        <f>'ET workings 15-16'!E207</f>
        <v>0</v>
      </c>
      <c r="F141" s="42">
        <f>'ET workings 15-16'!F207</f>
        <v>0</v>
      </c>
      <c r="G141" s="42">
        <f>'ET workings 15-16'!G207</f>
        <v>0</v>
      </c>
      <c r="H141" s="42">
        <f>'ET workings 15-16'!H207</f>
        <v>0</v>
      </c>
      <c r="I141" s="42">
        <f>'ET workings 15-16'!I207</f>
        <v>0</v>
      </c>
      <c r="J141" s="42">
        <f>'ET workings 15-16'!J207</f>
        <v>0</v>
      </c>
      <c r="K141" s="42">
        <f>'ET workings 15-16'!K207</f>
        <v>0</v>
      </c>
      <c r="L141" s="28"/>
    </row>
    <row r="142" spans="1:14">
      <c r="C142" s="11" t="s">
        <v>101</v>
      </c>
      <c r="D142" s="43">
        <f>'ET workings 15-16'!D208</f>
        <v>0.93219394583370041</v>
      </c>
      <c r="E142" s="43">
        <f>'ET workings 15-16'!E208</f>
        <v>0.89969793099769935</v>
      </c>
      <c r="F142" s="43">
        <f>'ET workings 15-16'!F208</f>
        <v>0.87783267686821986</v>
      </c>
      <c r="G142" s="43">
        <f>'ET workings 15-16'!G208</f>
        <v>0.87232109317784745</v>
      </c>
      <c r="H142" s="43">
        <f>'ET workings 15-16'!H208</f>
        <v>0.89875958568159287</v>
      </c>
      <c r="I142" s="43">
        <f>'ET workings 15-16'!I208</f>
        <v>0.82801710222961211</v>
      </c>
      <c r="J142" s="43">
        <f>'ET workings 15-16'!J208</f>
        <v>0.88417658562860901</v>
      </c>
      <c r="K142" s="43">
        <f>'ET workings 15-16'!K208</f>
        <v>0.89982415652833225</v>
      </c>
      <c r="L142" s="28"/>
    </row>
    <row r="143" spans="1:14">
      <c r="C143" s="10" t="s">
        <v>102</v>
      </c>
      <c r="D143" s="42">
        <f>'ET workings 15-16'!D210</f>
        <v>0.53824607061444085</v>
      </c>
      <c r="E143" s="42">
        <f>'ET workings 15-16'!E210</f>
        <v>1.0795724238040505</v>
      </c>
      <c r="F143" s="42">
        <f>'ET workings 15-16'!F210</f>
        <v>0.31405412757210804</v>
      </c>
      <c r="G143" s="42">
        <f>'ET workings 15-16'!G210</f>
        <v>0.45765402898979524</v>
      </c>
      <c r="H143" s="42">
        <f>'ET workings 15-16'!H210</f>
        <v>1.31330914047599</v>
      </c>
      <c r="I143" s="42">
        <f>'ET workings 15-16'!I210</f>
        <v>0.19085691484758149</v>
      </c>
      <c r="J143" s="42">
        <f>'ET workings 15-16'!J210</f>
        <v>1.2811460150494176</v>
      </c>
      <c r="K143" s="42">
        <f>'ET workings 15-16'!K210</f>
        <v>1.1431716306887876</v>
      </c>
      <c r="L143" s="28"/>
    </row>
    <row r="144" spans="1:14">
      <c r="C144" s="11" t="s">
        <v>103</v>
      </c>
      <c r="D144" s="43">
        <f>'ET workings 15-16'!D205+'ET workings 15-16'!D206</f>
        <v>19.353660349771509</v>
      </c>
      <c r="E144" s="43">
        <f>'ET workings 15-16'!E205+'ET workings 15-16'!E206</f>
        <v>23.36289543562463</v>
      </c>
      <c r="F144" s="43">
        <f>'ET workings 15-16'!F205+'ET workings 15-16'!F206</f>
        <v>26.705747703947509</v>
      </c>
      <c r="G144" s="43">
        <f>'ET workings 15-16'!G205+'ET workings 15-16'!G206</f>
        <v>29.501843077781057</v>
      </c>
      <c r="H144" s="43">
        <f>'ET workings 15-16'!H205+'ET workings 15-16'!H206</f>
        <v>32.419829665713664</v>
      </c>
      <c r="I144" s="43">
        <f>'ET workings 15-16'!I205+'ET workings 15-16'!I206</f>
        <v>34.295534472564157</v>
      </c>
      <c r="J144" s="43">
        <f>'ET workings 15-16'!J205+'ET workings 15-16'!J206</f>
        <v>35.413201744719885</v>
      </c>
      <c r="K144" s="43">
        <f>'ET workings 15-16'!K205+'ET workings 15-16'!K206</f>
        <v>35.544033232818094</v>
      </c>
      <c r="L144" s="28"/>
    </row>
    <row r="145" spans="3:12">
      <c r="C145" s="11" t="s">
        <v>169</v>
      </c>
      <c r="D145" s="43">
        <f>'ET workings 15-16'!D253</f>
        <v>1.9673768800481106</v>
      </c>
      <c r="E145" s="43">
        <f>'ET workings 15-16'!E253</f>
        <v>2.0545710233718428</v>
      </c>
      <c r="F145" s="43">
        <f>'ET workings 15-16'!F253</f>
        <v>2.1435339486838436</v>
      </c>
      <c r="G145" s="43">
        <f>'ET workings 15-16'!G253</f>
        <v>2.2363489686618538</v>
      </c>
      <c r="H145" s="43">
        <f>'ET workings 15-16'!H253</f>
        <v>2.3331828790049118</v>
      </c>
      <c r="I145" s="43">
        <f>'ET workings 15-16'!I253</f>
        <v>2.4342096976658243</v>
      </c>
      <c r="J145" s="43">
        <f>'ET workings 15-16'!J253</f>
        <v>2.5396109775747542</v>
      </c>
      <c r="K145" s="43">
        <f>'ET workings 15-16'!K253</f>
        <v>2.6495761329037406</v>
      </c>
      <c r="L145" s="28"/>
    </row>
    <row r="146" spans="3:12" ht="13.8" thickBot="1">
      <c r="C146" s="13" t="s">
        <v>107</v>
      </c>
      <c r="D146" s="52">
        <f>SUM(D138:D145)</f>
        <v>114.12213945854668</v>
      </c>
      <c r="E146" s="52">
        <f t="shared" ref="E146:K146" si="31">SUM(E138:E145)</f>
        <v>117.48816120419285</v>
      </c>
      <c r="F146" s="52">
        <f t="shared" si="31"/>
        <v>119.9773882142797</v>
      </c>
      <c r="G146" s="52">
        <f t="shared" si="31"/>
        <v>120.81569999206687</v>
      </c>
      <c r="H146" s="52">
        <f t="shared" si="31"/>
        <v>126.9714311902832</v>
      </c>
      <c r="I146" s="52">
        <f t="shared" si="31"/>
        <v>121.62192724489044</v>
      </c>
      <c r="J146" s="52">
        <f t="shared" si="31"/>
        <v>129.05222106199386</v>
      </c>
      <c r="K146" s="52">
        <f t="shared" si="31"/>
        <v>130.49285587456654</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249977111117893"/>
  </sheetPr>
  <dimension ref="A1:Y257"/>
  <sheetViews>
    <sheetView zoomScale="70" zoomScaleNormal="70" workbookViewId="0">
      <pane xSplit="2" ySplit="4" topLeftCell="C5" activePane="bottomRight" state="frozen"/>
      <selection pane="topRight" activeCell="H35" sqref="H35"/>
      <selection pane="bottomLeft" activeCell="H35" sqref="H35"/>
      <selection pane="bottomRight" activeCell="H7" sqref="H7"/>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1:22">
      <c r="M1" t="s">
        <v>196</v>
      </c>
      <c r="N1" s="55">
        <f>RPI!E2</f>
        <v>1.167</v>
      </c>
      <c r="O1" s="55">
        <f>RPI!F2</f>
        <v>1.19</v>
      </c>
      <c r="P1" s="55">
        <f>RPI!G2</f>
        <v>1.202</v>
      </c>
      <c r="Q1" s="55">
        <f>RPI!H2</f>
        <v>1.228</v>
      </c>
      <c r="R1" s="55">
        <f>RPI!I2</f>
        <v>1.274</v>
      </c>
      <c r="S1" s="55">
        <f>RPI!J2</f>
        <v>1.3129999999999999</v>
      </c>
      <c r="T1" s="55">
        <f>RPI!K2</f>
        <v>1.349</v>
      </c>
      <c r="U1" s="55">
        <f>RPI!L2</f>
        <v>1.3879999999999999</v>
      </c>
    </row>
    <row r="2" spans="1: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1:22" ht="13.8" thickBot="1">
      <c r="M3" t="s">
        <v>198</v>
      </c>
      <c r="N3" s="55">
        <f>RPI!E4</f>
        <v>1.1495010041711728</v>
      </c>
      <c r="O3" s="55"/>
      <c r="P3" s="55"/>
      <c r="Q3" s="55"/>
      <c r="R3" s="55"/>
      <c r="S3" s="55"/>
      <c r="T3" s="55"/>
      <c r="U3" s="55"/>
    </row>
    <row r="4" spans="1: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5" spans="1:22">
      <c r="A5" t="s">
        <v>338</v>
      </c>
    </row>
    <row r="6" spans="1:22">
      <c r="B6" s="38" t="s">
        <v>339</v>
      </c>
    </row>
    <row r="7" spans="1:22">
      <c r="B7" t="s">
        <v>204</v>
      </c>
      <c r="D7" s="187">
        <v>73.775027711210655</v>
      </c>
      <c r="E7" s="187">
        <v>74.857370793520886</v>
      </c>
      <c r="F7" s="187">
        <v>77.005994132717234</v>
      </c>
      <c r="G7" s="187">
        <v>78.582137772280092</v>
      </c>
      <c r="H7" s="187">
        <v>79.36050736397776</v>
      </c>
      <c r="I7" s="187">
        <v>79.998881974263142</v>
      </c>
      <c r="J7" s="187">
        <v>81.754729960219521</v>
      </c>
      <c r="K7" s="187">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110.28713071633614</v>
      </c>
      <c r="U7" s="53">
        <f t="shared" si="0"/>
        <v>116.13794860189735</v>
      </c>
      <c r="V7" s="53">
        <f>SUM(N7:U7)</f>
        <v>796.80469644730749</v>
      </c>
    </row>
    <row r="8" spans="1:22">
      <c r="B8" t="s">
        <v>206</v>
      </c>
      <c r="D8" s="187">
        <v>39.230261993822481</v>
      </c>
      <c r="E8" s="187">
        <v>34.208586772300464</v>
      </c>
      <c r="F8" s="187">
        <v>29.40934615713995</v>
      </c>
      <c r="G8" s="187">
        <v>27.165060319864111</v>
      </c>
      <c r="H8" s="187">
        <v>29.591699211758403</v>
      </c>
      <c r="I8" s="187">
        <v>20.377561078577621</v>
      </c>
      <c r="J8" s="187">
        <v>25.429651204161818</v>
      </c>
      <c r="K8" s="187">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34.304599474414289</v>
      </c>
      <c r="U8" s="53">
        <f t="shared" si="0"/>
        <v>35.266839259891107</v>
      </c>
      <c r="V8" s="53">
        <f>SUM(N8:U8)</f>
        <v>289.22566338576178</v>
      </c>
    </row>
    <row r="9" spans="1:22">
      <c r="B9" s="38" t="s">
        <v>207</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144.59173019075041</v>
      </c>
      <c r="U9" s="57">
        <f t="shared" si="3"/>
        <v>151.40478786178846</v>
      </c>
      <c r="V9" s="57">
        <f t="shared" si="3"/>
        <v>1086.0303598330693</v>
      </c>
    </row>
    <row r="10" spans="1:22">
      <c r="D10" s="53"/>
      <c r="E10" s="53"/>
      <c r="F10" s="53"/>
      <c r="G10" s="53"/>
      <c r="H10" s="53"/>
      <c r="I10" s="53"/>
      <c r="J10" s="53"/>
      <c r="K10" s="53"/>
      <c r="N10" s="53"/>
      <c r="O10" s="53"/>
      <c r="P10" s="53"/>
      <c r="Q10" s="53"/>
      <c r="R10" s="53"/>
      <c r="S10" s="53"/>
      <c r="T10" s="53"/>
      <c r="U10" s="53"/>
      <c r="V10" s="53"/>
    </row>
    <row r="11" spans="1:22">
      <c r="B11" s="38" t="s">
        <v>340</v>
      </c>
      <c r="D11" s="53"/>
      <c r="E11" s="53"/>
      <c r="F11" s="53"/>
      <c r="G11" s="53"/>
      <c r="H11" s="53"/>
      <c r="I11" s="53"/>
      <c r="J11" s="53"/>
      <c r="K11" s="53"/>
      <c r="N11" s="53"/>
      <c r="O11" s="53"/>
      <c r="P11" s="53"/>
      <c r="Q11" s="53"/>
      <c r="R11" s="53"/>
      <c r="S11" s="53"/>
      <c r="T11" s="53"/>
      <c r="U11" s="53"/>
      <c r="V11" s="53"/>
    </row>
    <row r="12" spans="1:22">
      <c r="B12" t="s">
        <v>210</v>
      </c>
      <c r="D12" s="221">
        <v>0</v>
      </c>
      <c r="E12" s="221">
        <v>0</v>
      </c>
      <c r="F12" s="221">
        <v>0</v>
      </c>
      <c r="G12" s="221">
        <v>0</v>
      </c>
      <c r="H12" s="221">
        <v>0</v>
      </c>
      <c r="I12" s="221">
        <v>0</v>
      </c>
      <c r="J12" s="221">
        <v>0</v>
      </c>
      <c r="K12" s="221">
        <v>0</v>
      </c>
      <c r="L12" s="53">
        <f>SUM(D12:K12)</f>
        <v>0</v>
      </c>
      <c r="N12" s="53">
        <f>D12*N$1</f>
        <v>0</v>
      </c>
      <c r="O12" s="53">
        <f t="shared" ref="O12:U13" si="4">E12*O$1</f>
        <v>0</v>
      </c>
      <c r="P12" s="53">
        <f t="shared" si="4"/>
        <v>0</v>
      </c>
      <c r="Q12" s="53">
        <f t="shared" si="4"/>
        <v>0</v>
      </c>
      <c r="R12" s="53">
        <f t="shared" si="4"/>
        <v>0</v>
      </c>
      <c r="S12" s="53">
        <f t="shared" si="4"/>
        <v>0</v>
      </c>
      <c r="T12" s="53">
        <f t="shared" si="4"/>
        <v>0</v>
      </c>
      <c r="U12" s="53">
        <f t="shared" si="4"/>
        <v>0</v>
      </c>
      <c r="V12" s="53">
        <f>SUM(N12:U12)</f>
        <v>0</v>
      </c>
    </row>
    <row r="13" spans="1:22">
      <c r="B13" t="s">
        <v>212</v>
      </c>
      <c r="D13" s="221">
        <v>0</v>
      </c>
      <c r="E13" s="221">
        <v>1.72</v>
      </c>
      <c r="F13" s="221">
        <v>2.57</v>
      </c>
      <c r="G13" s="221">
        <v>0</v>
      </c>
      <c r="H13" s="221">
        <v>0</v>
      </c>
      <c r="I13" s="221">
        <v>0</v>
      </c>
      <c r="J13" s="221">
        <v>0</v>
      </c>
      <c r="K13" s="221">
        <v>0</v>
      </c>
      <c r="L13" s="53">
        <f>SUM(D13:K13)</f>
        <v>4.29</v>
      </c>
      <c r="N13" s="53">
        <f>D13*N$1</f>
        <v>0</v>
      </c>
      <c r="O13" s="53">
        <f t="shared" si="4"/>
        <v>2.0467999999999997</v>
      </c>
      <c r="P13" s="53">
        <f t="shared" si="4"/>
        <v>3.0891399999999996</v>
      </c>
      <c r="Q13" s="53">
        <f t="shared" si="4"/>
        <v>0</v>
      </c>
      <c r="R13" s="53">
        <f t="shared" si="4"/>
        <v>0</v>
      </c>
      <c r="S13" s="53">
        <f t="shared" si="4"/>
        <v>0</v>
      </c>
      <c r="T13" s="53">
        <f t="shared" si="4"/>
        <v>0</v>
      </c>
      <c r="U13" s="53">
        <f t="shared" si="4"/>
        <v>0</v>
      </c>
      <c r="V13" s="53">
        <f>SUM(N13:U13)</f>
        <v>5.1359399999999997</v>
      </c>
    </row>
    <row r="14" spans="1:22">
      <c r="B14" s="38" t="s">
        <v>341</v>
      </c>
      <c r="N14" s="53"/>
      <c r="O14" s="53"/>
      <c r="P14" s="53"/>
      <c r="Q14" s="53"/>
      <c r="R14" s="53"/>
      <c r="S14" s="53"/>
      <c r="T14" s="53"/>
      <c r="U14" s="53"/>
      <c r="V14" s="53"/>
    </row>
    <row r="15" spans="1:22">
      <c r="B15" t="s">
        <v>342</v>
      </c>
      <c r="D15" s="187">
        <v>241.91835100747039</v>
      </c>
      <c r="E15" s="187">
        <v>206.22285805015076</v>
      </c>
      <c r="F15" s="187">
        <v>183.4765697039528</v>
      </c>
      <c r="G15" s="187">
        <v>187.40173539185469</v>
      </c>
      <c r="H15" s="187">
        <v>142.92705896695065</v>
      </c>
      <c r="I15" s="187">
        <v>124.46128971626086</v>
      </c>
      <c r="J15" s="187">
        <v>44.072350609794569</v>
      </c>
      <c r="K15" s="187">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59.453600972612875</v>
      </c>
      <c r="U15" s="53">
        <f t="shared" si="6"/>
        <v>39.396365513873704</v>
      </c>
      <c r="V15" s="53">
        <f t="shared" ref="V15:V17" si="7">SUM(N15:U15)</f>
        <v>1422.7487975585782</v>
      </c>
    </row>
    <row r="16" spans="1:22">
      <c r="B16" t="s">
        <v>343</v>
      </c>
      <c r="D16" s="187">
        <v>506.11836500601339</v>
      </c>
      <c r="E16" s="187">
        <v>499.20409814951984</v>
      </c>
      <c r="F16" s="187">
        <v>485.07329761796098</v>
      </c>
      <c r="G16" s="187">
        <v>489.14143160750723</v>
      </c>
      <c r="H16" s="187">
        <v>622.61892466629627</v>
      </c>
      <c r="I16" s="187">
        <v>715.79753719305393</v>
      </c>
      <c r="J16" s="187">
        <v>784.25081046797004</v>
      </c>
      <c r="K16" s="187">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1057.9543433212916</v>
      </c>
      <c r="U16" s="53">
        <f t="shared" si="6"/>
        <v>977.44766614644607</v>
      </c>
      <c r="V16" s="53">
        <f t="shared" ref="V16" si="8">SUM(N16:U16)</f>
        <v>6136.8774763378324</v>
      </c>
    </row>
    <row r="17" spans="1:22">
      <c r="B17" t="s">
        <v>204</v>
      </c>
      <c r="D17" s="187">
        <v>192.21282629439594</v>
      </c>
      <c r="E17" s="187">
        <v>196.41204072355288</v>
      </c>
      <c r="F17" s="187">
        <v>203.04710659109347</v>
      </c>
      <c r="G17" s="187">
        <v>204.35171680440774</v>
      </c>
      <c r="H17" s="187">
        <v>205.72203973741003</v>
      </c>
      <c r="I17" s="187">
        <v>206.0644404839947</v>
      </c>
      <c r="J17" s="187">
        <v>207.83890997781467</v>
      </c>
      <c r="K17" s="187">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280.374689560072</v>
      </c>
      <c r="U17" s="53">
        <f t="shared" si="6"/>
        <v>288.98722875141522</v>
      </c>
      <c r="V17" s="53">
        <f t="shared" si="7"/>
        <v>2055.0636343973279</v>
      </c>
    </row>
    <row r="18" spans="1:22">
      <c r="N18" s="53"/>
      <c r="O18" s="53"/>
      <c r="P18" s="53"/>
      <c r="Q18" s="53"/>
      <c r="R18" s="53"/>
      <c r="S18" s="53"/>
      <c r="T18" s="53"/>
      <c r="U18" s="53"/>
      <c r="V18" s="53"/>
    </row>
    <row r="19" spans="1:22">
      <c r="B19" s="38" t="s">
        <v>344</v>
      </c>
      <c r="N19" s="53"/>
      <c r="O19" s="53"/>
      <c r="P19" s="53"/>
      <c r="Q19" s="53"/>
      <c r="R19" s="53"/>
      <c r="S19" s="53"/>
      <c r="T19" s="53"/>
      <c r="U19" s="53"/>
      <c r="V19" s="53"/>
    </row>
    <row r="20" spans="1:22">
      <c r="B20" t="s">
        <v>206</v>
      </c>
      <c r="D20" s="187">
        <v>724.45752393322289</v>
      </c>
      <c r="E20" s="187">
        <v>755.09934033774448</v>
      </c>
      <c r="F20" s="187">
        <v>689.73552648636178</v>
      </c>
      <c r="G20" s="187">
        <v>556.80155418660092</v>
      </c>
      <c r="H20" s="187">
        <v>301.14871451971328</v>
      </c>
      <c r="I20" s="187">
        <v>207.58987531826511</v>
      </c>
      <c r="J20" s="187">
        <v>82.29196233462693</v>
      </c>
      <c r="K20" s="187">
        <v>30.163893560793589</v>
      </c>
      <c r="L20" s="53">
        <f t="shared" ref="L20:L21" si="9">SUM(D20:K20)</f>
        <v>3347.2883906773291</v>
      </c>
      <c r="N20" s="53">
        <f>D20*N$1</f>
        <v>845.44193043007112</v>
      </c>
      <c r="O20" s="53">
        <f t="shared" ref="O20:U21" si="10">E20*O$1</f>
        <v>898.56821500191586</v>
      </c>
      <c r="P20" s="53">
        <f t="shared" si="10"/>
        <v>829.06210283660687</v>
      </c>
      <c r="Q20" s="53">
        <f t="shared" si="10"/>
        <v>683.75230854114591</v>
      </c>
      <c r="R20" s="53">
        <f t="shared" si="10"/>
        <v>383.66346229811472</v>
      </c>
      <c r="S20" s="53">
        <f t="shared" si="10"/>
        <v>272.56550629288211</v>
      </c>
      <c r="T20" s="53">
        <f t="shared" si="10"/>
        <v>111.01185718941173</v>
      </c>
      <c r="U20" s="53">
        <f t="shared" si="10"/>
        <v>41.867484262381495</v>
      </c>
      <c r="V20" s="53">
        <f t="shared" ref="V20:V21" si="11">SUM(N20:U20)</f>
        <v>4065.9328668525295</v>
      </c>
    </row>
    <row r="21" spans="1:22">
      <c r="B21" t="s">
        <v>204</v>
      </c>
      <c r="D21" s="187">
        <v>0</v>
      </c>
      <c r="E21" s="187">
        <v>0</v>
      </c>
      <c r="F21" s="187">
        <v>0</v>
      </c>
      <c r="G21" s="187">
        <v>0</v>
      </c>
      <c r="H21" s="187">
        <v>0</v>
      </c>
      <c r="I21" s="187">
        <v>0</v>
      </c>
      <c r="J21" s="187">
        <v>0</v>
      </c>
      <c r="K21" s="187">
        <v>0</v>
      </c>
      <c r="L21" s="53">
        <f t="shared" si="9"/>
        <v>0</v>
      </c>
      <c r="N21" s="53">
        <f>D21*N$1</f>
        <v>0</v>
      </c>
      <c r="O21" s="53">
        <f t="shared" si="10"/>
        <v>0</v>
      </c>
      <c r="P21" s="53">
        <f t="shared" si="10"/>
        <v>0</v>
      </c>
      <c r="Q21" s="53">
        <f t="shared" si="10"/>
        <v>0</v>
      </c>
      <c r="R21" s="53">
        <f t="shared" si="10"/>
        <v>0</v>
      </c>
      <c r="S21" s="53">
        <f t="shared" si="10"/>
        <v>0</v>
      </c>
      <c r="T21" s="53">
        <f t="shared" si="10"/>
        <v>0</v>
      </c>
      <c r="U21" s="53">
        <f t="shared" si="10"/>
        <v>0</v>
      </c>
      <c r="V21" s="53">
        <f t="shared" si="11"/>
        <v>0</v>
      </c>
    </row>
    <row r="22" spans="1:22">
      <c r="N22" s="53"/>
      <c r="O22" s="53"/>
      <c r="P22" s="53"/>
      <c r="Q22" s="53"/>
      <c r="R22" s="53"/>
      <c r="S22" s="53"/>
      <c r="T22" s="53"/>
      <c r="U22" s="53"/>
      <c r="V22" s="53"/>
    </row>
    <row r="23" spans="1:22" ht="15.6">
      <c r="B23" s="59" t="s">
        <v>345</v>
      </c>
      <c r="C23" s="60"/>
      <c r="D23" s="61">
        <f>SUM(D15:D21)</f>
        <v>1664.7070662411024</v>
      </c>
      <c r="E23" s="61">
        <f t="shared" ref="E23:L23" si="12">SUM(E15:E21)</f>
        <v>1656.938337260968</v>
      </c>
      <c r="F23" s="61">
        <f t="shared" si="12"/>
        <v>1561.3325003993691</v>
      </c>
      <c r="G23" s="61">
        <f t="shared" si="12"/>
        <v>1437.6964379903707</v>
      </c>
      <c r="H23" s="61">
        <f t="shared" si="12"/>
        <v>1272.4167378903703</v>
      </c>
      <c r="I23" s="61">
        <f t="shared" si="12"/>
        <v>1253.9131427115747</v>
      </c>
      <c r="J23" s="61">
        <f t="shared" si="12"/>
        <v>1118.4540333902062</v>
      </c>
      <c r="K23" s="61">
        <f t="shared" si="12"/>
        <v>970.96451345397452</v>
      </c>
      <c r="L23" s="61">
        <f t="shared" si="12"/>
        <v>10936.422769337936</v>
      </c>
      <c r="N23" s="61">
        <f>SUM(N15:N21)</f>
        <v>1942.7131463033668</v>
      </c>
      <c r="O23" s="61">
        <f t="shared" ref="O23:V23" si="13">SUM(O15:O21)</f>
        <v>1971.7566213405516</v>
      </c>
      <c r="P23" s="61">
        <f t="shared" si="13"/>
        <v>1876.7216654800418</v>
      </c>
      <c r="Q23" s="61">
        <f t="shared" si="13"/>
        <v>1765.4912258521749</v>
      </c>
      <c r="R23" s="61">
        <f t="shared" si="13"/>
        <v>1621.0589240723316</v>
      </c>
      <c r="S23" s="61">
        <f t="shared" si="13"/>
        <v>1646.3879563802975</v>
      </c>
      <c r="T23" s="61">
        <f t="shared" si="13"/>
        <v>1508.7944910433882</v>
      </c>
      <c r="U23" s="61">
        <f t="shared" si="13"/>
        <v>1347.6987446741166</v>
      </c>
      <c r="V23" s="61">
        <f t="shared" si="13"/>
        <v>13680.622775146268</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1">
        <v>94.24723304227993</v>
      </c>
      <c r="E26" s="191">
        <v>87.678224204681584</v>
      </c>
      <c r="F26" s="191">
        <v>87.676243763178761</v>
      </c>
      <c r="G26" s="191">
        <v>87.677481779017953</v>
      </c>
      <c r="H26" s="191">
        <v>87.676244486345595</v>
      </c>
      <c r="I26" s="191">
        <v>87.676244488148086</v>
      </c>
      <c r="J26" s="191">
        <v>87.676244492723825</v>
      </c>
      <c r="K26" s="191">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118.27525382068444</v>
      </c>
      <c r="U26" s="58">
        <f t="shared" si="15"/>
        <v>121.69462731362731</v>
      </c>
      <c r="V26" s="58">
        <f t="shared" ref="V26" si="16">SUM(N26:U26)</f>
        <v>894.16672601474102</v>
      </c>
    </row>
    <row r="27" spans="1:22">
      <c r="D27" s="191"/>
      <c r="E27" s="191"/>
      <c r="F27" s="191"/>
      <c r="G27" s="191"/>
      <c r="H27" s="191"/>
      <c r="I27" s="191"/>
      <c r="J27" s="191"/>
      <c r="K27" s="191"/>
      <c r="L27" s="58"/>
      <c r="N27" s="58"/>
      <c r="O27" s="58"/>
      <c r="P27" s="58"/>
      <c r="Q27" s="58"/>
      <c r="R27" s="58"/>
      <c r="S27" s="58"/>
      <c r="T27" s="58"/>
      <c r="U27" s="58"/>
      <c r="V27" s="58"/>
    </row>
    <row r="28" spans="1:22">
      <c r="A28" t="s">
        <v>346</v>
      </c>
      <c r="N28" s="53"/>
      <c r="O28" s="53"/>
      <c r="P28" s="53"/>
      <c r="Q28" s="53"/>
      <c r="R28" s="53"/>
      <c r="S28" s="53"/>
      <c r="T28" s="53"/>
      <c r="U28" s="53"/>
      <c r="V28" s="53"/>
    </row>
    <row r="29" spans="1:22">
      <c r="B29" s="38" t="s">
        <v>339</v>
      </c>
    </row>
    <row r="30" spans="1:22">
      <c r="B30" t="s">
        <v>204</v>
      </c>
      <c r="D30" s="223">
        <v>79.703447095651597</v>
      </c>
      <c r="E30" s="223">
        <v>76.577370793520885</v>
      </c>
      <c r="F30" s="223">
        <v>79.575994132717227</v>
      </c>
      <c r="G30" s="223">
        <v>78.582137772280092</v>
      </c>
      <c r="H30" s="223">
        <v>79.36050736397776</v>
      </c>
      <c r="I30" s="223">
        <v>79.998881974263142</v>
      </c>
      <c r="J30" s="223">
        <v>81.754729960219521</v>
      </c>
      <c r="K30" s="223">
        <v>83.672873632490891</v>
      </c>
      <c r="L30" s="53">
        <f>SUM(D30:K30)</f>
        <v>639.22594272512117</v>
      </c>
      <c r="N30" s="53">
        <f>D30*N$1</f>
        <v>93.01392276062542</v>
      </c>
      <c r="O30" s="53">
        <f t="shared" ref="O30:O31" si="17">E30*O$1</f>
        <v>91.127071244289851</v>
      </c>
      <c r="P30" s="53">
        <f t="shared" ref="P30:P31" si="18">F30*P$1</f>
        <v>95.650344947526108</v>
      </c>
      <c r="Q30" s="53">
        <f t="shared" ref="Q30:Q31" si="19">G30*Q$1</f>
        <v>96.498865184359957</v>
      </c>
      <c r="R30" s="53">
        <f t="shared" ref="R30:R31" si="20">H30*R$1</f>
        <v>101.10528638170767</v>
      </c>
      <c r="S30" s="53">
        <f t="shared" ref="S30:S31" si="21">I30*S$1</f>
        <v>105.0385320322075</v>
      </c>
      <c r="T30" s="53">
        <f t="shared" ref="T30:T31" si="22">J30*T$1</f>
        <v>110.28713071633614</v>
      </c>
      <c r="U30" s="53">
        <f t="shared" ref="U30:U31" si="23">K30*U$1</f>
        <v>116.13794860189735</v>
      </c>
      <c r="V30" s="53">
        <f>SUM(N30:U30)</f>
        <v>808.85910186895001</v>
      </c>
    </row>
    <row r="31" spans="1:22">
      <c r="B31" t="s">
        <v>206</v>
      </c>
      <c r="D31" s="223">
        <v>32.211091901803051</v>
      </c>
      <c r="E31" s="223">
        <v>34.208586772300464</v>
      </c>
      <c r="F31" s="223">
        <v>29.40934615713995</v>
      </c>
      <c r="G31" s="223">
        <v>27.165060319864111</v>
      </c>
      <c r="H31" s="223">
        <v>29.591699211758403</v>
      </c>
      <c r="I31" s="223">
        <v>20.377561078577621</v>
      </c>
      <c r="J31" s="223">
        <v>25.429651204161818</v>
      </c>
      <c r="K31" s="223">
        <v>25.40838563392731</v>
      </c>
      <c r="L31" s="53">
        <f>SUM(D31:K31)</f>
        <v>223.80138227953273</v>
      </c>
      <c r="N31" s="53">
        <f t="shared" ref="N31" si="24">D31*N$1</f>
        <v>37.590344249404161</v>
      </c>
      <c r="O31" s="53">
        <f t="shared" si="17"/>
        <v>40.708218259037551</v>
      </c>
      <c r="P31" s="53">
        <f t="shared" si="18"/>
        <v>35.350034080882217</v>
      </c>
      <c r="Q31" s="53">
        <f t="shared" si="19"/>
        <v>33.358694072793128</v>
      </c>
      <c r="R31" s="53">
        <f t="shared" si="20"/>
        <v>37.699824795780209</v>
      </c>
      <c r="S31" s="53">
        <f t="shared" si="21"/>
        <v>26.755737696172414</v>
      </c>
      <c r="T31" s="53">
        <f t="shared" si="22"/>
        <v>34.304599474414289</v>
      </c>
      <c r="U31" s="53">
        <f t="shared" si="23"/>
        <v>35.266839259891107</v>
      </c>
      <c r="V31" s="53">
        <f>SUM(N31:U31)</f>
        <v>281.03429188837509</v>
      </c>
    </row>
    <row r="32" spans="1:22">
      <c r="B32" s="38" t="s">
        <v>207</v>
      </c>
      <c r="D32" s="57">
        <f>SUM(D30:D31)</f>
        <v>111.91453899745466</v>
      </c>
      <c r="E32" s="57">
        <f t="shared" ref="E32:L32" si="25">SUM(E30:E31)</f>
        <v>110.78595756582135</v>
      </c>
      <c r="F32" s="57">
        <f t="shared" si="25"/>
        <v>108.98534028985718</v>
      </c>
      <c r="G32" s="57">
        <f t="shared" si="25"/>
        <v>105.7471980921442</v>
      </c>
      <c r="H32" s="57">
        <f t="shared" si="25"/>
        <v>108.95220657573617</v>
      </c>
      <c r="I32" s="57">
        <f t="shared" si="25"/>
        <v>100.37644305284076</v>
      </c>
      <c r="J32" s="57">
        <f t="shared" si="25"/>
        <v>107.18438116438134</v>
      </c>
      <c r="K32" s="57">
        <f t="shared" si="25"/>
        <v>109.0812592664182</v>
      </c>
      <c r="L32" s="57">
        <f t="shared" si="25"/>
        <v>863.0273250046539</v>
      </c>
      <c r="N32" s="57">
        <f>SUM(N30:N31)</f>
        <v>130.60426701002959</v>
      </c>
      <c r="O32" s="57">
        <f t="shared" ref="O32:V32" si="26">SUM(O30:O31)</f>
        <v>131.8352895033274</v>
      </c>
      <c r="P32" s="57">
        <f t="shared" si="26"/>
        <v>131.00037902840833</v>
      </c>
      <c r="Q32" s="57">
        <f t="shared" si="26"/>
        <v>129.85755925715307</v>
      </c>
      <c r="R32" s="57">
        <f t="shared" si="26"/>
        <v>138.80511117748787</v>
      </c>
      <c r="S32" s="57">
        <f t="shared" si="26"/>
        <v>131.7942697283799</v>
      </c>
      <c r="T32" s="57">
        <f t="shared" si="26"/>
        <v>144.59173019075041</v>
      </c>
      <c r="U32" s="57">
        <f t="shared" si="26"/>
        <v>151.40478786178846</v>
      </c>
      <c r="V32" s="57">
        <f t="shared" si="26"/>
        <v>1089.8933937573252</v>
      </c>
    </row>
    <row r="33" spans="2:22">
      <c r="D33" s="53"/>
      <c r="E33" s="53"/>
      <c r="F33" s="53"/>
      <c r="G33" s="53"/>
      <c r="H33" s="53"/>
      <c r="I33" s="53"/>
      <c r="J33" s="53"/>
      <c r="K33" s="53"/>
      <c r="N33" s="53"/>
      <c r="O33" s="53"/>
      <c r="P33" s="53"/>
      <c r="Q33" s="53"/>
      <c r="R33" s="53"/>
      <c r="S33" s="53"/>
      <c r="T33" s="53"/>
      <c r="U33" s="53"/>
      <c r="V33" s="53"/>
    </row>
    <row r="34" spans="2:22">
      <c r="B34" s="38" t="s">
        <v>340</v>
      </c>
      <c r="D34" s="53"/>
      <c r="E34" s="53"/>
      <c r="F34" s="53"/>
      <c r="G34" s="53"/>
      <c r="H34" s="53"/>
      <c r="I34" s="53"/>
      <c r="J34" s="53"/>
      <c r="K34" s="53"/>
      <c r="N34" s="53"/>
      <c r="O34" s="53"/>
      <c r="P34" s="53"/>
      <c r="Q34" s="53"/>
      <c r="R34" s="53"/>
      <c r="S34" s="53"/>
      <c r="T34" s="53"/>
      <c r="U34" s="53"/>
      <c r="V34" s="53"/>
    </row>
    <row r="35" spans="2:22">
      <c r="B35" t="s">
        <v>210</v>
      </c>
      <c r="D35" s="222">
        <v>0</v>
      </c>
      <c r="E35" s="222">
        <v>0</v>
      </c>
      <c r="F35" s="222">
        <v>0</v>
      </c>
      <c r="G35" s="222">
        <v>0</v>
      </c>
      <c r="H35" s="222">
        <v>0</v>
      </c>
      <c r="I35" s="222">
        <v>0</v>
      </c>
      <c r="J35" s="222">
        <v>0</v>
      </c>
      <c r="K35" s="222">
        <v>0</v>
      </c>
      <c r="L35" s="53">
        <f>SUM(D35:K35)</f>
        <v>0</v>
      </c>
      <c r="N35" s="53">
        <f>D35*N$1</f>
        <v>0</v>
      </c>
      <c r="O35" s="53">
        <f t="shared" ref="O35:O36" si="27">E35*O$1</f>
        <v>0</v>
      </c>
      <c r="P35" s="53">
        <f t="shared" ref="P35:P36" si="28">F35*P$1</f>
        <v>0</v>
      </c>
      <c r="Q35" s="53">
        <f t="shared" ref="Q35:Q36" si="29">G35*Q$1</f>
        <v>0</v>
      </c>
      <c r="R35" s="53">
        <f t="shared" ref="R35:R36" si="30">H35*R$1</f>
        <v>0</v>
      </c>
      <c r="S35" s="53">
        <f t="shared" ref="S35:S36" si="31">I35*S$1</f>
        <v>0</v>
      </c>
      <c r="T35" s="53">
        <f t="shared" ref="T35:T36" si="32">J35*T$1</f>
        <v>0</v>
      </c>
      <c r="U35" s="53">
        <f t="shared" ref="U35:U36" si="33">K35*U$1</f>
        <v>0</v>
      </c>
      <c r="V35" s="53">
        <f>SUM(N35:U35)</f>
        <v>0</v>
      </c>
    </row>
    <row r="36" spans="2:22">
      <c r="B36" t="s">
        <v>212</v>
      </c>
      <c r="D36" s="222">
        <v>0</v>
      </c>
      <c r="E36" s="222">
        <v>0</v>
      </c>
      <c r="F36" s="222">
        <v>0</v>
      </c>
      <c r="G36" s="222">
        <v>0</v>
      </c>
      <c r="H36" s="222">
        <v>0</v>
      </c>
      <c r="I36" s="222">
        <v>0</v>
      </c>
      <c r="J36" s="222">
        <v>0</v>
      </c>
      <c r="K36" s="222">
        <v>0</v>
      </c>
      <c r="L36" s="53">
        <f>SUM(D36:K36)</f>
        <v>0</v>
      </c>
      <c r="N36" s="53">
        <f>D36*N$1</f>
        <v>0</v>
      </c>
      <c r="O36" s="53">
        <f t="shared" si="27"/>
        <v>0</v>
      </c>
      <c r="P36" s="53">
        <f t="shared" si="28"/>
        <v>0</v>
      </c>
      <c r="Q36" s="53">
        <f t="shared" si="29"/>
        <v>0</v>
      </c>
      <c r="R36" s="53">
        <f t="shared" si="30"/>
        <v>0</v>
      </c>
      <c r="S36" s="53">
        <f t="shared" si="31"/>
        <v>0</v>
      </c>
      <c r="T36" s="53">
        <f t="shared" si="32"/>
        <v>0</v>
      </c>
      <c r="U36" s="53">
        <f t="shared" si="33"/>
        <v>0</v>
      </c>
      <c r="V36" s="53">
        <f>SUM(N36:U36)</f>
        <v>0</v>
      </c>
    </row>
    <row r="37" spans="2:22">
      <c r="B37" s="38" t="s">
        <v>341</v>
      </c>
      <c r="N37" s="53"/>
      <c r="O37" s="53"/>
      <c r="P37" s="53"/>
      <c r="Q37" s="53"/>
      <c r="R37" s="53"/>
      <c r="S37" s="53"/>
      <c r="T37" s="53"/>
      <c r="U37" s="53"/>
      <c r="V37" s="53"/>
    </row>
    <row r="38" spans="2:22">
      <c r="B38" t="s">
        <v>342</v>
      </c>
      <c r="D38" s="223">
        <v>576.4723599528071</v>
      </c>
      <c r="E38" s="223">
        <v>961.32219838789524</v>
      </c>
      <c r="F38" s="223">
        <v>873.21209619031458</v>
      </c>
      <c r="G38" s="223">
        <v>744.20328957845561</v>
      </c>
      <c r="H38" s="223">
        <v>444.07577348666393</v>
      </c>
      <c r="I38" s="223">
        <v>332.05116503452598</v>
      </c>
      <c r="J38" s="223">
        <v>126.3643129444215</v>
      </c>
      <c r="K38" s="223">
        <v>58.547442201912972</v>
      </c>
      <c r="L38" s="53">
        <f t="shared" ref="L38:L40" si="34">SUM(D38:K38)</f>
        <v>4116.2486377769974</v>
      </c>
      <c r="N38" s="53">
        <f>D38*N$1</f>
        <v>672.74324406492588</v>
      </c>
      <c r="O38" s="53">
        <f t="shared" ref="O38:O40" si="35">E38*O$1</f>
        <v>1143.9734160815954</v>
      </c>
      <c r="P38" s="53">
        <f t="shared" ref="P38:P40" si="36">F38*P$1</f>
        <v>1049.600939620758</v>
      </c>
      <c r="Q38" s="53">
        <f t="shared" ref="Q38:Q40" si="37">G38*Q$1</f>
        <v>913.88163960234351</v>
      </c>
      <c r="R38" s="53">
        <f t="shared" ref="R38:R40" si="38">H38*R$1</f>
        <v>565.75253542200983</v>
      </c>
      <c r="S38" s="53">
        <f t="shared" ref="S38:S40" si="39">I38*S$1</f>
        <v>435.98317969033258</v>
      </c>
      <c r="T38" s="53">
        <f t="shared" ref="T38:T40" si="40">J38*T$1</f>
        <v>170.46545816202459</v>
      </c>
      <c r="U38" s="53">
        <f t="shared" ref="U38:U40" si="41">K38*U$1</f>
        <v>81.263849776255199</v>
      </c>
      <c r="V38" s="53">
        <f t="shared" ref="V38" si="42">SUM(N38:U38)</f>
        <v>5033.664262420245</v>
      </c>
    </row>
    <row r="39" spans="2:22">
      <c r="B39" t="s">
        <v>343</v>
      </c>
      <c r="D39" s="223">
        <v>422.8588747219477</v>
      </c>
      <c r="E39" s="223">
        <v>499.20409814951984</v>
      </c>
      <c r="F39" s="223">
        <v>485.07329761796098</v>
      </c>
      <c r="G39" s="223">
        <v>489.14143160750723</v>
      </c>
      <c r="H39" s="223">
        <v>622.61892466629627</v>
      </c>
      <c r="I39" s="223">
        <v>715.79753719305393</v>
      </c>
      <c r="J39" s="223">
        <v>784.25081046797004</v>
      </c>
      <c r="K39" s="223">
        <v>704.21301595565285</v>
      </c>
      <c r="L39" s="53">
        <f t="shared" si="34"/>
        <v>4723.1579903799093</v>
      </c>
      <c r="N39" s="53">
        <f>D39*N$1</f>
        <v>493.47630680051299</v>
      </c>
      <c r="O39" s="53">
        <f t="shared" si="35"/>
        <v>594.05287679792855</v>
      </c>
      <c r="P39" s="53">
        <f t="shared" si="36"/>
        <v>583.05810373678912</v>
      </c>
      <c r="Q39" s="53">
        <f t="shared" si="37"/>
        <v>600.66567801401891</v>
      </c>
      <c r="R39" s="53">
        <f t="shared" si="38"/>
        <v>793.21651002486146</v>
      </c>
      <c r="S39" s="53">
        <f t="shared" si="39"/>
        <v>939.84216633447977</v>
      </c>
      <c r="T39" s="53">
        <f t="shared" si="40"/>
        <v>1057.9543433212916</v>
      </c>
      <c r="U39" s="53">
        <f t="shared" si="41"/>
        <v>977.44766614644607</v>
      </c>
      <c r="V39" s="53">
        <f t="shared" ref="V39" si="43">SUM(N39:U39)</f>
        <v>6039.7136511763283</v>
      </c>
    </row>
    <row r="40" spans="2:22">
      <c r="B40" t="s">
        <v>204</v>
      </c>
      <c r="D40" s="223">
        <v>165.28612902215741</v>
      </c>
      <c r="E40" s="223">
        <v>196.41204072355288</v>
      </c>
      <c r="F40" s="223">
        <v>203.04710659109347</v>
      </c>
      <c r="G40" s="223">
        <v>204.35171680440774</v>
      </c>
      <c r="H40" s="223">
        <v>205.72203973741003</v>
      </c>
      <c r="I40" s="223">
        <v>206.0644404839947</v>
      </c>
      <c r="J40" s="223">
        <v>207.83890997781467</v>
      </c>
      <c r="K40" s="223">
        <v>208.20405529640865</v>
      </c>
      <c r="L40" s="53">
        <f t="shared" si="34"/>
        <v>1596.9264386368393</v>
      </c>
      <c r="N40" s="53">
        <f>D40*N$1</f>
        <v>192.88891256885771</v>
      </c>
      <c r="O40" s="53">
        <f t="shared" si="35"/>
        <v>233.73032846102791</v>
      </c>
      <c r="P40" s="53">
        <f t="shared" si="36"/>
        <v>244.06262212249433</v>
      </c>
      <c r="Q40" s="53">
        <f t="shared" si="37"/>
        <v>250.9439082358127</v>
      </c>
      <c r="R40" s="53">
        <f t="shared" si="38"/>
        <v>262.08987862546036</v>
      </c>
      <c r="S40" s="53">
        <f t="shared" si="39"/>
        <v>270.56261035548505</v>
      </c>
      <c r="T40" s="53">
        <f t="shared" si="40"/>
        <v>280.374689560072</v>
      </c>
      <c r="U40" s="53">
        <f t="shared" si="41"/>
        <v>288.98722875141522</v>
      </c>
      <c r="V40" s="53">
        <f t="shared" ref="V40" si="44">SUM(N40:U40)</f>
        <v>2023.6401786806252</v>
      </c>
    </row>
    <row r="41" spans="2:22">
      <c r="N41" s="53"/>
      <c r="O41" s="53"/>
      <c r="P41" s="53"/>
      <c r="Q41" s="53"/>
      <c r="R41" s="53"/>
      <c r="S41" s="53"/>
      <c r="T41" s="53"/>
      <c r="U41" s="53"/>
      <c r="V41" s="53"/>
    </row>
    <row r="42" spans="2:22">
      <c r="B42" s="38" t="s">
        <v>344</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 t="shared" ref="L43:L44" si="45">SUM(D43:K43)</f>
        <v>0</v>
      </c>
      <c r="N43" s="53">
        <f>D43*N$1</f>
        <v>0</v>
      </c>
      <c r="O43" s="53">
        <f t="shared" ref="O43:O44" si="46">E43*O$1</f>
        <v>0</v>
      </c>
      <c r="P43" s="53">
        <f t="shared" ref="P43:P44" si="47">F43*P$1</f>
        <v>0</v>
      </c>
      <c r="Q43" s="53">
        <f t="shared" ref="Q43:Q44" si="48">G43*Q$1</f>
        <v>0</v>
      </c>
      <c r="R43" s="53">
        <f t="shared" ref="R43:R44" si="49">H43*R$1</f>
        <v>0</v>
      </c>
      <c r="S43" s="53">
        <f t="shared" ref="S43:S44" si="50">I43*S$1</f>
        <v>0</v>
      </c>
      <c r="T43" s="53">
        <f t="shared" ref="T43:T44" si="51">J43*T$1</f>
        <v>0</v>
      </c>
      <c r="U43" s="53">
        <f t="shared" ref="U43:U44" si="52">K43*U$1</f>
        <v>0</v>
      </c>
      <c r="V43" s="53">
        <f t="shared" ref="V43:V44" si="53">SUM(N43:U43)</f>
        <v>0</v>
      </c>
    </row>
    <row r="44" spans="2:22">
      <c r="B44" t="s">
        <v>204</v>
      </c>
      <c r="D44" s="223">
        <v>0</v>
      </c>
      <c r="E44" s="223">
        <v>0</v>
      </c>
      <c r="F44" s="223">
        <v>0</v>
      </c>
      <c r="G44" s="223">
        <v>0</v>
      </c>
      <c r="H44" s="223">
        <v>0</v>
      </c>
      <c r="I44" s="223">
        <v>0</v>
      </c>
      <c r="J44" s="223">
        <v>0</v>
      </c>
      <c r="K44" s="223">
        <v>0</v>
      </c>
      <c r="L44" s="53">
        <f t="shared" si="45"/>
        <v>0</v>
      </c>
      <c r="N44" s="53">
        <f>D44*N$1</f>
        <v>0</v>
      </c>
      <c r="O44" s="53">
        <f t="shared" si="46"/>
        <v>0</v>
      </c>
      <c r="P44" s="53">
        <f t="shared" si="47"/>
        <v>0</v>
      </c>
      <c r="Q44" s="53">
        <f t="shared" si="48"/>
        <v>0</v>
      </c>
      <c r="R44" s="53">
        <f t="shared" si="49"/>
        <v>0</v>
      </c>
      <c r="S44" s="53">
        <f t="shared" si="50"/>
        <v>0</v>
      </c>
      <c r="T44" s="53">
        <f t="shared" si="51"/>
        <v>0</v>
      </c>
      <c r="U44" s="53">
        <f t="shared" si="52"/>
        <v>0</v>
      </c>
      <c r="V44" s="53">
        <f t="shared" si="53"/>
        <v>0</v>
      </c>
    </row>
    <row r="45" spans="2:22">
      <c r="N45" s="53"/>
      <c r="O45" s="53"/>
      <c r="P45" s="53"/>
      <c r="Q45" s="53"/>
      <c r="R45" s="53"/>
      <c r="S45" s="53"/>
      <c r="T45" s="53"/>
      <c r="U45" s="53"/>
      <c r="V45" s="53"/>
    </row>
    <row r="46" spans="2:22" ht="15.6">
      <c r="B46" s="59" t="s">
        <v>345</v>
      </c>
      <c r="C46" s="60"/>
      <c r="D46" s="61">
        <f>SUM(D38:D44)</f>
        <v>1164.6173636969122</v>
      </c>
      <c r="E46" s="61">
        <f t="shared" ref="E46:L46" si="54">SUM(E38:E44)</f>
        <v>1656.9383372609677</v>
      </c>
      <c r="F46" s="61">
        <f t="shared" si="54"/>
        <v>1561.3325003993691</v>
      </c>
      <c r="G46" s="61">
        <f t="shared" si="54"/>
        <v>1437.6964379903707</v>
      </c>
      <c r="H46" s="61">
        <f t="shared" si="54"/>
        <v>1272.4167378903703</v>
      </c>
      <c r="I46" s="61">
        <f t="shared" si="54"/>
        <v>1253.9131427115747</v>
      </c>
      <c r="J46" s="61">
        <f t="shared" si="54"/>
        <v>1118.4540333902062</v>
      </c>
      <c r="K46" s="61">
        <f t="shared" si="54"/>
        <v>970.96451345397452</v>
      </c>
      <c r="L46" s="61">
        <f t="shared" si="54"/>
        <v>10436.333066793746</v>
      </c>
      <c r="N46" s="61">
        <f>SUM(N38:N44)</f>
        <v>1359.1084634342965</v>
      </c>
      <c r="O46" s="61">
        <f t="shared" ref="O46:V46" si="55">SUM(O38:O44)</f>
        <v>1971.7566213405519</v>
      </c>
      <c r="P46" s="61">
        <f t="shared" si="55"/>
        <v>1876.7216654800413</v>
      </c>
      <c r="Q46" s="61">
        <f t="shared" si="55"/>
        <v>1765.4912258521749</v>
      </c>
      <c r="R46" s="61">
        <f t="shared" si="55"/>
        <v>1621.0589240723318</v>
      </c>
      <c r="S46" s="61">
        <f t="shared" si="55"/>
        <v>1646.3879563802975</v>
      </c>
      <c r="T46" s="61">
        <f t="shared" si="55"/>
        <v>1508.7944910433882</v>
      </c>
      <c r="U46" s="61">
        <f t="shared" si="55"/>
        <v>1347.6987446741164</v>
      </c>
      <c r="V46" s="61">
        <f t="shared" si="55"/>
        <v>13097.0180922772</v>
      </c>
    </row>
    <row r="47" spans="2:22">
      <c r="N47" s="53"/>
      <c r="O47" s="53"/>
      <c r="P47" s="53"/>
      <c r="Q47" s="53"/>
      <c r="R47" s="53"/>
      <c r="S47" s="53"/>
      <c r="T47" s="53"/>
      <c r="U47" s="53"/>
      <c r="V47" s="53"/>
    </row>
    <row r="49" spans="1:12" s="188" customFormat="1"/>
    <row r="50" spans="1:12" ht="13.8" thickBot="1"/>
    <row r="51" spans="1:12" ht="16.8">
      <c r="A51" s="68"/>
      <c r="B51" s="69" t="s">
        <v>237</v>
      </c>
      <c r="D51" s="70">
        <v>41729</v>
      </c>
      <c r="E51" s="71">
        <v>42094</v>
      </c>
      <c r="F51" s="71">
        <v>42460</v>
      </c>
      <c r="G51" s="71">
        <v>42825</v>
      </c>
      <c r="H51" s="71">
        <v>43190</v>
      </c>
      <c r="I51" s="71">
        <v>43555</v>
      </c>
      <c r="J51" s="71">
        <v>43921</v>
      </c>
      <c r="K51" s="72">
        <v>44286</v>
      </c>
      <c r="L51" s="73" t="s">
        <v>238</v>
      </c>
    </row>
    <row r="52" spans="1:12" ht="16.8">
      <c r="A52" s="74"/>
      <c r="B52" s="75" t="s">
        <v>239</v>
      </c>
      <c r="D52" s="76" t="s">
        <v>240</v>
      </c>
      <c r="E52" s="77" t="s">
        <v>240</v>
      </c>
      <c r="F52" s="77" t="s">
        <v>240</v>
      </c>
      <c r="G52" s="77" t="s">
        <v>240</v>
      </c>
      <c r="H52" s="77" t="s">
        <v>240</v>
      </c>
      <c r="I52" s="77" t="s">
        <v>240</v>
      </c>
      <c r="J52" s="77" t="s">
        <v>240</v>
      </c>
      <c r="K52" s="78" t="s">
        <v>240</v>
      </c>
      <c r="L52" s="79" t="s">
        <v>240</v>
      </c>
    </row>
    <row r="53" spans="1:12" ht="16.8">
      <c r="A53" s="80"/>
      <c r="B53" s="81" t="s">
        <v>207</v>
      </c>
      <c r="D53" s="82"/>
      <c r="E53" s="83"/>
      <c r="F53" s="83"/>
      <c r="G53" s="83"/>
      <c r="H53" s="83"/>
      <c r="I53" s="83"/>
      <c r="J53" s="83"/>
      <c r="K53" s="84"/>
      <c r="L53" s="85"/>
    </row>
    <row r="54" spans="1:12" ht="16.8">
      <c r="A54" s="86">
        <v>1</v>
      </c>
      <c r="B54" s="75" t="s">
        <v>241</v>
      </c>
      <c r="D54" s="87">
        <v>1189.2430114369006</v>
      </c>
      <c r="E54" s="88">
        <v>1408.3975866718224</v>
      </c>
      <c r="F54" s="88">
        <v>1327.1326253394636</v>
      </c>
      <c r="G54" s="88">
        <v>1222.041972291815</v>
      </c>
      <c r="H54" s="88">
        <v>1081.5542272068149</v>
      </c>
      <c r="I54" s="88">
        <v>1065.8261713048387</v>
      </c>
      <c r="J54" s="88">
        <v>950.68592838167524</v>
      </c>
      <c r="K54" s="89">
        <v>825.3198364358783</v>
      </c>
      <c r="L54" s="90">
        <v>9070.2013590692077</v>
      </c>
    </row>
    <row r="55" spans="1:12" ht="16.8">
      <c r="A55" s="86">
        <v>2</v>
      </c>
      <c r="B55" s="75" t="s">
        <v>242</v>
      </c>
      <c r="D55" s="87">
        <v>209.86641378298268</v>
      </c>
      <c r="E55" s="88">
        <v>248.54075058914538</v>
      </c>
      <c r="F55" s="88">
        <v>234.19987505990539</v>
      </c>
      <c r="G55" s="88">
        <v>215.65446569855544</v>
      </c>
      <c r="H55" s="88">
        <v>190.86251068355574</v>
      </c>
      <c r="I55" s="88">
        <v>188.08697140673627</v>
      </c>
      <c r="J55" s="88">
        <v>167.76810500853094</v>
      </c>
      <c r="K55" s="89">
        <v>145.64467701809619</v>
      </c>
      <c r="L55" s="90">
        <v>1600.6237692475079</v>
      </c>
    </row>
    <row r="56" spans="1:12" ht="16.8">
      <c r="A56" s="86">
        <v>3</v>
      </c>
      <c r="B56" s="75" t="s">
        <v>243</v>
      </c>
      <c r="D56" s="87">
        <v>1399.1094252198832</v>
      </c>
      <c r="E56" s="88">
        <v>1656.9383372609677</v>
      </c>
      <c r="F56" s="88">
        <v>1561.3325003993691</v>
      </c>
      <c r="G56" s="88">
        <v>1437.6964379903704</v>
      </c>
      <c r="H56" s="88">
        <v>1272.4167378903705</v>
      </c>
      <c r="I56" s="88">
        <v>1253.9131427115749</v>
      </c>
      <c r="J56" s="88">
        <v>1118.4540333902062</v>
      </c>
      <c r="K56" s="89">
        <v>970.96451345397452</v>
      </c>
      <c r="L56" s="90">
        <v>10670.825128316717</v>
      </c>
    </row>
    <row r="57" spans="1:12" ht="16.8">
      <c r="A57" s="80"/>
      <c r="B57" s="81" t="s">
        <v>244</v>
      </c>
      <c r="D57" s="82">
        <v>0</v>
      </c>
      <c r="E57" s="83">
        <v>0</v>
      </c>
      <c r="F57" s="83">
        <v>0</v>
      </c>
      <c r="G57" s="83">
        <v>0</v>
      </c>
      <c r="H57" s="83">
        <v>0</v>
      </c>
      <c r="I57" s="83">
        <v>0</v>
      </c>
      <c r="J57" s="83">
        <v>0</v>
      </c>
      <c r="K57" s="84">
        <v>0</v>
      </c>
      <c r="L57" s="85">
        <v>0</v>
      </c>
    </row>
    <row r="58" spans="1:12" ht="16.8">
      <c r="A58" s="86">
        <v>4</v>
      </c>
      <c r="B58" s="75" t="s">
        <v>245</v>
      </c>
      <c r="D58" s="87">
        <v>8691.0913006079008</v>
      </c>
      <c r="E58" s="88">
        <v>9154.4123523338712</v>
      </c>
      <c r="F58" s="88">
        <v>9974.6275121183826</v>
      </c>
      <c r="G58" s="88">
        <v>10672.935785536316</v>
      </c>
      <c r="H58" s="88">
        <v>11311.023474160047</v>
      </c>
      <c r="I58" s="88">
        <v>11701.373136676615</v>
      </c>
      <c r="J58" s="88">
        <v>12056.906009636523</v>
      </c>
      <c r="K58" s="89">
        <v>12289.321780471557</v>
      </c>
      <c r="L58" s="90">
        <v>0</v>
      </c>
    </row>
    <row r="59" spans="1:12" ht="16.8">
      <c r="A59" s="86">
        <v>5</v>
      </c>
      <c r="B59" s="75" t="s">
        <v>246</v>
      </c>
      <c r="D59" s="87">
        <v>0</v>
      </c>
      <c r="E59" s="88">
        <v>0</v>
      </c>
      <c r="F59" s="88">
        <v>0</v>
      </c>
      <c r="G59" s="88">
        <v>82.388628473992952</v>
      </c>
      <c r="H59" s="88">
        <v>0</v>
      </c>
      <c r="I59" s="88">
        <v>0</v>
      </c>
      <c r="J59" s="88">
        <v>0</v>
      </c>
      <c r="K59" s="89">
        <v>0</v>
      </c>
      <c r="L59" s="90">
        <v>82.388628473992952</v>
      </c>
    </row>
    <row r="60" spans="1:12" ht="16.8">
      <c r="A60" s="86">
        <v>6</v>
      </c>
      <c r="B60" s="75" t="s">
        <v>247</v>
      </c>
      <c r="D60" s="87">
        <v>8691.0913006079008</v>
      </c>
      <c r="E60" s="88">
        <v>9154.4123523338712</v>
      </c>
      <c r="F60" s="88">
        <v>9974.6275121183826</v>
      </c>
      <c r="G60" s="88">
        <v>10755.324414010309</v>
      </c>
      <c r="H60" s="88">
        <v>11311.023474160047</v>
      </c>
      <c r="I60" s="88">
        <v>11701.373136676615</v>
      </c>
      <c r="J60" s="88">
        <v>12056.906009636523</v>
      </c>
      <c r="K60" s="89">
        <v>12289.321780471557</v>
      </c>
      <c r="L60" s="90">
        <v>0</v>
      </c>
    </row>
    <row r="61" spans="1:12" ht="16.8">
      <c r="A61" s="86">
        <v>7</v>
      </c>
      <c r="B61" s="75" t="s">
        <v>248</v>
      </c>
      <c r="D61" s="87">
        <v>1027.0681172532477</v>
      </c>
      <c r="E61" s="88">
        <v>1408.3975866718224</v>
      </c>
      <c r="F61" s="88">
        <v>1327.1326253394636</v>
      </c>
      <c r="G61" s="88">
        <v>1222.041972291815</v>
      </c>
      <c r="H61" s="88">
        <v>1081.5542272068149</v>
      </c>
      <c r="I61" s="88">
        <v>1065.8261713048387</v>
      </c>
      <c r="J61" s="88">
        <v>950.68592838167524</v>
      </c>
      <c r="K61" s="89">
        <v>825.3198364358783</v>
      </c>
      <c r="L61" s="90">
        <v>8908.0264648855555</v>
      </c>
    </row>
    <row r="62" spans="1:12" ht="16.8">
      <c r="A62" s="86">
        <v>8</v>
      </c>
      <c r="B62" s="75" t="s">
        <v>249</v>
      </c>
      <c r="D62" s="87">
        <v>-563.74706552727753</v>
      </c>
      <c r="E62" s="88">
        <v>-588.18242688731129</v>
      </c>
      <c r="F62" s="88">
        <v>-628.82435192153071</v>
      </c>
      <c r="G62" s="88">
        <v>-666.34291214207735</v>
      </c>
      <c r="H62" s="88">
        <v>-691.2045646902485</v>
      </c>
      <c r="I62" s="88">
        <v>-710.29329834492921</v>
      </c>
      <c r="J62" s="88">
        <v>-718.27015754664114</v>
      </c>
      <c r="K62" s="89">
        <v>-723.62488871875473</v>
      </c>
      <c r="L62" s="90">
        <v>-5290.4896657787704</v>
      </c>
    </row>
    <row r="63" spans="1:12" ht="16.8">
      <c r="A63" s="86">
        <v>9</v>
      </c>
      <c r="B63" s="75" t="s">
        <v>250</v>
      </c>
      <c r="D63" s="87">
        <v>9154.4123523338712</v>
      </c>
      <c r="E63" s="88">
        <v>9974.6275121183826</v>
      </c>
      <c r="F63" s="88">
        <v>10672.935785536316</v>
      </c>
      <c r="G63" s="88">
        <v>11311.023474160047</v>
      </c>
      <c r="H63" s="88">
        <v>11701.373136676613</v>
      </c>
      <c r="I63" s="88">
        <v>12056.906009636523</v>
      </c>
      <c r="J63" s="88">
        <v>12289.321780471557</v>
      </c>
      <c r="K63" s="89">
        <v>12391.016728188681</v>
      </c>
      <c r="L63" s="90">
        <v>0</v>
      </c>
    </row>
    <row r="64" spans="1:12" ht="16.8">
      <c r="A64" s="80"/>
      <c r="B64" s="81" t="s">
        <v>251</v>
      </c>
      <c r="D64" s="91">
        <v>0</v>
      </c>
      <c r="E64" s="92">
        <v>0</v>
      </c>
      <c r="F64" s="92">
        <v>0</v>
      </c>
      <c r="G64" s="92">
        <v>0</v>
      </c>
      <c r="H64" s="92">
        <v>0</v>
      </c>
      <c r="I64" s="92">
        <v>0</v>
      </c>
      <c r="J64" s="92">
        <v>0</v>
      </c>
      <c r="K64" s="93">
        <v>0</v>
      </c>
      <c r="L64" s="94">
        <v>0</v>
      </c>
    </row>
    <row r="65" spans="1:12" ht="16.8">
      <c r="A65" s="86">
        <v>10</v>
      </c>
      <c r="B65" s="75" t="s">
        <v>252</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253</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254</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255</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256</v>
      </c>
      <c r="D69" s="87">
        <v>0</v>
      </c>
      <c r="E69" s="88">
        <v>16.036529091209541</v>
      </c>
      <c r="F69" s="88">
        <v>0</v>
      </c>
      <c r="G69" s="88">
        <v>22.217944632295964</v>
      </c>
      <c r="H69" s="88">
        <v>0</v>
      </c>
      <c r="I69" s="88">
        <v>0</v>
      </c>
      <c r="J69" s="88">
        <v>0</v>
      </c>
      <c r="K69" s="89">
        <v>0</v>
      </c>
      <c r="L69" s="90">
        <v>38.254473723505505</v>
      </c>
    </row>
    <row r="70" spans="1:12" ht="16.8">
      <c r="A70" s="86">
        <v>15</v>
      </c>
      <c r="B70" s="75" t="s">
        <v>257</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258</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259</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260</v>
      </c>
      <c r="D73" s="91">
        <v>0</v>
      </c>
      <c r="E73" s="92">
        <v>0</v>
      </c>
      <c r="F73" s="92">
        <v>0</v>
      </c>
      <c r="G73" s="92">
        <v>0</v>
      </c>
      <c r="H73" s="92">
        <v>0</v>
      </c>
      <c r="I73" s="92">
        <v>0</v>
      </c>
      <c r="J73" s="92">
        <v>0</v>
      </c>
      <c r="K73" s="93">
        <v>0</v>
      </c>
      <c r="L73" s="94">
        <v>0</v>
      </c>
    </row>
    <row r="74" spans="1:12" ht="16.8">
      <c r="A74" s="86">
        <v>18</v>
      </c>
      <c r="B74" s="75" t="s">
        <v>252</v>
      </c>
      <c r="D74" s="87">
        <v>209.86641378298268</v>
      </c>
      <c r="E74" s="88">
        <v>248.54075058914538</v>
      </c>
      <c r="F74" s="88">
        <v>234.19987505990539</v>
      </c>
      <c r="G74" s="88">
        <v>215.65446569855544</v>
      </c>
      <c r="H74" s="88">
        <v>190.86251068355574</v>
      </c>
      <c r="I74" s="88">
        <v>188.08697140673627</v>
      </c>
      <c r="J74" s="88">
        <v>167.76810500853094</v>
      </c>
      <c r="K74" s="89">
        <v>145.64467701809619</v>
      </c>
      <c r="L74" s="90">
        <v>1600.6237692475079</v>
      </c>
    </row>
    <row r="75" spans="1:12" ht="16.8">
      <c r="A75" s="86">
        <v>19</v>
      </c>
      <c r="B75" s="75" t="s">
        <v>253</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254</v>
      </c>
      <c r="D76" s="87">
        <v>563.74706552727753</v>
      </c>
      <c r="E76" s="88">
        <v>588.18242688731129</v>
      </c>
      <c r="F76" s="88">
        <v>628.82435192153071</v>
      </c>
      <c r="G76" s="88">
        <v>666.34291214207735</v>
      </c>
      <c r="H76" s="88">
        <v>691.2045646902485</v>
      </c>
      <c r="I76" s="88">
        <v>710.29329834492921</v>
      </c>
      <c r="J76" s="88">
        <v>718.27015754664114</v>
      </c>
      <c r="K76" s="89">
        <v>723.62488871875473</v>
      </c>
      <c r="L76" s="90">
        <v>5290.4896657787704</v>
      </c>
    </row>
    <row r="77" spans="1:12" ht="16.8">
      <c r="A77" s="86">
        <v>21</v>
      </c>
      <c r="B77" s="75" t="s">
        <v>255</v>
      </c>
      <c r="D77" s="87">
        <v>397.09229823896078</v>
      </c>
      <c r="E77" s="88">
        <v>414.51888059709137</v>
      </c>
      <c r="F77" s="88">
        <v>437.42970390330885</v>
      </c>
      <c r="G77" s="88">
        <v>467.57304406611729</v>
      </c>
      <c r="H77" s="88">
        <v>487.70425479281869</v>
      </c>
      <c r="I77" s="88">
        <v>503.53315178548002</v>
      </c>
      <c r="J77" s="88">
        <v>516.05340545389026</v>
      </c>
      <c r="K77" s="89">
        <v>523.19552570592191</v>
      </c>
      <c r="L77" s="90">
        <v>3747.1002645435892</v>
      </c>
    </row>
    <row r="78" spans="1:12" ht="16.8">
      <c r="A78" s="86">
        <v>22</v>
      </c>
      <c r="B78" s="75" t="s">
        <v>256</v>
      </c>
      <c r="D78" s="87">
        <v>0</v>
      </c>
      <c r="E78" s="88">
        <v>0</v>
      </c>
      <c r="F78" s="88">
        <v>0</v>
      </c>
      <c r="G78" s="88">
        <v>19.263784250501491</v>
      </c>
      <c r="H78" s="88">
        <v>0</v>
      </c>
      <c r="I78" s="88">
        <v>0</v>
      </c>
      <c r="J78" s="88">
        <v>0</v>
      </c>
      <c r="K78" s="89">
        <v>0</v>
      </c>
      <c r="L78" s="90">
        <v>19.263784250501491</v>
      </c>
    </row>
    <row r="79" spans="1:12" ht="16.8">
      <c r="A79" s="86">
        <v>23</v>
      </c>
      <c r="B79" s="75" t="s">
        <v>257</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258</v>
      </c>
      <c r="D80" s="87">
        <v>-45.325154703342264</v>
      </c>
      <c r="E80" s="88">
        <v>-44.690726609029554</v>
      </c>
      <c r="F80" s="88">
        <v>-46.886744743665048</v>
      </c>
      <c r="G80" s="88">
        <v>-42.814381298481848</v>
      </c>
      <c r="H80" s="88">
        <v>-42.752554816122256</v>
      </c>
      <c r="I80" s="88">
        <v>-42.210737947076467</v>
      </c>
      <c r="J80" s="88">
        <v>-41.542250607601019</v>
      </c>
      <c r="K80" s="89">
        <v>-41.080253366326289</v>
      </c>
      <c r="L80" s="90">
        <v>-347.30280409164482</v>
      </c>
    </row>
    <row r="81" spans="1:12" ht="16.8">
      <c r="A81" s="86">
        <v>25</v>
      </c>
      <c r="B81" s="75" t="s">
        <v>259</v>
      </c>
      <c r="D81" s="87">
        <v>96.601957554126471</v>
      </c>
      <c r="E81" s="88">
        <v>77.502688543666494</v>
      </c>
      <c r="F81" s="88">
        <v>68.842447373180065</v>
      </c>
      <c r="G81" s="88">
        <v>74.280186000346205</v>
      </c>
      <c r="H81" s="88">
        <v>66.106356690065709</v>
      </c>
      <c r="I81" s="88">
        <v>69.123710778979657</v>
      </c>
      <c r="J81" s="88">
        <v>67.722245612627177</v>
      </c>
      <c r="K81" s="89">
        <v>68.218853774063078</v>
      </c>
      <c r="L81" s="90">
        <v>588.39844632705478</v>
      </c>
    </row>
    <row r="82" spans="1:12" ht="16.8">
      <c r="A82" s="80"/>
      <c r="B82" s="81" t="s">
        <v>261</v>
      </c>
      <c r="D82" s="91">
        <v>0</v>
      </c>
      <c r="E82" s="92">
        <v>0</v>
      </c>
      <c r="F82" s="92">
        <v>0</v>
      </c>
      <c r="G82" s="92">
        <v>0</v>
      </c>
      <c r="H82" s="92">
        <v>0</v>
      </c>
      <c r="I82" s="92">
        <v>0</v>
      </c>
      <c r="J82" s="92">
        <v>0</v>
      </c>
      <c r="K82" s="93">
        <v>0</v>
      </c>
      <c r="L82" s="95">
        <v>0</v>
      </c>
    </row>
    <row r="83" spans="1:12" ht="16.8">
      <c r="A83" s="86">
        <v>26</v>
      </c>
      <c r="B83" s="75" t="s">
        <v>262</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263</v>
      </c>
      <c r="D84" s="87">
        <v>0</v>
      </c>
      <c r="E84" s="88">
        <v>-5.4472436134815325</v>
      </c>
      <c r="F84" s="88">
        <v>-114.38240781754212</v>
      </c>
      <c r="G84" s="88">
        <v>0</v>
      </c>
      <c r="H84" s="88">
        <v>0</v>
      </c>
      <c r="I84" s="88">
        <v>0</v>
      </c>
      <c r="J84" s="88">
        <v>0</v>
      </c>
      <c r="K84" s="89">
        <v>0</v>
      </c>
      <c r="L84" s="90">
        <v>-119.82965143102365</v>
      </c>
    </row>
    <row r="85" spans="1:12" ht="16.8">
      <c r="A85" s="86">
        <v>28</v>
      </c>
      <c r="B85" s="75" t="s">
        <v>264</v>
      </c>
      <c r="D85" s="96">
        <v>1342.2812908140818</v>
      </c>
      <c r="E85" s="88">
        <v>1438.3822181213663</v>
      </c>
      <c r="F85" s="88">
        <v>1361.2101654120604</v>
      </c>
      <c r="G85" s="88">
        <v>1571.3868096928727</v>
      </c>
      <c r="H85" s="88">
        <v>1554.9421422395978</v>
      </c>
      <c r="I85" s="88">
        <v>1587.6274208238706</v>
      </c>
      <c r="J85" s="88">
        <v>1585.2281224827718</v>
      </c>
      <c r="K85" s="89">
        <v>1571.5841090397205</v>
      </c>
      <c r="L85" s="90">
        <v>12012.642278626341</v>
      </c>
    </row>
    <row r="86" spans="1:12" ht="16.8">
      <c r="A86" s="86">
        <v>29</v>
      </c>
      <c r="B86" s="75" t="s">
        <v>168</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265</v>
      </c>
      <c r="D87" s="96">
        <v>0</v>
      </c>
      <c r="E87" s="88">
        <v>0</v>
      </c>
      <c r="F87" s="88">
        <v>0</v>
      </c>
      <c r="G87" s="88">
        <v>0</v>
      </c>
      <c r="H87" s="88">
        <v>0</v>
      </c>
      <c r="I87" s="88">
        <v>0</v>
      </c>
      <c r="J87" s="88">
        <v>0</v>
      </c>
      <c r="K87" s="89">
        <v>0</v>
      </c>
      <c r="L87" s="90">
        <v>0</v>
      </c>
    </row>
    <row r="88" spans="1:12" ht="16.8">
      <c r="A88" s="86">
        <v>31</v>
      </c>
      <c r="B88" s="75" t="s">
        <v>266</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267</v>
      </c>
      <c r="D89" s="96">
        <v>1479.0323249384494</v>
      </c>
      <c r="E89" s="88">
        <v>1574.4569081721447</v>
      </c>
      <c r="F89" s="88">
        <v>1503.8084233892357</v>
      </c>
      <c r="G89" s="88">
        <v>1696.9868096928726</v>
      </c>
      <c r="H89" s="88">
        <v>1682.2421422395978</v>
      </c>
      <c r="I89" s="88">
        <v>1716.2274208238705</v>
      </c>
      <c r="J89" s="88">
        <v>1715.4281224827719</v>
      </c>
      <c r="K89" s="89">
        <v>1703.2841090397205</v>
      </c>
      <c r="L89" s="90">
        <v>13071.466260778663</v>
      </c>
    </row>
    <row r="90" spans="1:12" ht="16.8">
      <c r="A90" s="80"/>
      <c r="B90" s="81" t="s">
        <v>268</v>
      </c>
      <c r="D90" s="91">
        <v>0</v>
      </c>
      <c r="E90" s="92">
        <v>0</v>
      </c>
      <c r="F90" s="92">
        <v>0</v>
      </c>
      <c r="G90" s="92">
        <v>0</v>
      </c>
      <c r="H90" s="92">
        <v>0</v>
      </c>
      <c r="I90" s="97">
        <v>0</v>
      </c>
      <c r="J90" s="92">
        <v>0</v>
      </c>
      <c r="K90" s="93">
        <v>0</v>
      </c>
      <c r="L90" s="95">
        <v>0</v>
      </c>
    </row>
    <row r="91" spans="1:12" ht="16.8">
      <c r="A91" s="86">
        <v>33</v>
      </c>
      <c r="B91" s="75" t="s">
        <v>268</v>
      </c>
      <c r="D91" s="87">
        <v>1331.3980597308034</v>
      </c>
      <c r="E91" s="88">
        <v>1388.0073542188395</v>
      </c>
      <c r="F91" s="88">
        <v>1425.7005801819166</v>
      </c>
      <c r="G91" s="88">
        <v>1502.8891669978711</v>
      </c>
      <c r="H91" s="88">
        <v>1493.8347922847654</v>
      </c>
      <c r="I91" s="88">
        <v>1529.0587066230266</v>
      </c>
      <c r="J91" s="88">
        <v>1527.233008413152</v>
      </c>
      <c r="K91" s="89">
        <v>1517.1067542547255</v>
      </c>
      <c r="L91" s="90">
        <v>11715.2284227051</v>
      </c>
    </row>
    <row r="92" spans="1:12" ht="16.8">
      <c r="A92" s="86">
        <v>34</v>
      </c>
      <c r="B92" s="75" t="s">
        <v>269</v>
      </c>
      <c r="D92" s="87">
        <v>1351.1261049786092</v>
      </c>
      <c r="E92" s="88">
        <v>1429.1347880160697</v>
      </c>
      <c r="F92" s="88">
        <v>1462.0086804414825</v>
      </c>
      <c r="G92" s="88">
        <v>1556.4385291950655</v>
      </c>
      <c r="H92" s="88">
        <v>1541.5803660033087</v>
      </c>
      <c r="I92" s="88">
        <v>1574.9318791583714</v>
      </c>
      <c r="J92" s="88">
        <v>1573.331994601642</v>
      </c>
      <c r="K92" s="89">
        <v>1560.6623383935998</v>
      </c>
      <c r="L92" s="90">
        <v>12049.214680788149</v>
      </c>
    </row>
    <row r="93" spans="1:12" ht="16.8">
      <c r="A93" s="80"/>
      <c r="B93" s="81" t="s">
        <v>270</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271</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-5.4472436134815325</v>
      </c>
      <c r="F105" s="88">
        <v>-114.38240781754212</v>
      </c>
      <c r="G105" s="88">
        <v>0</v>
      </c>
      <c r="H105" s="88">
        <v>0</v>
      </c>
      <c r="I105" s="88">
        <v>0</v>
      </c>
      <c r="J105" s="88">
        <v>0</v>
      </c>
      <c r="K105" s="89">
        <v>0</v>
      </c>
      <c r="L105" s="90">
        <v>-119.82965143102365</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272</v>
      </c>
      <c r="D111" s="91">
        <v>0</v>
      </c>
      <c r="E111" s="92">
        <v>0</v>
      </c>
      <c r="F111" s="92">
        <v>0</v>
      </c>
      <c r="G111" s="92">
        <v>0</v>
      </c>
      <c r="H111" s="92">
        <v>0</v>
      </c>
      <c r="I111" s="97">
        <v>0</v>
      </c>
      <c r="J111" s="92">
        <v>0</v>
      </c>
      <c r="K111" s="93">
        <v>0</v>
      </c>
      <c r="L111" s="95">
        <v>0</v>
      </c>
    </row>
    <row r="112" spans="1:12" ht="16.8">
      <c r="A112" s="86">
        <v>51</v>
      </c>
      <c r="B112" s="75" t="s">
        <v>273</v>
      </c>
      <c r="D112" s="87">
        <v>8723.4687662337601</v>
      </c>
      <c r="E112" s="88">
        <v>9352.8628293567544</v>
      </c>
      <c r="F112" s="88">
        <v>10102.302630561404</v>
      </c>
      <c r="G112" s="88">
        <v>10798.453673582384</v>
      </c>
      <c r="H112" s="88">
        <v>11263.377708841077</v>
      </c>
      <c r="I112" s="88">
        <v>11628.941149780137</v>
      </c>
      <c r="J112" s="88">
        <v>11918.09250470878</v>
      </c>
      <c r="K112" s="89">
        <v>12083.037545171406</v>
      </c>
      <c r="L112" s="90">
        <v>85870.536808235702</v>
      </c>
    </row>
    <row r="113" spans="1:12" ht="16.8">
      <c r="A113" s="86">
        <v>52</v>
      </c>
      <c r="B113" s="75" t="s">
        <v>26</v>
      </c>
      <c r="D113" s="99">
        <v>0.6</v>
      </c>
      <c r="E113" s="100">
        <v>0.6</v>
      </c>
      <c r="F113" s="100">
        <v>0.6</v>
      </c>
      <c r="G113" s="100">
        <v>0.6</v>
      </c>
      <c r="H113" s="100">
        <v>0.6</v>
      </c>
      <c r="I113" s="100">
        <v>0.6</v>
      </c>
      <c r="J113" s="100">
        <v>0.6</v>
      </c>
      <c r="K113" s="101">
        <v>0.6</v>
      </c>
      <c r="L113" s="102">
        <v>0.6</v>
      </c>
    </row>
    <row r="114" spans="1:12" ht="16.8">
      <c r="A114" s="86">
        <v>53</v>
      </c>
      <c r="B114" s="75" t="s">
        <v>274</v>
      </c>
      <c r="D114" s="87">
        <v>3489.3875064935041</v>
      </c>
      <c r="E114" s="88">
        <v>3741.1451317427018</v>
      </c>
      <c r="F114" s="88">
        <v>4040.9210522245617</v>
      </c>
      <c r="G114" s="88">
        <v>4319.381469432954</v>
      </c>
      <c r="H114" s="88">
        <v>4505.3510835364314</v>
      </c>
      <c r="I114" s="88">
        <v>4651.5764599120548</v>
      </c>
      <c r="J114" s="88">
        <v>4767.2370018835127</v>
      </c>
      <c r="K114" s="89">
        <v>4833.215018068563</v>
      </c>
      <c r="L114" s="90">
        <v>34348.214723294281</v>
      </c>
    </row>
    <row r="115" spans="1:12" ht="16.8">
      <c r="A115" s="86">
        <v>54</v>
      </c>
      <c r="B115" s="75" t="s">
        <v>275</v>
      </c>
      <c r="D115" s="87">
        <v>152.83517278441548</v>
      </c>
      <c r="E115" s="88">
        <v>152.63872137510222</v>
      </c>
      <c r="F115" s="88">
        <v>154.56523024758945</v>
      </c>
      <c r="G115" s="88">
        <v>165.21634120581047</v>
      </c>
      <c r="H115" s="88">
        <v>172.32967894526845</v>
      </c>
      <c r="I115" s="88">
        <v>177.92279959163611</v>
      </c>
      <c r="J115" s="88">
        <v>182.34681532204431</v>
      </c>
      <c r="K115" s="89">
        <v>184.8704744411225</v>
      </c>
      <c r="L115" s="90">
        <v>1342.7252339129891</v>
      </c>
    </row>
    <row r="116" spans="1:12" ht="17.399999999999999" thickBot="1">
      <c r="A116" s="103">
        <v>55</v>
      </c>
      <c r="B116" s="104" t="s">
        <v>276</v>
      </c>
      <c r="D116" s="105">
        <v>244.2571254545453</v>
      </c>
      <c r="E116" s="106">
        <v>261.88015922198917</v>
      </c>
      <c r="F116" s="106">
        <v>282.86447365571939</v>
      </c>
      <c r="G116" s="106">
        <v>302.35670286030683</v>
      </c>
      <c r="H116" s="106">
        <v>315.3745758475502</v>
      </c>
      <c r="I116" s="106">
        <v>325.61035219384394</v>
      </c>
      <c r="J116" s="106">
        <v>333.70659013184593</v>
      </c>
      <c r="K116" s="107">
        <v>338.32505126479941</v>
      </c>
      <c r="L116" s="108">
        <v>2404.3750306306001</v>
      </c>
    </row>
    <row r="120" spans="1:12">
      <c r="B120" t="s">
        <v>348</v>
      </c>
      <c r="D120" s="53">
        <v>-162.17489418365281</v>
      </c>
    </row>
    <row r="123" spans="1:12">
      <c r="D123" s="53"/>
      <c r="E123" s="53"/>
    </row>
    <row r="124" spans="1:12">
      <c r="D124" s="53">
        <f>D131+D128-D127</f>
        <v>1121.7186420693638</v>
      </c>
      <c r="E124" s="53">
        <f t="shared" ref="E124:K124" si="56">E131+E128-E127</f>
        <v>1496.9171633168767</v>
      </c>
      <c r="F124" s="53">
        <f t="shared" si="56"/>
        <v>1409.5212538134565</v>
      </c>
      <c r="G124" s="53">
        <f t="shared" si="56"/>
        <v>1222.041972291815</v>
      </c>
      <c r="H124" s="53">
        <f t="shared" si="56"/>
        <v>1081.5542272068149</v>
      </c>
      <c r="I124" s="53">
        <f t="shared" si="56"/>
        <v>1065.8261713048387</v>
      </c>
      <c r="J124" s="53">
        <f t="shared" si="56"/>
        <v>950.68592838167524</v>
      </c>
      <c r="K124" s="53">
        <f t="shared" si="56"/>
        <v>825.3198364358783</v>
      </c>
    </row>
    <row r="127" spans="1:12" ht="16.8">
      <c r="B127" s="110" t="s">
        <v>287</v>
      </c>
      <c r="D127" s="187">
        <v>5.1119303278452115</v>
      </c>
      <c r="E127" s="187">
        <v>6.1309481710615064</v>
      </c>
      <c r="F127" s="187">
        <v>6.1309481710615064</v>
      </c>
      <c r="G127" s="187">
        <v>0</v>
      </c>
      <c r="H127" s="187">
        <v>0</v>
      </c>
      <c r="I127" s="187">
        <v>0</v>
      </c>
      <c r="J127" s="187">
        <v>0</v>
      </c>
      <c r="K127" s="187">
        <v>0</v>
      </c>
    </row>
    <row r="128" spans="1:12" ht="16.8">
      <c r="B128" s="110" t="s">
        <v>288</v>
      </c>
      <c r="D128" s="187">
        <v>99.762455143961176</v>
      </c>
      <c r="E128" s="187">
        <v>94.650524816115961</v>
      </c>
      <c r="F128" s="187">
        <v>88.519576645054457</v>
      </c>
      <c r="G128" s="187">
        <v>0</v>
      </c>
      <c r="H128" s="187">
        <v>0</v>
      </c>
      <c r="I128" s="187">
        <v>0</v>
      </c>
      <c r="J128" s="187">
        <v>0</v>
      </c>
      <c r="K128" s="187">
        <v>0</v>
      </c>
    </row>
    <row r="129" spans="2:25">
      <c r="D129" s="53"/>
      <c r="E129" s="53"/>
      <c r="F129" s="53"/>
      <c r="G129" s="53"/>
      <c r="H129" s="53"/>
      <c r="I129" s="53"/>
      <c r="J129" s="53"/>
      <c r="K129" s="53"/>
    </row>
    <row r="130" spans="2:25">
      <c r="B130" t="s">
        <v>289</v>
      </c>
      <c r="D130" s="53">
        <f>D128+D60</f>
        <v>8790.8537557518612</v>
      </c>
      <c r="E130" s="53">
        <f t="shared" ref="E130:K130" si="57">E128+E60</f>
        <v>9249.0628771499869</v>
      </c>
      <c r="F130" s="53">
        <f t="shared" si="57"/>
        <v>10063.147088763437</v>
      </c>
      <c r="G130" s="53">
        <f t="shared" si="57"/>
        <v>10755.324414010309</v>
      </c>
      <c r="H130" s="53">
        <f t="shared" si="57"/>
        <v>11311.023474160047</v>
      </c>
      <c r="I130" s="53">
        <f t="shared" si="57"/>
        <v>11701.373136676615</v>
      </c>
      <c r="J130" s="53">
        <f t="shared" si="57"/>
        <v>12056.906009636523</v>
      </c>
      <c r="K130" s="53">
        <f t="shared" si="57"/>
        <v>12289.321780471557</v>
      </c>
      <c r="L130" s="53"/>
      <c r="N130" s="53">
        <f>D130*N$1</f>
        <v>10258.926332962423</v>
      </c>
      <c r="O130" s="53">
        <f t="shared" ref="O130:U130" si="58">E130*O$1</f>
        <v>11006.384823808485</v>
      </c>
      <c r="P130" s="53">
        <f t="shared" si="58"/>
        <v>12095.902800693651</v>
      </c>
      <c r="Q130" s="53">
        <f t="shared" si="58"/>
        <v>13207.53838040466</v>
      </c>
      <c r="R130" s="53">
        <f t="shared" si="58"/>
        <v>14410.243906079901</v>
      </c>
      <c r="S130" s="53">
        <f t="shared" si="58"/>
        <v>15363.902928456395</v>
      </c>
      <c r="T130" s="53">
        <f t="shared" si="58"/>
        <v>16264.76620699967</v>
      </c>
      <c r="U130" s="53">
        <f t="shared" si="58"/>
        <v>17057.57863129452</v>
      </c>
    </row>
    <row r="131" spans="2:25">
      <c r="B131" t="str">
        <f>B61</f>
        <v>RAV additions (after disposals)</v>
      </c>
      <c r="D131" s="53">
        <f>D61</f>
        <v>1027.0681172532477</v>
      </c>
      <c r="E131" s="53">
        <f t="shared" ref="E131:K131" si="59">E61</f>
        <v>1408.3975866718224</v>
      </c>
      <c r="F131" s="53">
        <f t="shared" si="59"/>
        <v>1327.1326253394636</v>
      </c>
      <c r="G131" s="53">
        <f t="shared" si="59"/>
        <v>1222.041972291815</v>
      </c>
      <c r="H131" s="53">
        <f t="shared" si="59"/>
        <v>1081.5542272068149</v>
      </c>
      <c r="I131" s="53">
        <f t="shared" si="59"/>
        <v>1065.8261713048387</v>
      </c>
      <c r="J131" s="53">
        <f t="shared" si="59"/>
        <v>950.68592838167524</v>
      </c>
      <c r="K131" s="53">
        <f t="shared" si="59"/>
        <v>825.3198364358783</v>
      </c>
    </row>
    <row r="132" spans="2:25">
      <c r="B132" t="str">
        <f t="shared" ref="B132:B133" si="60">B62</f>
        <v>Depreciation</v>
      </c>
      <c r="D132" s="53">
        <f>D62-D127</f>
        <v>-568.85899585512277</v>
      </c>
      <c r="E132" s="53">
        <f t="shared" ref="E132:K132" si="61">E62-E127</f>
        <v>-594.3133750583728</v>
      </c>
      <c r="F132" s="53">
        <f t="shared" si="61"/>
        <v>-634.95530009259221</v>
      </c>
      <c r="G132" s="53">
        <f t="shared" si="61"/>
        <v>-666.34291214207735</v>
      </c>
      <c r="H132" s="53">
        <f t="shared" si="61"/>
        <v>-691.2045646902485</v>
      </c>
      <c r="I132" s="53">
        <f t="shared" si="61"/>
        <v>-710.29329834492921</v>
      </c>
      <c r="J132" s="53">
        <f t="shared" si="61"/>
        <v>-718.27015754664114</v>
      </c>
      <c r="K132" s="53">
        <f t="shared" si="61"/>
        <v>-723.62488871875473</v>
      </c>
    </row>
    <row r="133" spans="2:25">
      <c r="B133" t="str">
        <f t="shared" si="60"/>
        <v>Closing asset value</v>
      </c>
      <c r="D133" s="53">
        <f>SUM(D130:D132)</f>
        <v>9249.0628771499869</v>
      </c>
      <c r="E133" s="53">
        <f t="shared" ref="E133:K133" si="62">SUM(E130:E132)</f>
        <v>10063.147088763437</v>
      </c>
      <c r="F133" s="53">
        <f t="shared" si="62"/>
        <v>10755.324414010309</v>
      </c>
      <c r="G133" s="53">
        <f t="shared" si="62"/>
        <v>11311.023474160047</v>
      </c>
      <c r="H133" s="53">
        <f t="shared" si="62"/>
        <v>11701.373136676613</v>
      </c>
      <c r="I133" s="53">
        <f t="shared" si="62"/>
        <v>12056.906009636523</v>
      </c>
      <c r="J133" s="53">
        <f t="shared" si="62"/>
        <v>12289.321780471557</v>
      </c>
      <c r="K133" s="53">
        <f t="shared" si="62"/>
        <v>12391.016728188681</v>
      </c>
      <c r="N133" s="53">
        <f>D133*N$1</f>
        <v>10793.656377634035</v>
      </c>
      <c r="O133" s="53">
        <f t="shared" ref="O133:U133" si="63">E133*O$1</f>
        <v>11975.145035628489</v>
      </c>
      <c r="P133" s="53">
        <f t="shared" si="63"/>
        <v>12927.899945640391</v>
      </c>
      <c r="Q133" s="53">
        <f t="shared" si="63"/>
        <v>13889.936826268538</v>
      </c>
      <c r="R133" s="53">
        <f t="shared" si="63"/>
        <v>14907.549376126006</v>
      </c>
      <c r="S133" s="53">
        <f t="shared" si="63"/>
        <v>15830.717590652754</v>
      </c>
      <c r="T133" s="53">
        <f t="shared" si="63"/>
        <v>16578.295081856129</v>
      </c>
      <c r="U133" s="53">
        <f t="shared" si="63"/>
        <v>17198.731218725887</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290</v>
      </c>
      <c r="D136" s="187">
        <v>1.5</v>
      </c>
      <c r="E136" s="187">
        <v>1.3</v>
      </c>
      <c r="F136" s="187">
        <v>1.3</v>
      </c>
      <c r="G136" s="187">
        <v>1.5</v>
      </c>
      <c r="H136" s="187">
        <v>1.3</v>
      </c>
      <c r="I136" s="187">
        <v>1.3</v>
      </c>
      <c r="J136" s="187">
        <v>1.5</v>
      </c>
      <c r="K136" s="187">
        <v>1.3</v>
      </c>
    </row>
    <row r="137" spans="2:25">
      <c r="B137" t="s">
        <v>291</v>
      </c>
      <c r="D137" s="187">
        <v>28.929052554944597</v>
      </c>
      <c r="E137" s="187">
        <v>28.929052554944597</v>
      </c>
      <c r="F137" s="187">
        <v>32.585753058109198</v>
      </c>
      <c r="G137" s="187">
        <v>32.585753058109198</v>
      </c>
      <c r="H137" s="187">
        <v>32.585753058109198</v>
      </c>
      <c r="I137" s="187">
        <v>32.585753058109198</v>
      </c>
      <c r="J137" s="187">
        <v>32.585753058109198</v>
      </c>
      <c r="K137" s="187">
        <v>32.585753058109198</v>
      </c>
    </row>
    <row r="138" spans="2:25">
      <c r="B138" t="s">
        <v>292</v>
      </c>
      <c r="D138" s="187">
        <v>30.429052554944597</v>
      </c>
      <c r="E138" s="187">
        <v>30.229052554944598</v>
      </c>
      <c r="F138" s="187">
        <v>33.885753058109195</v>
      </c>
      <c r="G138" s="187">
        <v>34.085753058109198</v>
      </c>
      <c r="H138" s="187">
        <v>33.885753058109195</v>
      </c>
      <c r="I138" s="187">
        <v>33.885753058109195</v>
      </c>
      <c r="J138" s="187">
        <v>34.085753058109198</v>
      </c>
      <c r="K138" s="187">
        <v>33.885753058109195</v>
      </c>
    </row>
    <row r="139" spans="2:25">
      <c r="B139" t="s">
        <v>293</v>
      </c>
      <c r="D139" s="187">
        <v>1.6281727480620216</v>
      </c>
      <c r="E139" s="187">
        <v>1.7003333642561302</v>
      </c>
      <c r="F139" s="187">
        <v>1.7739577989284205</v>
      </c>
      <c r="G139" s="187">
        <v>1.8507701716220211</v>
      </c>
      <c r="H139" s="187">
        <v>1.9309085200532543</v>
      </c>
      <c r="I139" s="187">
        <v>2.0145168589715601</v>
      </c>
      <c r="J139" s="187">
        <v>2.1017454389650285</v>
      </c>
      <c r="K139" s="187">
        <v>2.1927510164722142</v>
      </c>
    </row>
    <row r="140" spans="2:25">
      <c r="B140" s="38" t="s">
        <v>294</v>
      </c>
      <c r="C140" s="38"/>
      <c r="D140" s="58">
        <f>D138+D139</f>
        <v>32.057225303006618</v>
      </c>
      <c r="E140" s="58">
        <f t="shared" ref="E140:K140" si="64">E138+E139</f>
        <v>31.92938591920073</v>
      </c>
      <c r="F140" s="58">
        <f t="shared" si="64"/>
        <v>35.659710857037616</v>
      </c>
      <c r="G140" s="58">
        <f t="shared" si="64"/>
        <v>35.936523229731222</v>
      </c>
      <c r="H140" s="58">
        <f t="shared" si="64"/>
        <v>35.816661578162453</v>
      </c>
      <c r="I140" s="58">
        <f t="shared" si="64"/>
        <v>35.900269917080756</v>
      </c>
      <c r="J140" s="58">
        <f t="shared" si="64"/>
        <v>36.187498497074223</v>
      </c>
      <c r="K140" s="58">
        <f t="shared" si="64"/>
        <v>36.07850407458141</v>
      </c>
    </row>
    <row r="141" spans="2:25">
      <c r="D141" s="53"/>
      <c r="E141" s="53"/>
      <c r="F141" s="53"/>
      <c r="G141" s="53"/>
      <c r="H141" s="53"/>
      <c r="I141" s="53"/>
      <c r="J141" s="53"/>
      <c r="K141" s="53"/>
    </row>
    <row r="142" spans="2:25">
      <c r="B142" t="s">
        <v>350</v>
      </c>
      <c r="D142" s="187">
        <v>19.092223163426969</v>
      </c>
      <c r="E142" s="187">
        <v>19.938390494030049</v>
      </c>
      <c r="F142" s="187">
        <v>20.801722802421548</v>
      </c>
      <c r="G142" s="187">
        <v>21.702437399766399</v>
      </c>
      <c r="H142" s="187">
        <v>22.642152939176281</v>
      </c>
      <c r="I142" s="187">
        <v>23.622558161442612</v>
      </c>
      <c r="J142" s="187">
        <v>24.645414929833073</v>
      </c>
      <c r="K142" s="187">
        <v>25.712561396294841</v>
      </c>
    </row>
    <row r="143" spans="2:25">
      <c r="B143" t="s">
        <v>296</v>
      </c>
      <c r="D143" s="187">
        <v>19.158396830224149</v>
      </c>
      <c r="E143" s="187">
        <v>20.007496977739677</v>
      </c>
      <c r="F143" s="187">
        <v>20.873821596875807</v>
      </c>
      <c r="G143" s="187">
        <v>21.777658072020525</v>
      </c>
      <c r="H143" s="187">
        <v>22.720630666539012</v>
      </c>
      <c r="I143" s="187">
        <v>23.70443397440015</v>
      </c>
      <c r="J143" s="187">
        <v>24.730835965491675</v>
      </c>
      <c r="K143" s="187">
        <v>25.801681162797461</v>
      </c>
    </row>
    <row r="144" spans="2:25" ht="16.8">
      <c r="B144" s="179" t="s">
        <v>266</v>
      </c>
      <c r="D144" s="187">
        <f>-D88</f>
        <v>-123</v>
      </c>
      <c r="E144" s="187">
        <f t="shared" ref="E144:K144" si="65">-E88</f>
        <v>-122.8</v>
      </c>
      <c r="F144" s="187">
        <f t="shared" si="65"/>
        <v>-129.80000000000001</v>
      </c>
      <c r="G144" s="187">
        <f t="shared" si="65"/>
        <v>-125.6</v>
      </c>
      <c r="H144" s="187">
        <f t="shared" si="65"/>
        <v>-127.3</v>
      </c>
      <c r="I144" s="187">
        <f t="shared" si="65"/>
        <v>-128.6</v>
      </c>
      <c r="J144" s="187">
        <f t="shared" si="65"/>
        <v>-130.19999999999999</v>
      </c>
      <c r="K144" s="187">
        <f t="shared" si="65"/>
        <v>-131.69999999999999</v>
      </c>
    </row>
    <row r="145" spans="2:21" ht="16.8">
      <c r="B145" s="179" t="s">
        <v>351</v>
      </c>
      <c r="D145" s="187">
        <v>7.367</v>
      </c>
      <c r="E145" s="187">
        <v>6.234</v>
      </c>
      <c r="F145" s="187">
        <v>5.5780000000000003</v>
      </c>
      <c r="G145" s="187">
        <v>3.3689999999999998</v>
      </c>
      <c r="H145" s="187">
        <v>3.3680000000000003</v>
      </c>
      <c r="I145" s="187">
        <v>3.1619999999999999</v>
      </c>
      <c r="J145" s="187">
        <v>3.0940000000000003</v>
      </c>
      <c r="K145" s="187">
        <v>3.0270000000000001</v>
      </c>
    </row>
    <row r="146" spans="2:21">
      <c r="B146" s="38" t="s">
        <v>298</v>
      </c>
      <c r="D146" s="58">
        <f>SUM(D140:D145)</f>
        <v>-45.325154703342271</v>
      </c>
      <c r="E146" s="58">
        <f t="shared" ref="E146:K146" si="66">SUM(E140:E145)</f>
        <v>-44.690726609029547</v>
      </c>
      <c r="F146" s="58">
        <f t="shared" si="66"/>
        <v>-46.886744743665048</v>
      </c>
      <c r="G146" s="58">
        <f t="shared" si="66"/>
        <v>-42.814381298481848</v>
      </c>
      <c r="H146" s="58">
        <f t="shared" si="66"/>
        <v>-42.752554816122249</v>
      </c>
      <c r="I146" s="58">
        <f t="shared" si="66"/>
        <v>-42.210737947076474</v>
      </c>
      <c r="J146" s="58">
        <f t="shared" si="66"/>
        <v>-41.542250607601012</v>
      </c>
      <c r="K146" s="58">
        <f t="shared" si="66"/>
        <v>-41.080253366326275</v>
      </c>
    </row>
    <row r="147" spans="2:21">
      <c r="B147" t="s">
        <v>299</v>
      </c>
      <c r="D147" s="187">
        <v>13.751034124367685</v>
      </c>
      <c r="E147" s="187">
        <v>13.274690050778315</v>
      </c>
      <c r="F147" s="187">
        <v>12.798257977175346</v>
      </c>
      <c r="G147" s="187">
        <v>0</v>
      </c>
      <c r="H147" s="187">
        <v>0</v>
      </c>
      <c r="I147" s="187">
        <v>0</v>
      </c>
      <c r="J147" s="187">
        <v>0</v>
      </c>
      <c r="K147" s="187">
        <v>0</v>
      </c>
    </row>
    <row r="148" spans="2:21">
      <c r="D148" s="53"/>
      <c r="E148" s="53"/>
      <c r="F148" s="53"/>
      <c r="G148" s="53"/>
      <c r="H148" s="53"/>
      <c r="I148" s="53"/>
      <c r="J148" s="53"/>
      <c r="K148" s="53"/>
    </row>
    <row r="149" spans="2:21">
      <c r="B149" t="s">
        <v>300</v>
      </c>
      <c r="D149" s="53">
        <f>SUM(D142:D145,D147)</f>
        <v>-63.631345881981197</v>
      </c>
      <c r="E149" s="53">
        <f t="shared" ref="E149:K149" si="67">SUM(E142:E145,E147)</f>
        <v>-63.345422477451962</v>
      </c>
      <c r="F149" s="53">
        <f t="shared" si="67"/>
        <v>-69.748197623527318</v>
      </c>
      <c r="G149" s="53">
        <f t="shared" si="67"/>
        <v>-78.75090452821307</v>
      </c>
      <c r="H149" s="53">
        <f t="shared" si="67"/>
        <v>-78.569216394284709</v>
      </c>
      <c r="I149" s="53">
        <f t="shared" si="67"/>
        <v>-78.11100786415723</v>
      </c>
      <c r="J149" s="53">
        <f t="shared" si="67"/>
        <v>-77.72974910467525</v>
      </c>
      <c r="K149" s="53">
        <f t="shared" si="67"/>
        <v>-77.158757440907678</v>
      </c>
    </row>
    <row r="152" spans="2:21" ht="16.8">
      <c r="B152" s="75" t="s">
        <v>247</v>
      </c>
      <c r="D152" s="87">
        <f>D189</f>
        <v>74.160747515587701</v>
      </c>
      <c r="E152" s="88">
        <f t="shared" ref="E152:K155" si="68">E189</f>
        <v>92.812426589830409</v>
      </c>
      <c r="F152" s="88">
        <f t="shared" si="68"/>
        <v>104.63586255999655</v>
      </c>
      <c r="G152" s="88">
        <f t="shared" si="68"/>
        <v>112.94618975307324</v>
      </c>
      <c r="H152" s="88">
        <f t="shared" si="68"/>
        <v>117.83841939905</v>
      </c>
      <c r="I152" s="88">
        <f t="shared" si="68"/>
        <v>120.87580682470772</v>
      </c>
      <c r="J152" s="88">
        <f t="shared" si="68"/>
        <v>119.68591894563316</v>
      </c>
      <c r="K152" s="89">
        <f t="shared" si="68"/>
        <v>119.24282255720327</v>
      </c>
    </row>
    <row r="153" spans="2:21" ht="16.8">
      <c r="B153" s="75" t="s">
        <v>248</v>
      </c>
      <c r="D153" s="87">
        <f>D190</f>
        <v>34.297000427606903</v>
      </c>
      <c r="E153" s="88">
        <f t="shared" si="68"/>
        <v>30.909282160864159</v>
      </c>
      <c r="F153" s="88">
        <f t="shared" si="68"/>
        <v>30.406909940870154</v>
      </c>
      <c r="G153" s="88">
        <f t="shared" si="68"/>
        <v>29.503468267708236</v>
      </c>
      <c r="H153" s="88">
        <f t="shared" si="68"/>
        <v>30.397665634630393</v>
      </c>
      <c r="I153" s="88">
        <f t="shared" si="68"/>
        <v>28.005027611742573</v>
      </c>
      <c r="J153" s="88">
        <f t="shared" si="68"/>
        <v>29.904442344862396</v>
      </c>
      <c r="K153" s="89">
        <f t="shared" si="68"/>
        <v>30.433671335330679</v>
      </c>
    </row>
    <row r="154" spans="2:21" ht="16.8">
      <c r="B154" s="75" t="s">
        <v>249</v>
      </c>
      <c r="D154" s="87">
        <f>D191</f>
        <v>-15.645321353364194</v>
      </c>
      <c r="E154" s="88">
        <f t="shared" si="68"/>
        <v>-19.085846190698028</v>
      </c>
      <c r="F154" s="88">
        <f t="shared" si="68"/>
        <v>-22.096582747793462</v>
      </c>
      <c r="G154" s="88">
        <f t="shared" si="68"/>
        <v>-24.611238621731466</v>
      </c>
      <c r="H154" s="88">
        <f t="shared" si="68"/>
        <v>-27.360278208972655</v>
      </c>
      <c r="I154" s="88">
        <f t="shared" si="68"/>
        <v>-29.194915490817138</v>
      </c>
      <c r="J154" s="88">
        <f t="shared" si="68"/>
        <v>-30.3475387332923</v>
      </c>
      <c r="K154" s="89">
        <f t="shared" si="68"/>
        <v>-30.489113769754972</v>
      </c>
    </row>
    <row r="155" spans="2:21" ht="16.8">
      <c r="B155" s="75" t="s">
        <v>250</v>
      </c>
      <c r="D155" s="87">
        <f>D192</f>
        <v>92.812426589830409</v>
      </c>
      <c r="E155" s="88">
        <f t="shared" si="68"/>
        <v>104.63586255999655</v>
      </c>
      <c r="F155" s="88">
        <f t="shared" si="68"/>
        <v>112.94618975307324</v>
      </c>
      <c r="G155" s="88">
        <f t="shared" si="68"/>
        <v>117.83841939905</v>
      </c>
      <c r="H155" s="88">
        <f t="shared" si="68"/>
        <v>120.87580682470772</v>
      </c>
      <c r="I155" s="88">
        <f t="shared" si="68"/>
        <v>119.68591894563316</v>
      </c>
      <c r="J155" s="88">
        <f t="shared" si="68"/>
        <v>119.24282255720327</v>
      </c>
      <c r="K155" s="89">
        <f t="shared" si="68"/>
        <v>119.18738012277899</v>
      </c>
    </row>
    <row r="157" spans="2:21" ht="15.6">
      <c r="L157" s="119" t="s">
        <v>301</v>
      </c>
    </row>
    <row r="158" spans="2:21" ht="15.6">
      <c r="B158" t="s">
        <v>289</v>
      </c>
      <c r="D158" s="122">
        <f>D130+D152</f>
        <v>8865.0145032674482</v>
      </c>
      <c r="E158" s="122">
        <f t="shared" ref="E158:K158" si="69">E130+E152</f>
        <v>9341.8753037398164</v>
      </c>
      <c r="F158" s="122">
        <f t="shared" si="69"/>
        <v>10167.782951323434</v>
      </c>
      <c r="G158" s="122">
        <f t="shared" si="69"/>
        <v>10868.270603763382</v>
      </c>
      <c r="H158" s="122">
        <f t="shared" si="69"/>
        <v>11428.861893559097</v>
      </c>
      <c r="I158" s="122">
        <f t="shared" si="69"/>
        <v>11822.248943501323</v>
      </c>
      <c r="J158" s="122">
        <f t="shared" si="69"/>
        <v>12176.591928582156</v>
      </c>
      <c r="K158" s="122">
        <f t="shared" si="69"/>
        <v>12408.564603028761</v>
      </c>
      <c r="L158" s="120">
        <f>(K158/D158)^(1/7)-1</f>
        <v>4.921177649240982E-2</v>
      </c>
      <c r="M158" t="s">
        <v>302</v>
      </c>
      <c r="N158" s="114">
        <f t="shared" ref="N158:U159" si="70">D158*N$1</f>
        <v>10345.471925313112</v>
      </c>
      <c r="O158" s="109">
        <f t="shared" si="70"/>
        <v>11116.831611450381</v>
      </c>
      <c r="P158" s="109">
        <f t="shared" si="70"/>
        <v>12221.675107490766</v>
      </c>
      <c r="Q158" s="109">
        <f t="shared" si="70"/>
        <v>13346.236301421432</v>
      </c>
      <c r="R158" s="109">
        <f t="shared" si="70"/>
        <v>14560.37005239429</v>
      </c>
      <c r="S158" s="109">
        <f t="shared" si="70"/>
        <v>15522.612862817237</v>
      </c>
      <c r="T158" s="109">
        <f t="shared" si="70"/>
        <v>16426.222511657328</v>
      </c>
      <c r="U158" s="109">
        <f t="shared" si="70"/>
        <v>17223.087669003919</v>
      </c>
    </row>
    <row r="159" spans="2:21" ht="15.6">
      <c r="B159" t="s">
        <v>250</v>
      </c>
      <c r="D159" s="122">
        <f>D133+D155</f>
        <v>9341.8753037398164</v>
      </c>
      <c r="E159" s="122">
        <f t="shared" ref="E159:K159" si="71">E133+E155</f>
        <v>10167.782951323434</v>
      </c>
      <c r="F159" s="122">
        <f t="shared" si="71"/>
        <v>10868.270603763382</v>
      </c>
      <c r="G159" s="122">
        <f t="shared" si="71"/>
        <v>11428.861893559097</v>
      </c>
      <c r="H159" s="122">
        <f t="shared" si="71"/>
        <v>11822.248943501321</v>
      </c>
      <c r="I159" s="122">
        <f t="shared" si="71"/>
        <v>12176.591928582156</v>
      </c>
      <c r="J159" s="122">
        <f t="shared" si="71"/>
        <v>12408.564603028761</v>
      </c>
      <c r="K159" s="122">
        <f t="shared" si="71"/>
        <v>12510.20410831146</v>
      </c>
      <c r="L159" s="121">
        <f>(K159/D159)^(1/7)-1</f>
        <v>4.2602155566309197E-2</v>
      </c>
      <c r="N159" s="109">
        <f t="shared" si="70"/>
        <v>10901.968479464365</v>
      </c>
      <c r="O159" s="109">
        <f t="shared" si="70"/>
        <v>12099.661712074885</v>
      </c>
      <c r="P159" s="109">
        <f t="shared" si="70"/>
        <v>13063.661265723584</v>
      </c>
      <c r="Q159" s="109">
        <f t="shared" si="70"/>
        <v>14034.642405290571</v>
      </c>
      <c r="R159" s="109">
        <f t="shared" si="70"/>
        <v>15061.545154020683</v>
      </c>
      <c r="S159" s="109">
        <f t="shared" si="70"/>
        <v>15987.865202228371</v>
      </c>
      <c r="T159" s="109">
        <f t="shared" si="70"/>
        <v>16739.153649485797</v>
      </c>
      <c r="U159" s="114">
        <f t="shared" si="70"/>
        <v>17364.163302336307</v>
      </c>
    </row>
    <row r="160" spans="2:21">
      <c r="N160" s="109"/>
      <c r="O160" s="109"/>
      <c r="P160" s="109"/>
      <c r="Q160" s="109"/>
      <c r="R160" s="109"/>
      <c r="S160" s="109"/>
      <c r="T160" s="109"/>
      <c r="U160" s="109"/>
    </row>
    <row r="161" spans="1:21">
      <c r="B161" t="s">
        <v>289</v>
      </c>
      <c r="D161" s="53"/>
      <c r="M161" t="s">
        <v>303</v>
      </c>
      <c r="N161" s="115">
        <f>D158*N$3</f>
        <v>10190.343073497943</v>
      </c>
      <c r="O161" s="109">
        <f t="shared" ref="O161:U161" si="72">E158*O$2</f>
        <v>11131.451292715159</v>
      </c>
      <c r="P161" s="109">
        <f t="shared" si="72"/>
        <v>12304.069806537382</v>
      </c>
      <c r="Q161" s="109">
        <f t="shared" si="72"/>
        <v>13564.770308636547</v>
      </c>
      <c r="R161" s="109">
        <f t="shared" si="72"/>
        <v>14741.166066634471</v>
      </c>
      <c r="S161" s="109">
        <f t="shared" si="72"/>
        <v>15621.148650357925</v>
      </c>
      <c r="T161" s="109">
        <f t="shared" si="72"/>
        <v>16574.687391122727</v>
      </c>
      <c r="U161" s="109">
        <f t="shared" si="72"/>
        <v>17396.527695425</v>
      </c>
    </row>
    <row r="162" spans="1:21">
      <c r="B162" t="s">
        <v>250</v>
      </c>
      <c r="D162" s="53"/>
      <c r="E162" s="53"/>
      <c r="F162" s="53"/>
      <c r="G162" s="53"/>
      <c r="H162" s="53"/>
      <c r="I162" s="53"/>
      <c r="J162" s="53"/>
      <c r="K162" s="53"/>
      <c r="N162" s="109">
        <f t="shared" ref="N162:U162" si="73">D159*N$2</f>
        <v>11031.870048167339</v>
      </c>
      <c r="O162" s="109">
        <f t="shared" si="73"/>
        <v>12115.573907547918</v>
      </c>
      <c r="P162" s="109">
        <f t="shared" si="73"/>
        <v>13151.732371277396</v>
      </c>
      <c r="Q162" s="109">
        <f t="shared" si="73"/>
        <v>14264.448515072449</v>
      </c>
      <c r="R162" s="109">
        <f t="shared" si="73"/>
        <v>15248.564256031603</v>
      </c>
      <c r="S162" s="109">
        <f t="shared" si="73"/>
        <v>16089.354358900544</v>
      </c>
      <c r="T162" s="109">
        <f t="shared" si="73"/>
        <v>16890.446889739909</v>
      </c>
      <c r="U162" s="115">
        <f t="shared" si="73"/>
        <v>17539.023989328984</v>
      </c>
    </row>
    <row r="163" spans="1:21">
      <c r="D163" s="189"/>
      <c r="E163" s="189"/>
      <c r="F163" s="189"/>
      <c r="G163" s="189"/>
      <c r="H163" s="189"/>
      <c r="I163" s="189"/>
      <c r="J163" s="189"/>
      <c r="K163" s="189"/>
    </row>
    <row r="164" spans="1:21">
      <c r="D164" s="53"/>
    </row>
    <row r="165" spans="1:21">
      <c r="B165" t="s">
        <v>304</v>
      </c>
      <c r="D165" s="190">
        <f t="shared" ref="D165" si="74">D62-D127-D166</f>
        <v>-568.85899585512277</v>
      </c>
      <c r="E165" s="190">
        <f>E62-E127-E166</f>
        <v>-549.89961863661074</v>
      </c>
      <c r="F165" s="190">
        <f t="shared" ref="F165:K165" si="75">F62-F127-F166</f>
        <v>-536.88830227380834</v>
      </c>
      <c r="G165" s="190">
        <f t="shared" si="75"/>
        <v>-523.0969313330138</v>
      </c>
      <c r="H165" s="190">
        <f t="shared" si="75"/>
        <v>-510.35729242605225</v>
      </c>
      <c r="I165" s="190">
        <f t="shared" si="75"/>
        <v>-499.08660917668203</v>
      </c>
      <c r="J165" s="190">
        <f t="shared" si="75"/>
        <v>-479.55827686084973</v>
      </c>
      <c r="K165" s="190">
        <f t="shared" si="75"/>
        <v>-462.21006048952034</v>
      </c>
    </row>
    <row r="166" spans="1:21">
      <c r="B166" t="s">
        <v>305</v>
      </c>
      <c r="D166" s="193">
        <v>0</v>
      </c>
      <c r="E166" s="193">
        <v>-44.413756421762059</v>
      </c>
      <c r="F166" s="193">
        <v>-98.066997818783875</v>
      </c>
      <c r="G166" s="193">
        <v>-143.2459808090635</v>
      </c>
      <c r="H166" s="193">
        <v>-180.84727226419625</v>
      </c>
      <c r="I166" s="193">
        <v>-211.20668916824718</v>
      </c>
      <c r="J166" s="193">
        <v>-238.71188068579141</v>
      </c>
      <c r="K166" s="193">
        <v>-261.41482822923439</v>
      </c>
    </row>
    <row r="167" spans="1:21">
      <c r="D167" s="53"/>
      <c r="E167" s="53"/>
      <c r="F167" s="53"/>
      <c r="G167" s="53"/>
      <c r="H167" s="53"/>
      <c r="I167" s="53"/>
      <c r="J167" s="53"/>
      <c r="K167" s="53"/>
    </row>
    <row r="169" spans="1:21">
      <c r="B169" t="s">
        <v>352</v>
      </c>
      <c r="D169" s="192">
        <v>98.2</v>
      </c>
      <c r="E169" s="192">
        <v>86.4</v>
      </c>
      <c r="F169" s="192">
        <v>80.599999999999994</v>
      </c>
      <c r="G169" s="192">
        <v>94.8</v>
      </c>
      <c r="H169" s="192">
        <v>80.2</v>
      </c>
      <c r="I169" s="192">
        <v>54.8</v>
      </c>
      <c r="J169" s="192">
        <v>15.6</v>
      </c>
      <c r="K169" s="192">
        <v>1.4</v>
      </c>
    </row>
    <row r="170" spans="1:21">
      <c r="B170" t="s">
        <v>353</v>
      </c>
      <c r="D170" s="192">
        <v>-45.1</v>
      </c>
      <c r="E170" s="192">
        <v>-33.4</v>
      </c>
      <c r="F170" s="192">
        <v>-29.6</v>
      </c>
      <c r="G170" s="192">
        <v>-37.299999999999997</v>
      </c>
      <c r="H170" s="192">
        <v>-31.2</v>
      </c>
      <c r="I170" s="192">
        <v>-26.3</v>
      </c>
      <c r="J170" s="192">
        <v>-11.9</v>
      </c>
      <c r="K170" s="192">
        <v>-1.4</v>
      </c>
    </row>
    <row r="171" spans="1:21">
      <c r="D171" s="192"/>
      <c r="E171" s="192"/>
      <c r="F171" s="192"/>
      <c r="G171" s="192"/>
      <c r="H171" s="192"/>
      <c r="I171" s="192"/>
      <c r="J171" s="192"/>
      <c r="K171" s="192"/>
    </row>
    <row r="172" spans="1:21" s="188" customFormat="1">
      <c r="D172" s="194"/>
      <c r="E172" s="194"/>
      <c r="F172" s="194"/>
      <c r="G172" s="194"/>
      <c r="H172" s="194"/>
      <c r="I172" s="194"/>
      <c r="J172" s="194"/>
      <c r="K172" s="194"/>
    </row>
    <row r="174" spans="1:21" ht="16.8">
      <c r="A174" s="86">
        <v>1</v>
      </c>
      <c r="B174" s="75" t="s">
        <v>241</v>
      </c>
      <c r="D174" s="87">
        <f>D183</f>
        <v>31.366851769182464</v>
      </c>
      <c r="E174" s="88">
        <f t="shared" ref="E174:K174" si="76">E183</f>
        <v>30.909282160864159</v>
      </c>
      <c r="F174" s="88">
        <f t="shared" si="76"/>
        <v>30.406909940870154</v>
      </c>
      <c r="G174" s="88">
        <f t="shared" si="76"/>
        <v>29.503468267708236</v>
      </c>
      <c r="H174" s="88">
        <f t="shared" si="76"/>
        <v>30.397665634630393</v>
      </c>
      <c r="I174" s="88">
        <f t="shared" si="76"/>
        <v>28.005027611742573</v>
      </c>
      <c r="J174" s="88">
        <f t="shared" si="76"/>
        <v>29.904442344862396</v>
      </c>
      <c r="K174" s="89">
        <f t="shared" si="76"/>
        <v>30.433671335330679</v>
      </c>
      <c r="L174" s="172">
        <v>243.40743312371282</v>
      </c>
    </row>
    <row r="175" spans="1:21" ht="16.8">
      <c r="A175" s="86">
        <v>2</v>
      </c>
      <c r="B175" s="75" t="s">
        <v>242</v>
      </c>
      <c r="D175" s="87">
        <f t="shared" ref="D175:K176" si="77">D184</f>
        <v>81.05914023505575</v>
      </c>
      <c r="E175" s="88">
        <f t="shared" si="77"/>
        <v>79.876675404957183</v>
      </c>
      <c r="F175" s="88">
        <f t="shared" si="77"/>
        <v>78.578430348987027</v>
      </c>
      <c r="G175" s="88">
        <f t="shared" si="77"/>
        <v>76.243729824435974</v>
      </c>
      <c r="H175" s="88">
        <f t="shared" si="77"/>
        <v>78.55454094110577</v>
      </c>
      <c r="I175" s="88">
        <f t="shared" si="77"/>
        <v>72.371415441098179</v>
      </c>
      <c r="J175" s="88">
        <f t="shared" si="77"/>
        <v>77.279938819518947</v>
      </c>
      <c r="K175" s="89">
        <f t="shared" si="77"/>
        <v>78.647587931087514</v>
      </c>
      <c r="L175" s="172">
        <v>629.02064258851954</v>
      </c>
    </row>
    <row r="176" spans="1:21" ht="16.8">
      <c r="A176" s="86">
        <v>3</v>
      </c>
      <c r="B176" s="75" t="s">
        <v>243</v>
      </c>
      <c r="D176" s="87">
        <f t="shared" si="77"/>
        <v>112.42599200423821</v>
      </c>
      <c r="E176" s="88">
        <f t="shared" si="77"/>
        <v>110.78595756582135</v>
      </c>
      <c r="F176" s="88">
        <f t="shared" si="77"/>
        <v>108.98534028985718</v>
      </c>
      <c r="G176" s="88">
        <f t="shared" si="77"/>
        <v>105.7471980921442</v>
      </c>
      <c r="H176" s="88">
        <f t="shared" si="77"/>
        <v>108.95220657573617</v>
      </c>
      <c r="I176" s="88">
        <f t="shared" si="77"/>
        <v>100.37644305284076</v>
      </c>
      <c r="J176" s="88">
        <f t="shared" si="77"/>
        <v>107.18438116438134</v>
      </c>
      <c r="K176" s="89">
        <f t="shared" si="77"/>
        <v>109.0812592664182</v>
      </c>
      <c r="L176" s="172">
        <v>872.42807571223227</v>
      </c>
    </row>
    <row r="179" spans="1:13" ht="17.399999999999999" thickBot="1">
      <c r="B179" s="185" t="s">
        <v>354</v>
      </c>
    </row>
    <row r="180" spans="1:13" ht="16.8">
      <c r="A180" s="68"/>
      <c r="B180" s="69" t="s">
        <v>237</v>
      </c>
      <c r="D180" s="70">
        <v>41729</v>
      </c>
      <c r="E180" s="71">
        <v>42094</v>
      </c>
      <c r="F180" s="71">
        <v>42460</v>
      </c>
      <c r="G180" s="71">
        <v>42825</v>
      </c>
      <c r="H180" s="71">
        <v>43190</v>
      </c>
      <c r="I180" s="71">
        <v>43555</v>
      </c>
      <c r="J180" s="71">
        <v>43921</v>
      </c>
      <c r="K180" s="72">
        <v>44286</v>
      </c>
      <c r="L180" s="180" t="s">
        <v>238</v>
      </c>
      <c r="M180" s="181" t="s">
        <v>310</v>
      </c>
    </row>
    <row r="181" spans="1:13" ht="16.8">
      <c r="A181" s="74"/>
      <c r="B181" s="75" t="s">
        <v>239</v>
      </c>
      <c r="D181" s="76" t="s">
        <v>240</v>
      </c>
      <c r="E181" s="77" t="s">
        <v>240</v>
      </c>
      <c r="F181" s="77" t="s">
        <v>240</v>
      </c>
      <c r="G181" s="77" t="s">
        <v>240</v>
      </c>
      <c r="H181" s="77" t="s">
        <v>240</v>
      </c>
      <c r="I181" s="77" t="s">
        <v>240</v>
      </c>
      <c r="J181" s="77" t="s">
        <v>240</v>
      </c>
      <c r="K181" s="78" t="s">
        <v>240</v>
      </c>
      <c r="L181" s="182" t="s">
        <v>240</v>
      </c>
      <c r="M181" s="79" t="s">
        <v>240</v>
      </c>
    </row>
    <row r="182" spans="1:13" ht="16.8">
      <c r="A182" s="80"/>
      <c r="B182" s="81" t="s">
        <v>207</v>
      </c>
      <c r="D182" s="82"/>
      <c r="E182" s="83"/>
      <c r="F182" s="83"/>
      <c r="G182" s="83"/>
      <c r="H182" s="83"/>
      <c r="I182" s="83"/>
      <c r="J182" s="83"/>
      <c r="K182" s="84"/>
      <c r="L182" s="183"/>
      <c r="M182" s="85"/>
    </row>
    <row r="183" spans="1:13" ht="16.8">
      <c r="A183" s="86">
        <v>1</v>
      </c>
      <c r="B183" s="75" t="s">
        <v>241</v>
      </c>
      <c r="D183" s="87">
        <v>31.366851769182464</v>
      </c>
      <c r="E183" s="88">
        <v>30.909282160864159</v>
      </c>
      <c r="F183" s="88">
        <v>30.406909940870154</v>
      </c>
      <c r="G183" s="88">
        <v>29.503468267708236</v>
      </c>
      <c r="H183" s="88">
        <v>30.397665634630393</v>
      </c>
      <c r="I183" s="88">
        <v>28.005027611742573</v>
      </c>
      <c r="J183" s="88">
        <v>29.904442344862396</v>
      </c>
      <c r="K183" s="89">
        <v>30.433671335330679</v>
      </c>
      <c r="L183" s="172">
        <v>240.92731906519103</v>
      </c>
      <c r="M183" s="90">
        <v>30.115914883148879</v>
      </c>
    </row>
    <row r="184" spans="1:13" ht="16.8">
      <c r="A184" s="86">
        <v>2</v>
      </c>
      <c r="B184" s="75" t="s">
        <v>242</v>
      </c>
      <c r="D184" s="87">
        <v>81.05914023505575</v>
      </c>
      <c r="E184" s="88">
        <v>79.876675404957183</v>
      </c>
      <c r="F184" s="88">
        <v>78.578430348987027</v>
      </c>
      <c r="G184" s="88">
        <v>76.243729824435974</v>
      </c>
      <c r="H184" s="88">
        <v>78.55454094110577</v>
      </c>
      <c r="I184" s="88">
        <v>72.371415441098179</v>
      </c>
      <c r="J184" s="88">
        <v>77.279938819518947</v>
      </c>
      <c r="K184" s="89">
        <v>78.647587931087514</v>
      </c>
      <c r="L184" s="172">
        <v>622.61145894624633</v>
      </c>
      <c r="M184" s="90">
        <v>77.826432368280791</v>
      </c>
    </row>
    <row r="185" spans="1:13" ht="16.8">
      <c r="A185" s="86">
        <v>3</v>
      </c>
      <c r="B185" s="75" t="s">
        <v>243</v>
      </c>
      <c r="D185" s="87">
        <v>112.42599200423821</v>
      </c>
      <c r="E185" s="88">
        <v>110.78595756582135</v>
      </c>
      <c r="F185" s="88">
        <v>108.98534028985718</v>
      </c>
      <c r="G185" s="88">
        <v>105.7471980921442</v>
      </c>
      <c r="H185" s="88">
        <v>108.95220657573617</v>
      </c>
      <c r="I185" s="88">
        <v>100.37644305284076</v>
      </c>
      <c r="J185" s="88">
        <v>107.18438116438134</v>
      </c>
      <c r="K185" s="89">
        <v>109.0812592664182</v>
      </c>
      <c r="L185" s="172">
        <v>863.53877801143733</v>
      </c>
      <c r="M185" s="90">
        <v>107.94234725142967</v>
      </c>
    </row>
    <row r="186" spans="1:13" ht="16.8">
      <c r="A186" s="80"/>
      <c r="B186" s="81" t="s">
        <v>244</v>
      </c>
      <c r="D186" s="82">
        <v>0</v>
      </c>
      <c r="E186" s="83">
        <v>0</v>
      </c>
      <c r="F186" s="83">
        <v>0</v>
      </c>
      <c r="G186" s="83">
        <v>0</v>
      </c>
      <c r="H186" s="83">
        <v>0</v>
      </c>
      <c r="I186" s="83">
        <v>0</v>
      </c>
      <c r="J186" s="83">
        <v>0</v>
      </c>
      <c r="K186" s="84">
        <v>0</v>
      </c>
      <c r="L186" s="183">
        <v>0</v>
      </c>
      <c r="M186" s="85">
        <v>0</v>
      </c>
    </row>
    <row r="187" spans="1:13" ht="16.8">
      <c r="A187" s="86">
        <v>4</v>
      </c>
      <c r="B187" s="75" t="s">
        <v>311</v>
      </c>
      <c r="D187" s="87">
        <v>74.160747515587701</v>
      </c>
      <c r="E187" s="88">
        <v>92.812426589830409</v>
      </c>
      <c r="F187" s="88">
        <v>104.63586255999655</v>
      </c>
      <c r="G187" s="88">
        <v>112.94618975307324</v>
      </c>
      <c r="H187" s="88">
        <v>117.83841939905</v>
      </c>
      <c r="I187" s="88">
        <v>120.87580682470772</v>
      </c>
      <c r="J187" s="88">
        <v>119.68591894563316</v>
      </c>
      <c r="K187" s="89">
        <v>119.24282255720327</v>
      </c>
      <c r="L187" s="172">
        <v>0</v>
      </c>
      <c r="M187" s="90">
        <v>107.77477426813525</v>
      </c>
    </row>
    <row r="188" spans="1:13" ht="16.8">
      <c r="A188" s="86">
        <v>5</v>
      </c>
      <c r="B188" s="75" t="s">
        <v>246</v>
      </c>
      <c r="D188" s="87">
        <v>0</v>
      </c>
      <c r="E188" s="88">
        <v>0</v>
      </c>
      <c r="F188" s="88">
        <v>0</v>
      </c>
      <c r="G188" s="88">
        <v>0</v>
      </c>
      <c r="H188" s="88">
        <v>0</v>
      </c>
      <c r="I188" s="88">
        <v>0</v>
      </c>
      <c r="J188" s="88">
        <v>0</v>
      </c>
      <c r="K188" s="89">
        <v>0</v>
      </c>
      <c r="L188" s="172">
        <v>0</v>
      </c>
      <c r="M188" s="90">
        <v>0</v>
      </c>
    </row>
    <row r="189" spans="1:13" ht="16.8">
      <c r="A189" s="86">
        <v>6</v>
      </c>
      <c r="B189" s="75" t="s">
        <v>247</v>
      </c>
      <c r="D189" s="87">
        <v>74.160747515587701</v>
      </c>
      <c r="E189" s="88">
        <v>92.812426589830409</v>
      </c>
      <c r="F189" s="88">
        <v>104.63586255999655</v>
      </c>
      <c r="G189" s="88">
        <v>112.94618975307324</v>
      </c>
      <c r="H189" s="88">
        <v>117.83841939905</v>
      </c>
      <c r="I189" s="88">
        <v>120.87580682470772</v>
      </c>
      <c r="J189" s="88">
        <v>119.68591894563316</v>
      </c>
      <c r="K189" s="89">
        <v>119.24282255720327</v>
      </c>
      <c r="L189" s="172">
        <v>0</v>
      </c>
      <c r="M189" s="90">
        <v>107.77477426813525</v>
      </c>
    </row>
    <row r="190" spans="1:13" ht="16.8">
      <c r="A190" s="86">
        <v>7</v>
      </c>
      <c r="B190" s="75" t="s">
        <v>248</v>
      </c>
      <c r="D190" s="87">
        <v>34.297000427606903</v>
      </c>
      <c r="E190" s="88">
        <v>30.909282160864159</v>
      </c>
      <c r="F190" s="88">
        <v>30.406909940870154</v>
      </c>
      <c r="G190" s="88">
        <v>29.503468267708236</v>
      </c>
      <c r="H190" s="88">
        <v>30.397665634630393</v>
      </c>
      <c r="I190" s="88">
        <v>28.005027611742573</v>
      </c>
      <c r="J190" s="88">
        <v>29.904442344862396</v>
      </c>
      <c r="K190" s="89">
        <v>30.433671335330679</v>
      </c>
      <c r="L190" s="172">
        <v>243.85746772361546</v>
      </c>
      <c r="M190" s="90">
        <v>30.482183465451932</v>
      </c>
    </row>
    <row r="191" spans="1:13" ht="16.8">
      <c r="A191" s="86">
        <v>8</v>
      </c>
      <c r="B191" s="75" t="s">
        <v>249</v>
      </c>
      <c r="D191" s="87">
        <v>-15.645321353364194</v>
      </c>
      <c r="E191" s="88">
        <v>-19.085846190698028</v>
      </c>
      <c r="F191" s="88">
        <v>-22.096582747793462</v>
      </c>
      <c r="G191" s="88">
        <v>-24.611238621731466</v>
      </c>
      <c r="H191" s="88">
        <v>-27.360278208972655</v>
      </c>
      <c r="I191" s="88">
        <v>-29.194915490817138</v>
      </c>
      <c r="J191" s="88">
        <v>-30.3475387332923</v>
      </c>
      <c r="K191" s="89">
        <v>-30.489113769754972</v>
      </c>
      <c r="L191" s="172">
        <v>-198.83083511642423</v>
      </c>
      <c r="M191" s="90">
        <v>-24.853854389553028</v>
      </c>
    </row>
    <row r="192" spans="1:13" ht="16.8">
      <c r="A192" s="86">
        <v>9</v>
      </c>
      <c r="B192" s="75" t="s">
        <v>250</v>
      </c>
      <c r="D192" s="87">
        <v>92.812426589830409</v>
      </c>
      <c r="E192" s="88">
        <v>104.63586255999655</v>
      </c>
      <c r="F192" s="88">
        <v>112.94618975307324</v>
      </c>
      <c r="G192" s="88">
        <v>117.83841939905</v>
      </c>
      <c r="H192" s="88">
        <v>120.87580682470772</v>
      </c>
      <c r="I192" s="88">
        <v>119.68591894563316</v>
      </c>
      <c r="J192" s="88">
        <v>119.24282255720327</v>
      </c>
      <c r="K192" s="89">
        <v>119.18738012277899</v>
      </c>
      <c r="L192" s="172">
        <v>0</v>
      </c>
      <c r="M192" s="90">
        <v>113.40310334403416</v>
      </c>
    </row>
    <row r="193" spans="1:13" ht="16.8">
      <c r="A193" s="80"/>
      <c r="B193" s="81" t="s">
        <v>251</v>
      </c>
      <c r="D193" s="91">
        <v>0</v>
      </c>
      <c r="E193" s="92">
        <v>0</v>
      </c>
      <c r="F193" s="92">
        <v>0</v>
      </c>
      <c r="G193" s="92">
        <v>0</v>
      </c>
      <c r="H193" s="92">
        <v>0</v>
      </c>
      <c r="I193" s="92">
        <v>0</v>
      </c>
      <c r="J193" s="92">
        <v>0</v>
      </c>
      <c r="K193" s="93">
        <v>0</v>
      </c>
      <c r="L193" s="184">
        <v>0</v>
      </c>
      <c r="M193" s="94">
        <v>0</v>
      </c>
    </row>
    <row r="194" spans="1:13" ht="16.8">
      <c r="A194" s="86">
        <v>10</v>
      </c>
      <c r="B194" s="75" t="s">
        <v>252</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72">
        <v>619.93604258851951</v>
      </c>
      <c r="M194" s="90">
        <v>77.492005323564939</v>
      </c>
    </row>
    <row r="195" spans="1:13" ht="16.8">
      <c r="A195" s="86">
        <v>11</v>
      </c>
      <c r="B195" s="75" t="s">
        <v>253</v>
      </c>
      <c r="D195" s="87">
        <v>0</v>
      </c>
      <c r="E195" s="88">
        <v>0</v>
      </c>
      <c r="F195" s="88">
        <v>0</v>
      </c>
      <c r="G195" s="88">
        <v>0</v>
      </c>
      <c r="H195" s="88">
        <v>0</v>
      </c>
      <c r="I195" s="88">
        <v>0</v>
      </c>
      <c r="J195" s="88">
        <v>0</v>
      </c>
      <c r="K195" s="89">
        <v>0</v>
      </c>
      <c r="L195" s="172">
        <v>0</v>
      </c>
      <c r="M195" s="90">
        <v>0</v>
      </c>
    </row>
    <row r="196" spans="1:13" ht="16.8">
      <c r="A196" s="86">
        <v>12</v>
      </c>
      <c r="B196" s="75" t="s">
        <v>254</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72">
        <v>195.13882051652158</v>
      </c>
      <c r="M196" s="90">
        <v>24.392352564565197</v>
      </c>
    </row>
    <row r="197" spans="1:13" ht="16.8">
      <c r="A197" s="86">
        <v>13</v>
      </c>
      <c r="B197" s="75" t="s">
        <v>255</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72">
        <v>38.677549126287644</v>
      </c>
      <c r="M197" s="90">
        <v>4.8346936407859555</v>
      </c>
    </row>
    <row r="198" spans="1:13" ht="16.8">
      <c r="A198" s="86">
        <v>14</v>
      </c>
      <c r="B198" s="75" t="s">
        <v>256</v>
      </c>
      <c r="D198" s="87">
        <v>0</v>
      </c>
      <c r="E198" s="88">
        <v>0</v>
      </c>
      <c r="F198" s="88">
        <v>0</v>
      </c>
      <c r="G198" s="88">
        <v>0</v>
      </c>
      <c r="H198" s="88">
        <v>0</v>
      </c>
      <c r="I198" s="88">
        <v>0</v>
      </c>
      <c r="J198" s="88">
        <v>0</v>
      </c>
      <c r="K198" s="89">
        <v>0</v>
      </c>
      <c r="L198" s="172">
        <v>0</v>
      </c>
      <c r="M198" s="90">
        <v>0</v>
      </c>
    </row>
    <row r="199" spans="1:13" ht="16.8">
      <c r="A199" s="86">
        <v>15</v>
      </c>
      <c r="B199" s="75" t="s">
        <v>257</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72">
        <v>7.0928230769456135</v>
      </c>
      <c r="M199" s="90">
        <v>0.88660288461820169</v>
      </c>
    </row>
    <row r="200" spans="1:13" ht="16.8">
      <c r="A200" s="86">
        <v>16</v>
      </c>
      <c r="B200" s="75" t="s">
        <v>258</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72">
        <v>83.035157295435894</v>
      </c>
      <c r="M200" s="90">
        <v>10.379394661929487</v>
      </c>
    </row>
    <row r="201" spans="1:13" ht="16.8">
      <c r="A201" s="86">
        <v>17</v>
      </c>
      <c r="B201" s="75" t="s">
        <v>259</v>
      </c>
      <c r="D201" s="87">
        <v>2.0016092127672556</v>
      </c>
      <c r="E201" s="88">
        <v>0.82522992535408668</v>
      </c>
      <c r="F201" s="88">
        <v>0.15069905537749376</v>
      </c>
      <c r="G201" s="88">
        <v>0.12384729257669767</v>
      </c>
      <c r="H201" s="88">
        <v>1.0117778450783115</v>
      </c>
      <c r="I201" s="88">
        <v>0</v>
      </c>
      <c r="J201" s="88">
        <v>0.94578803093084196</v>
      </c>
      <c r="K201" s="89">
        <v>0.90950595778206589</v>
      </c>
      <c r="L201" s="172">
        <v>5.9684573198667525</v>
      </c>
      <c r="M201" s="90">
        <v>0.74605716498334407</v>
      </c>
    </row>
    <row r="202" spans="1:13" ht="16.8">
      <c r="A202" s="80"/>
      <c r="B202" s="81" t="s">
        <v>260</v>
      </c>
      <c r="D202" s="91">
        <v>0</v>
      </c>
      <c r="E202" s="92">
        <v>0</v>
      </c>
      <c r="F202" s="92">
        <v>0</v>
      </c>
      <c r="G202" s="92">
        <v>0</v>
      </c>
      <c r="H202" s="92">
        <v>0</v>
      </c>
      <c r="I202" s="92">
        <v>0</v>
      </c>
      <c r="J202" s="92">
        <v>0</v>
      </c>
      <c r="K202" s="93">
        <v>0</v>
      </c>
      <c r="L202" s="184">
        <v>0</v>
      </c>
      <c r="M202" s="94">
        <v>0</v>
      </c>
    </row>
    <row r="203" spans="1:13" ht="16.8">
      <c r="A203" s="86">
        <v>18</v>
      </c>
      <c r="B203" s="75" t="s">
        <v>252</v>
      </c>
      <c r="D203" s="87">
        <v>81.05914023505575</v>
      </c>
      <c r="E203" s="88">
        <v>79.876675404957183</v>
      </c>
      <c r="F203" s="88">
        <v>78.578430348987027</v>
      </c>
      <c r="G203" s="88">
        <v>76.243729824435974</v>
      </c>
      <c r="H203" s="88">
        <v>78.55454094110577</v>
      </c>
      <c r="I203" s="88">
        <v>72.371415441098179</v>
      </c>
      <c r="J203" s="88">
        <v>77.279938819518947</v>
      </c>
      <c r="K203" s="89">
        <v>78.647587931087514</v>
      </c>
      <c r="L203" s="172">
        <v>622.61145894624633</v>
      </c>
      <c r="M203" s="90">
        <v>77.826432368280791</v>
      </c>
    </row>
    <row r="204" spans="1:13" ht="16.8">
      <c r="A204" s="86">
        <v>19</v>
      </c>
      <c r="B204" s="75" t="s">
        <v>253</v>
      </c>
      <c r="D204" s="87">
        <v>0</v>
      </c>
      <c r="E204" s="88">
        <v>0</v>
      </c>
      <c r="F204" s="88">
        <v>0</v>
      </c>
      <c r="G204" s="88">
        <v>0</v>
      </c>
      <c r="H204" s="88">
        <v>0</v>
      </c>
      <c r="I204" s="88">
        <v>0</v>
      </c>
      <c r="J204" s="88">
        <v>0</v>
      </c>
      <c r="K204" s="89">
        <v>0</v>
      </c>
      <c r="L204" s="172">
        <v>0</v>
      </c>
      <c r="M204" s="90">
        <v>0</v>
      </c>
    </row>
    <row r="205" spans="1:13" ht="16.8">
      <c r="A205" s="86">
        <v>20</v>
      </c>
      <c r="B205" s="75" t="s">
        <v>254</v>
      </c>
      <c r="D205" s="87">
        <v>15.645321353364194</v>
      </c>
      <c r="E205" s="88">
        <v>19.085846190698028</v>
      </c>
      <c r="F205" s="88">
        <v>22.096582747793462</v>
      </c>
      <c r="G205" s="88">
        <v>24.611238621731466</v>
      </c>
      <c r="H205" s="88">
        <v>27.360278208972655</v>
      </c>
      <c r="I205" s="88">
        <v>29.194915490817138</v>
      </c>
      <c r="J205" s="88">
        <v>30.3475387332923</v>
      </c>
      <c r="K205" s="89">
        <v>30.489113769754972</v>
      </c>
      <c r="L205" s="172">
        <v>198.83083511642423</v>
      </c>
      <c r="M205" s="90">
        <v>24.853854389553028</v>
      </c>
    </row>
    <row r="206" spans="1:13" ht="16.8">
      <c r="A206" s="86">
        <v>21</v>
      </c>
      <c r="B206" s="75" t="s">
        <v>255</v>
      </c>
      <c r="D206" s="87">
        <v>3.708338996407317</v>
      </c>
      <c r="E206" s="88">
        <v>4.2770492449266007</v>
      </c>
      <c r="F206" s="88">
        <v>4.6091649561540473</v>
      </c>
      <c r="G206" s="88">
        <v>4.8906044560495907</v>
      </c>
      <c r="H206" s="88">
        <v>5.059551456741012</v>
      </c>
      <c r="I206" s="88">
        <v>5.1006189817470222</v>
      </c>
      <c r="J206" s="88">
        <v>5.0656630114275849</v>
      </c>
      <c r="K206" s="89">
        <v>5.0549194630631211</v>
      </c>
      <c r="L206" s="172">
        <v>37.765910566516297</v>
      </c>
      <c r="M206" s="90">
        <v>4.7207388208145371</v>
      </c>
    </row>
    <row r="207" spans="1:13" ht="16.8">
      <c r="A207" s="86">
        <v>22</v>
      </c>
      <c r="B207" s="75" t="s">
        <v>256</v>
      </c>
      <c r="D207" s="87">
        <v>0</v>
      </c>
      <c r="E207" s="88">
        <v>0</v>
      </c>
      <c r="F207" s="88">
        <v>0</v>
      </c>
      <c r="G207" s="88">
        <v>0</v>
      </c>
      <c r="H207" s="88">
        <v>0</v>
      </c>
      <c r="I207" s="88">
        <v>0</v>
      </c>
      <c r="J207" s="88">
        <v>0</v>
      </c>
      <c r="K207" s="89">
        <v>0</v>
      </c>
      <c r="L207" s="172">
        <v>0</v>
      </c>
      <c r="M207" s="90">
        <v>0</v>
      </c>
    </row>
    <row r="208" spans="1:13" ht="16.8">
      <c r="A208" s="86">
        <v>23</v>
      </c>
      <c r="B208" s="75" t="s">
        <v>257</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72">
        <v>7.0928230769456135</v>
      </c>
      <c r="M208" s="90">
        <v>0.88660288461820169</v>
      </c>
    </row>
    <row r="209" spans="1:13" ht="16.8">
      <c r="A209" s="86">
        <v>24</v>
      </c>
      <c r="B209" s="75" t="s">
        <v>258</v>
      </c>
      <c r="D209" s="87">
        <v>12.238898857271282</v>
      </c>
      <c r="E209" s="88">
        <v>12.269320008809279</v>
      </c>
      <c r="F209" s="88">
        <v>13.501323356904841</v>
      </c>
      <c r="G209" s="88">
        <v>13.740151967682184</v>
      </c>
      <c r="H209" s="88">
        <v>13.784991857306188</v>
      </c>
      <c r="I209" s="88">
        <v>13.936103314150911</v>
      </c>
      <c r="J209" s="88">
        <v>14.193757897077006</v>
      </c>
      <c r="K209" s="89">
        <v>14.258238923443807</v>
      </c>
      <c r="L209" s="172">
        <v>107.9227861826455</v>
      </c>
      <c r="M209" s="90">
        <v>13.490348272830687</v>
      </c>
    </row>
    <row r="210" spans="1:13" ht="16.8">
      <c r="A210" s="86">
        <v>25</v>
      </c>
      <c r="B210" s="75" t="s">
        <v>259</v>
      </c>
      <c r="D210" s="87">
        <v>0.53824607061444085</v>
      </c>
      <c r="E210" s="88">
        <v>1.0795724238040505</v>
      </c>
      <c r="F210" s="88">
        <v>0.31405412757210804</v>
      </c>
      <c r="G210" s="88">
        <v>0.45765402898979524</v>
      </c>
      <c r="H210" s="88">
        <v>1.31330914047599</v>
      </c>
      <c r="I210" s="88">
        <v>0.19085691484758149</v>
      </c>
      <c r="J210" s="88">
        <v>1.2811460150494176</v>
      </c>
      <c r="K210" s="89">
        <v>1.1431716306887876</v>
      </c>
      <c r="L210" s="172">
        <v>6.3180103520421707</v>
      </c>
      <c r="M210" s="90">
        <v>0.78975129400527133</v>
      </c>
    </row>
    <row r="211" spans="1:13" ht="16.8">
      <c r="A211" s="80"/>
      <c r="B211" s="81" t="s">
        <v>261</v>
      </c>
      <c r="D211" s="91">
        <v>0</v>
      </c>
      <c r="E211" s="92">
        <v>0</v>
      </c>
      <c r="F211" s="92">
        <v>0</v>
      </c>
      <c r="G211" s="92">
        <v>0</v>
      </c>
      <c r="H211" s="92">
        <v>0</v>
      </c>
      <c r="I211" s="92">
        <v>0</v>
      </c>
      <c r="J211" s="92">
        <v>0</v>
      </c>
      <c r="K211" s="93">
        <v>0</v>
      </c>
      <c r="L211" s="91">
        <v>0</v>
      </c>
      <c r="M211" s="184">
        <v>0</v>
      </c>
    </row>
    <row r="212" spans="1:13" ht="16.8">
      <c r="A212" s="86">
        <v>26</v>
      </c>
      <c r="B212" s="75" t="s">
        <v>262</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72">
        <v>949.84884992357684</v>
      </c>
      <c r="M212" s="90">
        <v>118.7311062404471</v>
      </c>
    </row>
    <row r="213" spans="1:13" ht="16.8">
      <c r="A213" s="86">
        <v>27</v>
      </c>
      <c r="B213" s="75" t="s">
        <v>312</v>
      </c>
      <c r="D213" s="87">
        <v>0</v>
      </c>
      <c r="E213" s="88">
        <v>3.7106038241035293</v>
      </c>
      <c r="F213" s="88">
        <v>6.0364438354306174</v>
      </c>
      <c r="G213" s="88">
        <v>0</v>
      </c>
      <c r="H213" s="88">
        <v>0</v>
      </c>
      <c r="I213" s="88">
        <v>0</v>
      </c>
      <c r="J213" s="88">
        <v>0</v>
      </c>
      <c r="K213" s="88">
        <v>0</v>
      </c>
      <c r="L213" s="172">
        <v>9.7470476595341466</v>
      </c>
      <c r="M213" s="90">
        <v>1.2183809574417683</v>
      </c>
    </row>
    <row r="214" spans="1:13" ht="16.8">
      <c r="A214" s="86">
        <v>28</v>
      </c>
      <c r="B214" s="75" t="s">
        <v>264</v>
      </c>
      <c r="D214" s="96">
        <v>113.97553115199239</v>
      </c>
      <c r="E214" s="88">
        <v>117.24346896430818</v>
      </c>
      <c r="F214" s="88">
        <v>120.39300058545147</v>
      </c>
      <c r="G214" s="88">
        <v>116.7054339196653</v>
      </c>
      <c r="H214" s="88">
        <v>122.83308772040758</v>
      </c>
      <c r="I214" s="88">
        <v>117.52358286418433</v>
      </c>
      <c r="J214" s="88">
        <v>124.73063970685706</v>
      </c>
      <c r="K214" s="88">
        <v>126.19115267024478</v>
      </c>
      <c r="L214" s="172">
        <v>959.59589758311108</v>
      </c>
      <c r="M214" s="90">
        <v>119.94948719788889</v>
      </c>
    </row>
    <row r="215" spans="1:13" ht="16.8">
      <c r="A215" s="86">
        <v>29</v>
      </c>
      <c r="B215" s="75" t="s">
        <v>168</v>
      </c>
      <c r="D215" s="96">
        <v>0</v>
      </c>
      <c r="E215" s="88">
        <v>0</v>
      </c>
      <c r="F215" s="88">
        <v>0</v>
      </c>
      <c r="G215" s="88">
        <v>0</v>
      </c>
      <c r="H215" s="88">
        <v>0</v>
      </c>
      <c r="I215" s="88">
        <v>0</v>
      </c>
      <c r="J215" s="88">
        <v>0</v>
      </c>
      <c r="K215" s="88">
        <v>0</v>
      </c>
      <c r="L215" s="172">
        <v>0</v>
      </c>
      <c r="M215" s="90">
        <v>0</v>
      </c>
    </row>
    <row r="216" spans="1:13" ht="16.8">
      <c r="A216" s="86">
        <v>30</v>
      </c>
      <c r="B216" s="75" t="s">
        <v>265</v>
      </c>
      <c r="D216" s="96">
        <v>0</v>
      </c>
      <c r="E216" s="88">
        <v>0</v>
      </c>
      <c r="F216" s="88">
        <v>0</v>
      </c>
      <c r="G216" s="88">
        <v>0</v>
      </c>
      <c r="H216" s="88">
        <v>0</v>
      </c>
      <c r="I216" s="88">
        <v>0</v>
      </c>
      <c r="J216" s="88">
        <v>0</v>
      </c>
      <c r="K216" s="88">
        <v>0</v>
      </c>
      <c r="L216" s="172">
        <v>0</v>
      </c>
      <c r="M216" s="90">
        <v>0</v>
      </c>
    </row>
    <row r="217" spans="1:13" ht="16.8">
      <c r="A217" s="86">
        <v>31</v>
      </c>
      <c r="B217" s="75" t="s">
        <v>266</v>
      </c>
      <c r="D217" s="96">
        <v>0</v>
      </c>
      <c r="E217" s="88">
        <v>0</v>
      </c>
      <c r="F217" s="88">
        <v>0</v>
      </c>
      <c r="G217" s="88">
        <v>0</v>
      </c>
      <c r="H217" s="88">
        <v>0</v>
      </c>
      <c r="I217" s="88">
        <v>0</v>
      </c>
      <c r="J217" s="88">
        <v>0</v>
      </c>
      <c r="K217" s="88">
        <v>0</v>
      </c>
      <c r="L217" s="172">
        <v>0</v>
      </c>
      <c r="M217" s="90">
        <v>0</v>
      </c>
    </row>
    <row r="218" spans="1:13" ht="16.8">
      <c r="A218" s="86">
        <v>32</v>
      </c>
      <c r="B218" s="75" t="s">
        <v>267</v>
      </c>
      <c r="D218" s="96">
        <v>113.97553115199239</v>
      </c>
      <c r="E218" s="88">
        <v>117.24346896430818</v>
      </c>
      <c r="F218" s="88">
        <v>120.39300058545147</v>
      </c>
      <c r="G218" s="88">
        <v>116.7054339196653</v>
      </c>
      <c r="H218" s="88">
        <v>122.83308772040758</v>
      </c>
      <c r="I218" s="88">
        <v>117.52358286418433</v>
      </c>
      <c r="J218" s="88">
        <v>124.73063970685706</v>
      </c>
      <c r="K218" s="88">
        <v>126.19115267024478</v>
      </c>
      <c r="L218" s="172">
        <v>959.59589758311108</v>
      </c>
      <c r="M218" s="90">
        <v>119.94948719788889</v>
      </c>
    </row>
    <row r="219" spans="1:13" ht="16.8">
      <c r="A219" s="80"/>
      <c r="B219" s="81" t="s">
        <v>268</v>
      </c>
      <c r="D219" s="91">
        <v>0</v>
      </c>
      <c r="E219" s="92">
        <v>0</v>
      </c>
      <c r="F219" s="92">
        <v>0</v>
      </c>
      <c r="G219" s="92">
        <v>0</v>
      </c>
      <c r="H219" s="92">
        <v>0</v>
      </c>
      <c r="I219" s="92">
        <v>0</v>
      </c>
      <c r="J219" s="92">
        <v>0</v>
      </c>
      <c r="K219" s="93">
        <v>0</v>
      </c>
      <c r="L219" s="91">
        <v>0</v>
      </c>
      <c r="M219" s="184">
        <v>0</v>
      </c>
    </row>
    <row r="220" spans="1:13" ht="16.8">
      <c r="A220" s="86">
        <f>A218+1</f>
        <v>33</v>
      </c>
      <c r="B220" s="75" t="s">
        <v>268</v>
      </c>
      <c r="D220" s="87">
        <v>114.12213945854668</v>
      </c>
      <c r="E220" s="88">
        <v>117.48816120419283</v>
      </c>
      <c r="F220" s="88">
        <v>119.97738821427971</v>
      </c>
      <c r="G220" s="88">
        <v>120.81569999206685</v>
      </c>
      <c r="H220" s="88">
        <v>126.97143119028321</v>
      </c>
      <c r="I220" s="88">
        <v>121.62192724489044</v>
      </c>
      <c r="J220" s="88">
        <v>129.05222106199386</v>
      </c>
      <c r="K220" s="89">
        <v>130.49285587456652</v>
      </c>
      <c r="L220" s="172">
        <v>980.54182424082012</v>
      </c>
      <c r="M220" s="90">
        <v>122.56772803010251</v>
      </c>
    </row>
    <row r="221" spans="1:13" ht="16.8">
      <c r="A221" s="86">
        <f>+A220+1</f>
        <v>34</v>
      </c>
      <c r="B221" s="75" t="s">
        <v>269</v>
      </c>
      <c r="D221" s="87">
        <v>115.53670799497685</v>
      </c>
      <c r="E221" s="88">
        <v>115.61122735143105</v>
      </c>
      <c r="F221" s="88">
        <v>116.47439523516735</v>
      </c>
      <c r="G221" s="88">
        <v>118.86672348468946</v>
      </c>
      <c r="H221" s="88">
        <v>125.04587518183425</v>
      </c>
      <c r="I221" s="88">
        <v>119.71032959263032</v>
      </c>
      <c r="J221" s="88">
        <v>127.14773990713464</v>
      </c>
      <c r="K221" s="89">
        <v>128.59194647511799</v>
      </c>
      <c r="L221" s="172">
        <v>966.98494522298199</v>
      </c>
      <c r="M221" s="90">
        <v>120.87311815287275</v>
      </c>
    </row>
    <row r="222" spans="1:13" ht="16.8">
      <c r="A222" s="80"/>
      <c r="B222" s="81" t="s">
        <v>270</v>
      </c>
      <c r="D222" s="91">
        <v>0</v>
      </c>
      <c r="E222" s="92">
        <v>0</v>
      </c>
      <c r="F222" s="92">
        <v>0</v>
      </c>
      <c r="G222" s="92">
        <v>0</v>
      </c>
      <c r="H222" s="92">
        <v>0</v>
      </c>
      <c r="I222" s="92">
        <v>0</v>
      </c>
      <c r="J222" s="92">
        <v>0</v>
      </c>
      <c r="K222" s="93">
        <v>0</v>
      </c>
      <c r="L222" s="91">
        <v>0</v>
      </c>
      <c r="M222" s="184">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72">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72">
        <v>966.98494522298199</v>
      </c>
      <c r="M224" s="90">
        <v>120.87311815287275</v>
      </c>
    </row>
    <row r="225" spans="1:13" ht="16.8">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72">
        <v>980.54182424082012</v>
      </c>
      <c r="M225" s="90">
        <v>122.56772803010251</v>
      </c>
    </row>
    <row r="226" spans="1:13" ht="16.8">
      <c r="A226" s="86">
        <f>A225+1</f>
        <v>38</v>
      </c>
      <c r="B226" s="98">
        <v>42825</v>
      </c>
      <c r="D226" s="96">
        <v>0</v>
      </c>
      <c r="E226" s="88">
        <v>0</v>
      </c>
      <c r="F226" s="88">
        <v>0</v>
      </c>
      <c r="G226" s="88">
        <v>0</v>
      </c>
      <c r="H226" s="88">
        <v>0</v>
      </c>
      <c r="I226" s="88">
        <v>0</v>
      </c>
      <c r="J226" s="88">
        <v>0</v>
      </c>
      <c r="K226" s="88">
        <v>0</v>
      </c>
      <c r="L226" s="172">
        <v>0</v>
      </c>
      <c r="M226" s="90">
        <v>0</v>
      </c>
    </row>
    <row r="227" spans="1:13" ht="16.8">
      <c r="A227" s="86">
        <f>A226+1</f>
        <v>39</v>
      </c>
      <c r="B227" s="98">
        <v>43190</v>
      </c>
      <c r="D227" s="96">
        <v>0</v>
      </c>
      <c r="E227" s="88">
        <v>0</v>
      </c>
      <c r="F227" s="88">
        <v>0</v>
      </c>
      <c r="G227" s="88">
        <v>0</v>
      </c>
      <c r="H227" s="88">
        <v>0</v>
      </c>
      <c r="I227" s="88">
        <v>0</v>
      </c>
      <c r="J227" s="88">
        <v>0</v>
      </c>
      <c r="K227" s="88">
        <v>0</v>
      </c>
      <c r="L227" s="172">
        <v>0</v>
      </c>
      <c r="M227" s="90">
        <v>0</v>
      </c>
    </row>
    <row r="228" spans="1:13" ht="16.8">
      <c r="A228" s="86">
        <f>A227+1</f>
        <v>40</v>
      </c>
      <c r="B228" s="98">
        <v>43555</v>
      </c>
      <c r="D228" s="96">
        <v>0</v>
      </c>
      <c r="E228" s="88">
        <v>0</v>
      </c>
      <c r="F228" s="88">
        <v>0</v>
      </c>
      <c r="G228" s="88">
        <v>0</v>
      </c>
      <c r="H228" s="88">
        <v>0</v>
      </c>
      <c r="I228" s="88">
        <v>0</v>
      </c>
      <c r="J228" s="88">
        <v>0</v>
      </c>
      <c r="K228" s="88">
        <v>0</v>
      </c>
      <c r="L228" s="172">
        <v>0</v>
      </c>
      <c r="M228" s="90">
        <v>0</v>
      </c>
    </row>
    <row r="229" spans="1:13" ht="16.8">
      <c r="A229" s="86">
        <f>A228+1</f>
        <v>41</v>
      </c>
      <c r="B229" s="98">
        <v>43921</v>
      </c>
      <c r="D229" s="96">
        <v>0</v>
      </c>
      <c r="E229" s="88">
        <v>0</v>
      </c>
      <c r="F229" s="88">
        <v>0</v>
      </c>
      <c r="G229" s="88">
        <v>0</v>
      </c>
      <c r="H229" s="88">
        <v>0</v>
      </c>
      <c r="I229" s="88">
        <v>0</v>
      </c>
      <c r="J229" s="88">
        <v>0</v>
      </c>
      <c r="K229" s="88">
        <v>0</v>
      </c>
      <c r="L229" s="172">
        <v>0</v>
      </c>
      <c r="M229" s="90">
        <v>0</v>
      </c>
    </row>
    <row r="230" spans="1:13" ht="17.399999999999999" thickBot="1">
      <c r="A230" s="103">
        <f>A229+1</f>
        <v>42</v>
      </c>
      <c r="B230" s="211">
        <v>44286</v>
      </c>
      <c r="D230" s="214">
        <v>0</v>
      </c>
      <c r="E230" s="106">
        <v>0</v>
      </c>
      <c r="F230" s="106">
        <v>0</v>
      </c>
      <c r="G230" s="106">
        <v>0</v>
      </c>
      <c r="H230" s="106">
        <v>0</v>
      </c>
      <c r="I230" s="106">
        <v>0</v>
      </c>
      <c r="J230" s="106">
        <v>0</v>
      </c>
      <c r="K230" s="106">
        <v>0</v>
      </c>
      <c r="L230" s="215">
        <v>0</v>
      </c>
      <c r="M230" s="108">
        <v>0</v>
      </c>
    </row>
    <row r="231" spans="1:13" ht="16.8">
      <c r="A231" s="80"/>
      <c r="B231" s="81" t="s">
        <v>313</v>
      </c>
      <c r="D231" s="91">
        <v>0</v>
      </c>
      <c r="E231" s="92">
        <v>0</v>
      </c>
      <c r="F231" s="92">
        <v>0</v>
      </c>
      <c r="G231" s="92">
        <v>0</v>
      </c>
      <c r="H231" s="92">
        <v>0</v>
      </c>
      <c r="I231" s="97">
        <v>0</v>
      </c>
      <c r="J231" s="92">
        <v>0</v>
      </c>
      <c r="K231" s="93">
        <v>0</v>
      </c>
      <c r="L231" s="95">
        <v>0</v>
      </c>
      <c r="M231" s="184">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8">
      <c r="A235" s="86">
        <f>A234+1</f>
        <v>46</v>
      </c>
      <c r="B235" s="98">
        <v>42825</v>
      </c>
      <c r="D235" s="96">
        <v>0</v>
      </c>
      <c r="E235" s="88">
        <v>0</v>
      </c>
      <c r="F235" s="88">
        <v>0</v>
      </c>
      <c r="G235" s="88">
        <v>0</v>
      </c>
      <c r="H235" s="88">
        <v>0</v>
      </c>
      <c r="I235" s="88">
        <v>0</v>
      </c>
      <c r="J235" s="88">
        <v>0</v>
      </c>
      <c r="K235" s="89">
        <v>0</v>
      </c>
      <c r="L235" s="90">
        <v>0</v>
      </c>
      <c r="M235" s="90">
        <v>0</v>
      </c>
    </row>
    <row r="236" spans="1:13" ht="16.8">
      <c r="A236" s="86">
        <f>A235+1</f>
        <v>47</v>
      </c>
      <c r="B236" s="98">
        <v>43190</v>
      </c>
      <c r="D236" s="96">
        <v>0</v>
      </c>
      <c r="E236" s="88">
        <v>0</v>
      </c>
      <c r="F236" s="88">
        <v>0</v>
      </c>
      <c r="G236" s="88">
        <v>0</v>
      </c>
      <c r="H236" s="88">
        <v>0</v>
      </c>
      <c r="I236" s="88">
        <v>0</v>
      </c>
      <c r="J236" s="88">
        <v>0</v>
      </c>
      <c r="K236" s="89">
        <v>0</v>
      </c>
      <c r="L236" s="90">
        <v>0</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314</v>
      </c>
      <c r="D240" s="91">
        <v>0</v>
      </c>
      <c r="E240" s="92">
        <v>0</v>
      </c>
      <c r="F240" s="92">
        <v>0</v>
      </c>
      <c r="G240" s="92">
        <v>0</v>
      </c>
      <c r="H240" s="92">
        <v>0</v>
      </c>
      <c r="I240" s="97">
        <v>0</v>
      </c>
      <c r="J240" s="92">
        <v>0</v>
      </c>
      <c r="K240" s="93">
        <v>0</v>
      </c>
      <c r="L240" s="91">
        <v>0</v>
      </c>
      <c r="M240" s="184">
        <v>0</v>
      </c>
    </row>
    <row r="241" spans="1:13" ht="16.8">
      <c r="A241" s="86">
        <f>A239+1</f>
        <v>51</v>
      </c>
      <c r="B241" s="75" t="s">
        <v>273</v>
      </c>
      <c r="D241" s="87">
        <v>81.466146669756512</v>
      </c>
      <c r="E241" s="88">
        <v>96.503818703217519</v>
      </c>
      <c r="F241" s="88">
        <v>106.44722762480478</v>
      </c>
      <c r="G241" s="88">
        <v>112.94698512816606</v>
      </c>
      <c r="H241" s="88">
        <v>116.84876343512728</v>
      </c>
      <c r="I241" s="88">
        <v>117.79720512117834</v>
      </c>
      <c r="J241" s="88">
        <v>116.9899078851636</v>
      </c>
      <c r="K241" s="89">
        <v>116.74178898529146</v>
      </c>
      <c r="L241" s="90">
        <v>865.7418435527054</v>
      </c>
      <c r="M241" s="90">
        <v>108.21773044408818</v>
      </c>
    </row>
    <row r="242" spans="1:13" ht="16.8">
      <c r="A242" s="86">
        <f>A241+1</f>
        <v>52</v>
      </c>
      <c r="B242" s="75" t="s">
        <v>26</v>
      </c>
      <c r="D242" s="216">
        <v>0.6</v>
      </c>
      <c r="E242" s="217">
        <v>0.6</v>
      </c>
      <c r="F242" s="217">
        <v>0.6</v>
      </c>
      <c r="G242" s="217">
        <v>0.6</v>
      </c>
      <c r="H242" s="217">
        <v>0.6</v>
      </c>
      <c r="I242" s="217">
        <v>0.6</v>
      </c>
      <c r="J242" s="217">
        <v>0.6</v>
      </c>
      <c r="K242" s="218">
        <v>0.6</v>
      </c>
      <c r="L242" s="219">
        <v>0.59999999999999987</v>
      </c>
      <c r="M242" s="219">
        <v>0.6</v>
      </c>
    </row>
    <row r="243" spans="1:13" ht="16.8">
      <c r="A243" s="86">
        <f>A242+1</f>
        <v>53</v>
      </c>
      <c r="B243" s="75" t="s">
        <v>274</v>
      </c>
      <c r="D243" s="87">
        <v>32.586458667902605</v>
      </c>
      <c r="E243" s="88">
        <v>38.601527481287008</v>
      </c>
      <c r="F243" s="88">
        <v>42.578891049921914</v>
      </c>
      <c r="G243" s="88">
        <v>45.178794051266429</v>
      </c>
      <c r="H243" s="88">
        <v>46.739505374050914</v>
      </c>
      <c r="I243" s="88">
        <v>47.118882048471335</v>
      </c>
      <c r="J243" s="88">
        <v>46.795963154065447</v>
      </c>
      <c r="K243" s="89">
        <v>46.69671559411659</v>
      </c>
      <c r="L243" s="90">
        <v>346.29673742108224</v>
      </c>
      <c r="M243" s="90">
        <v>43.28709217763528</v>
      </c>
    </row>
    <row r="244" spans="1:13" ht="16.8">
      <c r="A244" s="86">
        <f>A243+1</f>
        <v>54</v>
      </c>
      <c r="B244" s="75" t="s">
        <v>275</v>
      </c>
      <c r="D244" s="87">
        <v>1.4272868896541342</v>
      </c>
      <c r="E244" s="88">
        <v>1.5749423212365099</v>
      </c>
      <c r="F244" s="88">
        <v>1.628642582659513</v>
      </c>
      <c r="G244" s="88">
        <v>1.7280888724609407</v>
      </c>
      <c r="H244" s="88">
        <v>1.787786080557447</v>
      </c>
      <c r="I244" s="88">
        <v>1.8022972383540283</v>
      </c>
      <c r="J244" s="88">
        <v>1.7899455906430028</v>
      </c>
      <c r="K244" s="89">
        <v>1.7861493714749594</v>
      </c>
      <c r="L244" s="90">
        <v>13.525138947040533</v>
      </c>
      <c r="M244" s="90">
        <v>1.6906423683800667</v>
      </c>
    </row>
    <row r="245" spans="1:13" ht="17.399999999999999" thickBot="1">
      <c r="A245" s="103">
        <f>A244+1</f>
        <v>55</v>
      </c>
      <c r="B245" s="104" t="s">
        <v>276</v>
      </c>
      <c r="D245" s="105">
        <v>2.281052106753183</v>
      </c>
      <c r="E245" s="106">
        <v>2.7021069236900908</v>
      </c>
      <c r="F245" s="106">
        <v>2.9805223734945345</v>
      </c>
      <c r="G245" s="106">
        <v>3.1625155835886503</v>
      </c>
      <c r="H245" s="106">
        <v>3.271765376183565</v>
      </c>
      <c r="I245" s="106">
        <v>3.2983217433929939</v>
      </c>
      <c r="J245" s="106">
        <v>3.2757174207845821</v>
      </c>
      <c r="K245" s="107">
        <v>3.2687700915881619</v>
      </c>
      <c r="L245" s="108">
        <v>24.240771619475762</v>
      </c>
      <c r="M245" s="108">
        <v>3.0300964524344702</v>
      </c>
    </row>
    <row r="246" spans="1:13" ht="16.8">
      <c r="A246" s="212"/>
      <c r="B246" s="213"/>
    </row>
    <row r="247" spans="1:13" ht="16.8">
      <c r="A247" s="212"/>
      <c r="B247" s="213"/>
    </row>
    <row r="248" spans="1:13">
      <c r="B248" t="s">
        <v>355</v>
      </c>
      <c r="D248" s="53">
        <v>0.5</v>
      </c>
      <c r="E248" s="53">
        <v>0.4</v>
      </c>
      <c r="F248" s="53">
        <v>0.4</v>
      </c>
      <c r="G248" s="53">
        <v>0.5</v>
      </c>
      <c r="H248" s="53">
        <v>0.4</v>
      </c>
      <c r="I248" s="53">
        <v>0.4</v>
      </c>
      <c r="J248" s="53">
        <v>0.5</v>
      </c>
      <c r="K248" s="53">
        <v>0.4</v>
      </c>
    </row>
    <row r="249" spans="1:13">
      <c r="B249" t="s">
        <v>356</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293</v>
      </c>
      <c r="D250" s="53">
        <v>0.97533863299335366</v>
      </c>
      <c r="E250" s="53">
        <v>1.0185656412076189</v>
      </c>
      <c r="F250" s="53">
        <v>1.0626695334719087</v>
      </c>
      <c r="G250" s="53">
        <v>1.1086831242712423</v>
      </c>
      <c r="H250" s="53">
        <v>1.1566891035521869</v>
      </c>
      <c r="I250" s="53">
        <v>1.2067737417359965</v>
      </c>
      <c r="J250" s="53">
        <v>1.2590270447531651</v>
      </c>
      <c r="K250" s="53">
        <v>1.313542915790977</v>
      </c>
    </row>
    <row r="251" spans="1:13">
      <c r="D251" s="53">
        <f>SUM(D248:D250)</f>
        <v>10.271521977223172</v>
      </c>
      <c r="E251" s="53">
        <f t="shared" ref="E251:K251" si="78">SUM(E248:E250)</f>
        <v>10.214748985437437</v>
      </c>
      <c r="F251" s="53">
        <f t="shared" si="78"/>
        <v>11.357789408220997</v>
      </c>
      <c r="G251" s="53">
        <f t="shared" si="78"/>
        <v>11.50380299902033</v>
      </c>
      <c r="H251" s="53">
        <f t="shared" si="78"/>
        <v>11.451808978301276</v>
      </c>
      <c r="I251" s="53">
        <f t="shared" si="78"/>
        <v>11.501893616485086</v>
      </c>
      <c r="J251" s="53">
        <f t="shared" si="78"/>
        <v>11.654146919502253</v>
      </c>
      <c r="K251" s="53">
        <f t="shared" si="78"/>
        <v>11.608662790540066</v>
      </c>
    </row>
    <row r="253" spans="1:13">
      <c r="B253" t="s">
        <v>357</v>
      </c>
      <c r="D253" s="53">
        <v>1.9673768800481106</v>
      </c>
      <c r="E253" s="53">
        <v>2.0545710233718428</v>
      </c>
      <c r="F253" s="53">
        <v>2.1435339486838436</v>
      </c>
      <c r="G253" s="53">
        <v>2.2363489686618538</v>
      </c>
      <c r="H253" s="53">
        <v>2.3331828790049118</v>
      </c>
      <c r="I253" s="53">
        <v>2.4342096976658243</v>
      </c>
      <c r="J253" s="53">
        <v>2.5396109775747542</v>
      </c>
      <c r="K253" s="53">
        <v>2.6495761329037406</v>
      </c>
    </row>
    <row r="257" spans="2:4">
      <c r="B257" t="s">
        <v>358</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3:V214"/>
  <sheetViews>
    <sheetView zoomScaleNormal="100" workbookViewId="0">
      <selection sqref="A1:XFD1048576"/>
    </sheetView>
  </sheetViews>
  <sheetFormatPr defaultColWidth="9.109375" defaultRowHeight="13.2"/>
  <cols>
    <col min="1" max="1" width="3.6640625" style="386" customWidth="1"/>
    <col min="2" max="2" width="4.6640625" style="386" customWidth="1"/>
    <col min="3" max="3" width="43.33203125" style="386" customWidth="1"/>
    <col min="4" max="4" width="11.88671875" style="386" customWidth="1"/>
    <col min="5" max="5" width="14.5546875" style="386" customWidth="1"/>
    <col min="6" max="6" width="10.88671875" style="386" customWidth="1"/>
    <col min="7" max="12" width="10.6640625" style="386" customWidth="1"/>
    <col min="13" max="13" width="9.109375" style="386"/>
    <col min="14" max="14" width="7.5546875" style="386" customWidth="1"/>
    <col min="15" max="16" width="9.109375" style="386"/>
    <col min="17" max="17" width="9.109375" style="386" customWidth="1"/>
    <col min="18" max="16384" width="9.109375" style="386"/>
  </cols>
  <sheetData>
    <row r="3" spans="2:6" ht="23.4">
      <c r="B3" s="400">
        <v>1</v>
      </c>
      <c r="C3" s="400" t="s">
        <v>18</v>
      </c>
      <c r="D3" s="401"/>
      <c r="E3" s="402"/>
      <c r="F3" s="402"/>
    </row>
    <row r="4" spans="2:6" ht="33.75" customHeight="1">
      <c r="B4" s="400"/>
      <c r="C4" s="526" t="s">
        <v>19</v>
      </c>
      <c r="D4" s="527"/>
      <c r="E4" s="527"/>
      <c r="F4" s="402"/>
    </row>
    <row r="5" spans="2:6">
      <c r="B5" s="402"/>
      <c r="C5" s="402"/>
      <c r="D5" s="402"/>
      <c r="E5" s="402"/>
      <c r="F5" s="402"/>
    </row>
    <row r="6" spans="2:6" ht="31.8" thickBot="1">
      <c r="B6" s="402"/>
      <c r="C6" s="415" t="s">
        <v>20</v>
      </c>
      <c r="D6" s="416" t="s">
        <v>21</v>
      </c>
      <c r="E6" s="402"/>
      <c r="F6" s="402"/>
    </row>
    <row r="7" spans="2:6" ht="15.6">
      <c r="B7" s="402"/>
      <c r="C7" s="431" t="s">
        <v>22</v>
      </c>
      <c r="D7" s="433" t="s">
        <v>23</v>
      </c>
      <c r="E7" s="402"/>
      <c r="F7" s="402"/>
    </row>
    <row r="8" spans="2:6" ht="15.6">
      <c r="B8" s="402"/>
      <c r="C8" s="432" t="s">
        <v>24</v>
      </c>
      <c r="D8" s="434" t="s">
        <v>25</v>
      </c>
      <c r="E8" s="402"/>
      <c r="F8" s="402"/>
    </row>
    <row r="9" spans="2:6" ht="15.6">
      <c r="B9" s="402"/>
      <c r="C9" s="432" t="s">
        <v>26</v>
      </c>
      <c r="D9" s="434" t="s">
        <v>27</v>
      </c>
      <c r="E9" s="402"/>
      <c r="F9" s="402"/>
    </row>
    <row r="10" spans="2:6" ht="15.6">
      <c r="B10" s="402"/>
      <c r="C10" s="432" t="s">
        <v>28</v>
      </c>
      <c r="D10" s="434" t="s">
        <v>29</v>
      </c>
      <c r="E10" s="402"/>
      <c r="F10" s="402"/>
    </row>
    <row r="11" spans="2:6" ht="15.6">
      <c r="B11" s="402"/>
      <c r="C11" s="432" t="s">
        <v>30</v>
      </c>
      <c r="D11" s="434" t="s">
        <v>31</v>
      </c>
      <c r="E11" s="402"/>
      <c r="F11" s="402"/>
    </row>
    <row r="12" spans="2:6" ht="15.6">
      <c r="B12" s="402"/>
      <c r="C12" s="432" t="s">
        <v>32</v>
      </c>
      <c r="D12" s="434" t="s">
        <v>33</v>
      </c>
      <c r="E12" s="402"/>
      <c r="F12" s="402"/>
    </row>
    <row r="13" spans="2:6" ht="15.6">
      <c r="B13" s="402"/>
      <c r="C13" s="432" t="s">
        <v>34</v>
      </c>
      <c r="D13" s="519">
        <v>0.37</v>
      </c>
      <c r="E13" s="402"/>
      <c r="F13" s="402"/>
    </row>
    <row r="14" spans="2:6" ht="15.6">
      <c r="B14" s="402"/>
      <c r="C14" s="432" t="s">
        <v>35</v>
      </c>
      <c r="D14" s="434" t="s">
        <v>36</v>
      </c>
      <c r="E14" s="402"/>
      <c r="F14" s="402"/>
    </row>
    <row r="15" spans="2:6">
      <c r="B15" s="402"/>
      <c r="C15" s="402"/>
      <c r="D15" s="402"/>
      <c r="E15" s="402"/>
      <c r="F15" s="402"/>
    </row>
    <row r="17" spans="2:7" ht="29.25" customHeight="1">
      <c r="B17" s="400">
        <v>2</v>
      </c>
      <c r="C17" s="430" t="s">
        <v>37</v>
      </c>
      <c r="D17" s="402"/>
      <c r="E17" s="402"/>
      <c r="F17" s="402"/>
    </row>
    <row r="18" spans="2:7" ht="82.5" customHeight="1">
      <c r="B18" s="400"/>
      <c r="C18" s="526" t="s">
        <v>38</v>
      </c>
      <c r="D18" s="527"/>
      <c r="E18" s="527"/>
      <c r="F18" s="402"/>
    </row>
    <row r="19" spans="2:7">
      <c r="B19" s="402"/>
      <c r="C19" s="414"/>
      <c r="D19" s="402"/>
      <c r="E19" s="402"/>
      <c r="F19" s="402"/>
    </row>
    <row r="20" spans="2:7" ht="36.6" thickBot="1">
      <c r="B20" s="402"/>
      <c r="C20" s="415" t="s">
        <v>39</v>
      </c>
      <c r="D20" s="416" t="s">
        <v>40</v>
      </c>
      <c r="E20" s="416" t="s">
        <v>41</v>
      </c>
      <c r="F20" s="402"/>
    </row>
    <row r="21" spans="2:7" ht="15.6">
      <c r="B21" s="402"/>
      <c r="C21" s="431" t="s">
        <v>42</v>
      </c>
      <c r="D21" s="433">
        <v>4.2275324931260946E-2</v>
      </c>
      <c r="E21" s="433">
        <v>3.4797849634703379E-2</v>
      </c>
      <c r="F21" s="402"/>
    </row>
    <row r="22" spans="2:7" ht="15.6">
      <c r="B22" s="402"/>
      <c r="C22" s="432" t="s">
        <v>43</v>
      </c>
      <c r="D22" s="434">
        <v>1.1283043918706692</v>
      </c>
      <c r="E22" s="434">
        <v>0.89423407500752217</v>
      </c>
      <c r="F22" s="402"/>
    </row>
    <row r="23" spans="2:7" ht="15.6">
      <c r="B23" s="402"/>
      <c r="C23" s="432" t="s">
        <v>44</v>
      </c>
      <c r="D23" s="434">
        <v>-2.8795700625537792E-2</v>
      </c>
      <c r="E23" s="434">
        <v>-1.6139765125300323E-2</v>
      </c>
      <c r="F23" s="402"/>
    </row>
    <row r="24" spans="2:7" ht="15.6">
      <c r="B24" s="402"/>
      <c r="C24" s="432" t="s">
        <v>45</v>
      </c>
      <c r="D24" s="434">
        <v>2.3924468218340836E-2</v>
      </c>
      <c r="E24" s="434">
        <v>1.9174831287328494E-2</v>
      </c>
      <c r="F24" s="402"/>
    </row>
    <row r="25" spans="2:7" ht="15.6">
      <c r="B25" s="402"/>
      <c r="C25" s="432" t="s">
        <v>46</v>
      </c>
      <c r="D25" s="434">
        <v>0.7704305528603258</v>
      </c>
      <c r="E25" s="434">
        <v>0.60703868961485508</v>
      </c>
      <c r="F25" s="402"/>
    </row>
    <row r="26" spans="2:7" ht="15.6">
      <c r="B26" s="402"/>
      <c r="C26" s="432" t="s">
        <v>47</v>
      </c>
      <c r="D26" s="434">
        <v>0.1052134429248531</v>
      </c>
      <c r="E26" s="434">
        <v>8.0360190385383251E-2</v>
      </c>
      <c r="F26" s="402"/>
      <c r="G26" s="413"/>
    </row>
    <row r="27" spans="2:7" ht="15.6">
      <c r="B27" s="402"/>
      <c r="C27" s="419" t="s">
        <v>48</v>
      </c>
      <c r="D27" s="420">
        <v>2.0413524801799121</v>
      </c>
      <c r="E27" s="420">
        <v>1.619465870804492</v>
      </c>
      <c r="F27" s="402"/>
    </row>
    <row r="28" spans="2:7">
      <c r="B28" s="402"/>
      <c r="C28" s="421"/>
      <c r="D28" s="422"/>
      <c r="E28" s="422"/>
      <c r="F28" s="402"/>
    </row>
    <row r="29" spans="2:7" ht="15.6">
      <c r="B29" s="402"/>
      <c r="C29" s="417" t="s">
        <v>49</v>
      </c>
      <c r="D29" s="418">
        <v>0.18664168256785227</v>
      </c>
      <c r="E29" s="418">
        <v>0.1503250473195254</v>
      </c>
      <c r="F29" s="402"/>
    </row>
    <row r="30" spans="2:7" ht="15.6">
      <c r="B30" s="402"/>
      <c r="C30" s="417" t="s">
        <v>44</v>
      </c>
      <c r="D30" s="418">
        <v>0.13933083152631226</v>
      </c>
      <c r="E30" s="418">
        <v>0.10945861530435269</v>
      </c>
      <c r="F30" s="402"/>
    </row>
    <row r="31" spans="2:7" ht="15.6">
      <c r="B31" s="402"/>
      <c r="C31" s="417" t="s">
        <v>45</v>
      </c>
      <c r="D31" s="418">
        <v>0.10963342457264363</v>
      </c>
      <c r="E31" s="418">
        <v>8.6178027958814019E-2</v>
      </c>
      <c r="F31" s="402"/>
    </row>
    <row r="32" spans="2:7" ht="15.6">
      <c r="B32" s="402"/>
      <c r="C32" s="417" t="s">
        <v>46</v>
      </c>
      <c r="D32" s="418">
        <v>0.3878734949068352</v>
      </c>
      <c r="E32" s="418">
        <v>0.30674480978356433</v>
      </c>
      <c r="F32" s="402"/>
    </row>
    <row r="33" spans="2:13" ht="15.6">
      <c r="B33" s="402"/>
      <c r="C33" s="417" t="s">
        <v>47</v>
      </c>
      <c r="D33" s="434">
        <v>-4.1243374565392281E-2</v>
      </c>
      <c r="E33" s="434">
        <v>-3.4105864405681162E-2</v>
      </c>
      <c r="F33" s="402"/>
    </row>
    <row r="34" spans="2:13" ht="15.6">
      <c r="B34" s="402"/>
      <c r="C34" s="419" t="s">
        <v>50</v>
      </c>
      <c r="D34" s="420">
        <v>0.78223605900825099</v>
      </c>
      <c r="E34" s="420">
        <v>0.61860063596057524</v>
      </c>
      <c r="F34" s="402"/>
    </row>
    <row r="35" spans="2:13">
      <c r="B35" s="402"/>
      <c r="C35" s="423"/>
      <c r="D35" s="424"/>
      <c r="E35" s="424"/>
      <c r="F35" s="402"/>
    </row>
    <row r="36" spans="2:13" ht="15.6">
      <c r="B36" s="402"/>
      <c r="C36" s="419" t="s">
        <v>51</v>
      </c>
      <c r="D36" s="420">
        <v>2.823588539188163</v>
      </c>
      <c r="E36" s="420">
        <v>2.2380665067650671</v>
      </c>
      <c r="F36" s="402"/>
    </row>
    <row r="37" spans="2:13" ht="15.6">
      <c r="B37" s="402"/>
      <c r="C37" s="425"/>
      <c r="D37" s="426"/>
      <c r="E37" s="426"/>
      <c r="F37" s="402"/>
    </row>
    <row r="38" spans="2:13" ht="15.6">
      <c r="B38" s="402"/>
      <c r="C38" s="417" t="s">
        <v>52</v>
      </c>
      <c r="D38" s="418">
        <v>1.1150810844209129</v>
      </c>
      <c r="E38" s="418">
        <v>0.88225987635099723</v>
      </c>
      <c r="F38" s="402"/>
    </row>
    <row r="39" spans="2:13" ht="16.2" thickBot="1">
      <c r="B39" s="402"/>
      <c r="C39" s="427"/>
      <c r="D39" s="428"/>
      <c r="E39" s="428"/>
      <c r="F39" s="402"/>
    </row>
    <row r="40" spans="2:13" ht="16.2" thickBot="1">
      <c r="B40" s="402"/>
      <c r="C40" s="429" t="s">
        <v>53</v>
      </c>
      <c r="D40" s="486">
        <v>5.2944559162197029</v>
      </c>
      <c r="E40" s="486">
        <v>4.6058732415263748</v>
      </c>
      <c r="F40" s="402"/>
    </row>
    <row r="41" spans="2:13" ht="16.2" thickBot="1">
      <c r="B41" s="402"/>
      <c r="C41" s="429" t="s">
        <v>54</v>
      </c>
      <c r="D41" s="486">
        <v>6.4389453593223926</v>
      </c>
      <c r="E41" s="486">
        <v>4.5927595934869245</v>
      </c>
      <c r="F41" s="402"/>
    </row>
    <row r="42" spans="2:13">
      <c r="B42" s="402"/>
      <c r="C42" s="402"/>
      <c r="D42" s="402"/>
      <c r="E42" s="402"/>
      <c r="F42" s="402"/>
    </row>
    <row r="45" spans="2:13" ht="23.4">
      <c r="B45" s="400">
        <v>3</v>
      </c>
      <c r="C45" s="430" t="s">
        <v>55</v>
      </c>
      <c r="D45" s="402"/>
      <c r="E45" s="402"/>
      <c r="F45" s="402"/>
      <c r="G45" s="402"/>
      <c r="H45" s="402"/>
      <c r="I45" s="402"/>
      <c r="J45" s="402"/>
      <c r="K45" s="402"/>
      <c r="L45" s="402"/>
      <c r="M45" s="402"/>
    </row>
    <row r="46" spans="2:13" ht="147" customHeight="1">
      <c r="B46" s="400"/>
      <c r="C46" s="528" t="s">
        <v>56</v>
      </c>
      <c r="D46" s="529"/>
      <c r="E46" s="529"/>
      <c r="F46" s="529"/>
      <c r="G46" s="529"/>
      <c r="H46" s="529"/>
      <c r="I46" s="529"/>
      <c r="J46" s="529"/>
      <c r="K46" s="529"/>
      <c r="L46" s="529"/>
      <c r="M46" s="402"/>
    </row>
    <row r="47" spans="2:13" ht="13.8" thickBot="1">
      <c r="B47" s="402"/>
      <c r="C47" s="448"/>
      <c r="D47" s="402"/>
      <c r="E47" s="402"/>
      <c r="F47" s="402"/>
      <c r="G47" s="402"/>
      <c r="H47" s="402"/>
      <c r="I47" s="402"/>
      <c r="J47" s="402"/>
      <c r="K47" s="402"/>
      <c r="L47" s="402"/>
      <c r="M47" s="402"/>
    </row>
    <row r="48" spans="2:13" ht="13.8" thickBot="1">
      <c r="B48" s="402"/>
      <c r="C48" s="448" t="s">
        <v>57</v>
      </c>
      <c r="D48" s="449"/>
      <c r="E48" s="530"/>
      <c r="F48" s="530"/>
      <c r="G48" s="450"/>
      <c r="H48" s="451"/>
      <c r="I48" s="451"/>
      <c r="J48" s="451"/>
      <c r="K48" s="402"/>
      <c r="L48" s="402"/>
      <c r="M48" s="402"/>
    </row>
    <row r="49" spans="2:15" ht="12.75" customHeight="1" thickBot="1">
      <c r="B49" s="402"/>
      <c r="C49" s="448" t="s">
        <v>58</v>
      </c>
      <c r="D49" s="452" t="s">
        <v>59</v>
      </c>
      <c r="E49" s="452" t="s">
        <v>60</v>
      </c>
      <c r="F49" s="453" t="s">
        <v>61</v>
      </c>
      <c r="G49" s="453" t="s">
        <v>62</v>
      </c>
      <c r="H49" s="453" t="s">
        <v>63</v>
      </c>
      <c r="I49" s="453" t="s">
        <v>64</v>
      </c>
      <c r="J49" s="453" t="s">
        <v>65</v>
      </c>
      <c r="K49" s="453" t="s">
        <v>66</v>
      </c>
      <c r="L49" s="453" t="s">
        <v>67</v>
      </c>
      <c r="M49" s="402"/>
    </row>
    <row r="50" spans="2:15" ht="12.75" customHeight="1">
      <c r="B50" s="402"/>
      <c r="C50" s="454"/>
      <c r="D50" s="455"/>
      <c r="E50" s="455"/>
      <c r="F50" s="455"/>
      <c r="G50" s="455"/>
      <c r="H50" s="455"/>
      <c r="I50" s="455"/>
      <c r="J50" s="455"/>
      <c r="K50" s="455"/>
      <c r="L50" s="454"/>
      <c r="M50" s="402"/>
    </row>
    <row r="51" spans="2:15" ht="12.75" customHeight="1">
      <c r="B51" s="402"/>
      <c r="C51" s="454" t="s">
        <v>68</v>
      </c>
      <c r="D51" s="455">
        <v>25.459307795372435</v>
      </c>
      <c r="E51" s="455">
        <v>14.41280752104567</v>
      </c>
      <c r="F51" s="455">
        <v>9.6173202079823099</v>
      </c>
      <c r="G51" s="455">
        <v>60.446777499796859</v>
      </c>
      <c r="H51" s="455">
        <v>84.880198528547851</v>
      </c>
      <c r="I51" s="455">
        <v>8.5249336835233791</v>
      </c>
      <c r="J51" s="455">
        <v>0.23152878737450566</v>
      </c>
      <c r="K51" s="455">
        <v>0</v>
      </c>
      <c r="L51" s="456">
        <v>203.57287402364304</v>
      </c>
      <c r="M51" s="402"/>
    </row>
    <row r="52" spans="2:15" ht="12.75" customHeight="1">
      <c r="B52" s="402"/>
      <c r="C52" s="454" t="s">
        <v>69</v>
      </c>
      <c r="D52" s="455">
        <v>97.132518315217595</v>
      </c>
      <c r="E52" s="455">
        <v>109.87971241227922</v>
      </c>
      <c r="F52" s="455">
        <v>114.43672637584547</v>
      </c>
      <c r="G52" s="455">
        <v>123.96977718673423</v>
      </c>
      <c r="H52" s="455">
        <v>138.27838395379189</v>
      </c>
      <c r="I52" s="455">
        <v>117.50342084599842</v>
      </c>
      <c r="J52" s="455">
        <v>101.87556011564801</v>
      </c>
      <c r="K52" s="455">
        <v>91.157975802007329</v>
      </c>
      <c r="L52" s="456">
        <v>894.23407500752216</v>
      </c>
      <c r="M52" s="402"/>
    </row>
    <row r="53" spans="2:15" ht="12.75" customHeight="1">
      <c r="B53" s="402"/>
      <c r="C53" s="454" t="s">
        <v>70</v>
      </c>
      <c r="D53" s="455">
        <v>64.482672010544718</v>
      </c>
      <c r="E53" s="455">
        <v>65.237874215180156</v>
      </c>
      <c r="F53" s="455">
        <v>70.772894725011071</v>
      </c>
      <c r="G53" s="455">
        <v>79.368338266410362</v>
      </c>
      <c r="H53" s="455">
        <v>84.317479134504765</v>
      </c>
      <c r="I53" s="455">
        <v>84.641346358196444</v>
      </c>
      <c r="J53" s="455">
        <v>80.728014781566515</v>
      </c>
      <c r="K53" s="455">
        <v>77.490070123441129</v>
      </c>
      <c r="L53" s="456">
        <v>607.03868961485512</v>
      </c>
      <c r="M53" s="402"/>
      <c r="O53" s="403"/>
    </row>
    <row r="54" spans="2:15" ht="12.75" customHeight="1">
      <c r="B54" s="402"/>
      <c r="C54" s="457" t="s">
        <v>71</v>
      </c>
      <c r="D54" s="458">
        <v>187.07449812113475</v>
      </c>
      <c r="E54" s="458">
        <v>189.53039414850502</v>
      </c>
      <c r="F54" s="458">
        <v>194.82694130883885</v>
      </c>
      <c r="G54" s="458">
        <v>263.78489295294145</v>
      </c>
      <c r="H54" s="458">
        <v>307.4760616168445</v>
      </c>
      <c r="I54" s="458">
        <v>210.66970088771825</v>
      </c>
      <c r="J54" s="458">
        <v>182.83510368458903</v>
      </c>
      <c r="K54" s="458">
        <v>168.64804592544846</v>
      </c>
      <c r="L54" s="456">
        <v>1704.8456386460205</v>
      </c>
      <c r="M54" s="402"/>
    </row>
    <row r="55" spans="2:15">
      <c r="B55" s="402"/>
      <c r="C55" s="454" t="s">
        <v>72</v>
      </c>
      <c r="D55" s="455">
        <v>20.078514268186041</v>
      </c>
      <c r="E55" s="455">
        <v>13.255660470025248</v>
      </c>
      <c r="F55" s="455">
        <v>-10.187306840206872</v>
      </c>
      <c r="G55" s="455">
        <v>-72.336665172075499</v>
      </c>
      <c r="H55" s="455">
        <v>-71.151219923452885</v>
      </c>
      <c r="I55" s="455">
        <v>2.4594511907823176</v>
      </c>
      <c r="J55" s="455">
        <v>-21.122647296975799</v>
      </c>
      <c r="K55" s="455">
        <v>-26.735744923193977</v>
      </c>
      <c r="L55" s="456">
        <v>-165.73995822691143</v>
      </c>
      <c r="M55" s="402"/>
    </row>
    <row r="56" spans="2:15">
      <c r="B56" s="402"/>
      <c r="C56" s="457" t="s">
        <v>73</v>
      </c>
      <c r="D56" s="458">
        <v>207.15301238932079</v>
      </c>
      <c r="E56" s="458">
        <v>202.78605461853027</v>
      </c>
      <c r="F56" s="458">
        <v>184.63963446863198</v>
      </c>
      <c r="G56" s="458">
        <v>191.44822778086595</v>
      </c>
      <c r="H56" s="458">
        <v>236.32484169339162</v>
      </c>
      <c r="I56" s="458">
        <v>213.12915207850057</v>
      </c>
      <c r="J56" s="458">
        <v>161.71245638761323</v>
      </c>
      <c r="K56" s="458">
        <v>141.91230100225448</v>
      </c>
      <c r="L56" s="456">
        <v>1539.1056804191089</v>
      </c>
      <c r="M56" s="402"/>
    </row>
    <row r="57" spans="2:15">
      <c r="B57" s="402"/>
      <c r="C57" s="459"/>
      <c r="D57" s="460"/>
      <c r="E57" s="460"/>
      <c r="F57" s="460"/>
      <c r="G57" s="460"/>
      <c r="H57" s="460"/>
      <c r="I57" s="460"/>
      <c r="J57" s="460"/>
      <c r="K57" s="460"/>
      <c r="L57" s="460"/>
      <c r="M57" s="402"/>
    </row>
    <row r="58" spans="2:15" ht="12.75" customHeight="1">
      <c r="B58" s="402"/>
      <c r="C58" s="454" t="s">
        <v>74</v>
      </c>
      <c r="D58" s="455">
        <v>2.9582169044297091</v>
      </c>
      <c r="E58" s="455">
        <v>1.2243087640771908</v>
      </c>
      <c r="F58" s="455">
        <v>1.1459862431889645</v>
      </c>
      <c r="G58" s="455">
        <v>1.3744988226661938</v>
      </c>
      <c r="H58" s="455">
        <v>2.087771093729021</v>
      </c>
      <c r="I58" s="455">
        <v>1.8720804721429822</v>
      </c>
      <c r="J58" s="455">
        <v>0.23152878737450566</v>
      </c>
      <c r="K58" s="455">
        <v>0</v>
      </c>
      <c r="L58" s="456">
        <v>10.894391087608568</v>
      </c>
      <c r="M58" s="402"/>
      <c r="O58" s="405"/>
    </row>
    <row r="59" spans="2:15" ht="12.75" customHeight="1">
      <c r="B59" s="402"/>
      <c r="C59" s="454" t="s">
        <v>75</v>
      </c>
      <c r="D59" s="455">
        <v>115.00942594680427</v>
      </c>
      <c r="E59" s="455">
        <v>108.17202110984888</v>
      </c>
      <c r="F59" s="455">
        <v>111.20152416051451</v>
      </c>
      <c r="G59" s="455">
        <v>137.00495617294553</v>
      </c>
      <c r="H59" s="455">
        <v>209.50532235187674</v>
      </c>
      <c r="I59" s="455">
        <v>194.24223214946733</v>
      </c>
      <c r="J59" s="455">
        <v>79.256715170799481</v>
      </c>
      <c r="K59" s="455">
        <v>63.473981899221528</v>
      </c>
      <c r="L59" s="456">
        <v>1017.8661789614782</v>
      </c>
      <c r="M59" s="402"/>
      <c r="O59" s="406"/>
    </row>
    <row r="60" spans="2:15" ht="12.75" customHeight="1">
      <c r="B60" s="402"/>
      <c r="C60" s="454" t="s">
        <v>76</v>
      </c>
      <c r="D60" s="455">
        <v>70.909659136255016</v>
      </c>
      <c r="E60" s="455">
        <v>73.186755080995937</v>
      </c>
      <c r="F60" s="455">
        <v>74.927506445626648</v>
      </c>
      <c r="G60" s="455">
        <v>85.276917447845605</v>
      </c>
      <c r="H60" s="455">
        <v>92.88040343618637</v>
      </c>
      <c r="I60" s="455">
        <v>96.001677264538955</v>
      </c>
      <c r="J60" s="455">
        <v>82.22421242943922</v>
      </c>
      <c r="K60" s="455">
        <v>78.438319103032967</v>
      </c>
      <c r="L60" s="456">
        <v>653.84545034392079</v>
      </c>
      <c r="M60" s="402"/>
      <c r="O60" s="406"/>
    </row>
    <row r="61" spans="2:15" ht="12.75" customHeight="1">
      <c r="B61" s="402"/>
      <c r="C61" s="457" t="s">
        <v>77</v>
      </c>
      <c r="D61" s="458">
        <v>188.87730198748898</v>
      </c>
      <c r="E61" s="458">
        <v>182.58308495492201</v>
      </c>
      <c r="F61" s="458">
        <v>187.27501684933011</v>
      </c>
      <c r="G61" s="458">
        <v>223.65637244345731</v>
      </c>
      <c r="H61" s="458">
        <v>304.47349688179213</v>
      </c>
      <c r="I61" s="458">
        <v>292.11598988614924</v>
      </c>
      <c r="J61" s="458">
        <v>161.7124563876132</v>
      </c>
      <c r="K61" s="458">
        <v>141.91230100225448</v>
      </c>
      <c r="L61" s="456">
        <v>1682.6060203930074</v>
      </c>
      <c r="M61" s="402"/>
      <c r="O61" s="406"/>
    </row>
    <row r="62" spans="2:15" ht="12.75" customHeight="1">
      <c r="B62" s="402"/>
      <c r="C62" s="457"/>
      <c r="D62" s="458"/>
      <c r="E62" s="458"/>
      <c r="F62" s="458"/>
      <c r="G62" s="458"/>
      <c r="H62" s="458"/>
      <c r="I62" s="458"/>
      <c r="J62" s="458"/>
      <c r="K62" s="458"/>
      <c r="L62" s="456"/>
      <c r="M62" s="402"/>
      <c r="O62" s="406"/>
    </row>
    <row r="63" spans="2:15" ht="12.75" customHeight="1">
      <c r="B63" s="402"/>
      <c r="C63" s="457" t="s">
        <v>78</v>
      </c>
      <c r="D63" s="458">
        <v>196.91861456429498</v>
      </c>
      <c r="E63" s="458">
        <v>191.47239160690964</v>
      </c>
      <c r="F63" s="458">
        <v>186.11544860182295</v>
      </c>
      <c r="G63" s="458">
        <v>209.48478879191711</v>
      </c>
      <c r="H63" s="458">
        <v>274.4880885988959</v>
      </c>
      <c r="I63" s="458">
        <v>257.36178125078385</v>
      </c>
      <c r="J63" s="458">
        <v>161.7124563876132</v>
      </c>
      <c r="K63" s="458">
        <v>141.91230100225448</v>
      </c>
      <c r="L63" s="456">
        <v>1619.4658708044922</v>
      </c>
      <c r="M63" s="402"/>
      <c r="O63" s="406"/>
    </row>
    <row r="64" spans="2:15" ht="12.75" customHeight="1">
      <c r="B64" s="402"/>
      <c r="C64" s="454" t="s">
        <v>79</v>
      </c>
      <c r="D64" s="455">
        <v>62.207265677053421</v>
      </c>
      <c r="E64" s="455">
        <v>62.484285704252912</v>
      </c>
      <c r="F64" s="455">
        <v>64.347820692392219</v>
      </c>
      <c r="G64" s="455">
        <v>71.841888998046599</v>
      </c>
      <c r="H64" s="455">
        <v>87.879660360228684</v>
      </c>
      <c r="I64" s="455">
        <v>83.355388819140899</v>
      </c>
      <c r="J64" s="455">
        <v>63.708372596754465</v>
      </c>
      <c r="K64" s="455">
        <v>58.039722040842044</v>
      </c>
      <c r="L64" s="456">
        <v>553.86440488871131</v>
      </c>
      <c r="M64" s="402"/>
      <c r="O64" s="406"/>
    </row>
    <row r="65" spans="2:15" ht="12.75" customHeight="1">
      <c r="B65" s="402"/>
      <c r="C65" s="454" t="s">
        <v>80</v>
      </c>
      <c r="D65" s="455">
        <v>134.71134888724157</v>
      </c>
      <c r="E65" s="455">
        <v>128.98810590265671</v>
      </c>
      <c r="F65" s="455">
        <v>121.76762790943071</v>
      </c>
      <c r="G65" s="455">
        <v>137.64289979387053</v>
      </c>
      <c r="H65" s="455">
        <v>186.60842823866722</v>
      </c>
      <c r="I65" s="455">
        <v>174.00639243164295</v>
      </c>
      <c r="J65" s="455">
        <v>98.004083790858743</v>
      </c>
      <c r="K65" s="455">
        <v>83.872578961412458</v>
      </c>
      <c r="L65" s="456">
        <v>1065.6014659157809</v>
      </c>
      <c r="M65" s="402"/>
      <c r="O65" s="406"/>
    </row>
    <row r="66" spans="2:15" ht="23.25" customHeight="1">
      <c r="B66" s="402"/>
      <c r="C66" s="457"/>
      <c r="D66" s="402"/>
      <c r="E66" s="402"/>
      <c r="F66" s="402"/>
      <c r="G66" s="402"/>
      <c r="H66" s="402"/>
      <c r="I66" s="402"/>
      <c r="J66" s="402"/>
      <c r="K66" s="402"/>
      <c r="L66" s="402"/>
      <c r="M66" s="402"/>
    </row>
    <row r="67" spans="2:15" ht="53.25" customHeight="1">
      <c r="B67" s="402"/>
      <c r="C67" s="528" t="s">
        <v>81</v>
      </c>
      <c r="D67" s="529"/>
      <c r="E67" s="529"/>
      <c r="F67" s="529"/>
      <c r="G67" s="529"/>
      <c r="H67" s="529"/>
      <c r="I67" s="529"/>
      <c r="J67" s="529"/>
      <c r="K67" s="529"/>
      <c r="L67" s="529"/>
      <c r="M67" s="402"/>
    </row>
    <row r="68" spans="2:15" ht="13.8" thickBot="1">
      <c r="B68" s="402"/>
      <c r="C68" s="448" t="s">
        <v>82</v>
      </c>
      <c r="D68" s="449"/>
      <c r="E68" s="530"/>
      <c r="F68" s="530"/>
      <c r="G68" s="450"/>
      <c r="H68" s="451"/>
      <c r="I68" s="402"/>
      <c r="J68" s="402"/>
      <c r="K68" s="402"/>
      <c r="L68" s="402"/>
      <c r="M68" s="402"/>
      <c r="O68" s="407"/>
    </row>
    <row r="69" spans="2:15" ht="13.8" thickBot="1">
      <c r="B69" s="402"/>
      <c r="C69" s="448" t="s">
        <v>58</v>
      </c>
      <c r="D69" s="452" t="s">
        <v>59</v>
      </c>
      <c r="E69" s="452" t="s">
        <v>60</v>
      </c>
      <c r="F69" s="453" t="s">
        <v>61</v>
      </c>
      <c r="G69" s="453" t="s">
        <v>62</v>
      </c>
      <c r="H69" s="453" t="s">
        <v>63</v>
      </c>
      <c r="I69" s="453" t="s">
        <v>64</v>
      </c>
      <c r="J69" s="453" t="s">
        <v>65</v>
      </c>
      <c r="K69" s="453" t="s">
        <v>66</v>
      </c>
      <c r="L69" s="402"/>
      <c r="M69" s="402"/>
    </row>
    <row r="70" spans="2:15">
      <c r="B70" s="402"/>
      <c r="C70" s="454" t="s">
        <v>83</v>
      </c>
      <c r="D70" s="455">
        <v>4014.3985484751774</v>
      </c>
      <c r="E70" s="455">
        <v>4276.4049861842705</v>
      </c>
      <c r="F70" s="455">
        <v>4266.9440584723898</v>
      </c>
      <c r="G70" s="455">
        <v>4249.3281809886448</v>
      </c>
      <c r="H70" s="455">
        <v>4258.8864410723863</v>
      </c>
      <c r="I70" s="455">
        <v>4554.6845752923846</v>
      </c>
      <c r="J70" s="455">
        <v>4588.7149674643842</v>
      </c>
      <c r="K70" s="455">
        <v>4548.7457623074679</v>
      </c>
      <c r="L70" s="402"/>
      <c r="M70" s="402"/>
    </row>
    <row r="71" spans="2:15">
      <c r="B71" s="402"/>
      <c r="C71" s="454" t="s">
        <v>84</v>
      </c>
      <c r="D71" s="455">
        <v>26.481374584366876</v>
      </c>
      <c r="E71" s="455">
        <v>0</v>
      </c>
      <c r="F71" s="455">
        <v>0</v>
      </c>
      <c r="G71" s="455">
        <v>0</v>
      </c>
      <c r="H71" s="455">
        <v>0</v>
      </c>
      <c r="I71" s="455">
        <v>0</v>
      </c>
      <c r="J71" s="455">
        <v>0</v>
      </c>
      <c r="K71" s="455">
        <v>0</v>
      </c>
      <c r="L71" s="402"/>
      <c r="M71" s="402"/>
    </row>
    <row r="72" spans="2:15">
      <c r="B72" s="402"/>
      <c r="C72" s="454" t="s">
        <v>85</v>
      </c>
      <c r="D72" s="455">
        <v>212.42711319557802</v>
      </c>
      <c r="E72" s="455">
        <v>1.5889649604528906</v>
      </c>
      <c r="F72" s="455">
        <v>1.9371656435515117</v>
      </c>
      <c r="G72" s="455">
        <v>14.654700839030934</v>
      </c>
      <c r="H72" s="455">
        <v>260.23741664922477</v>
      </c>
      <c r="I72" s="455">
        <v>13.932209297896886</v>
      </c>
      <c r="J72" s="455">
        <v>18.476860279771643</v>
      </c>
      <c r="K72" s="455">
        <v>0.81062265305823133</v>
      </c>
      <c r="L72" s="402"/>
      <c r="M72" s="402"/>
    </row>
    <row r="73" spans="2:15">
      <c r="B73" s="402"/>
      <c r="C73" s="454" t="s">
        <v>86</v>
      </c>
      <c r="D73" s="455">
        <v>161.87652174937244</v>
      </c>
      <c r="E73" s="455">
        <v>129.68850987935372</v>
      </c>
      <c r="F73" s="455">
        <v>122.43763879614492</v>
      </c>
      <c r="G73" s="455">
        <v>138.29952279737549</v>
      </c>
      <c r="H73" s="455">
        <v>187.31596685399023</v>
      </c>
      <c r="I73" s="455">
        <v>174.65287820971542</v>
      </c>
      <c r="J73" s="455">
        <v>98.727666225492442</v>
      </c>
      <c r="K73" s="455">
        <v>84.539413165009563</v>
      </c>
      <c r="L73" s="402"/>
      <c r="M73" s="402"/>
    </row>
    <row r="74" spans="2:15">
      <c r="B74" s="402"/>
      <c r="C74" s="454" t="s">
        <v>87</v>
      </c>
      <c r="D74" s="455">
        <v>-138.77857182022461</v>
      </c>
      <c r="E74" s="455">
        <v>-140.7384025516873</v>
      </c>
      <c r="F74" s="455">
        <v>-141.99068192344066</v>
      </c>
      <c r="G74" s="455">
        <v>-143.39596355266457</v>
      </c>
      <c r="H74" s="455">
        <v>-151.75524928321607</v>
      </c>
      <c r="I74" s="455">
        <v>-154.55469533561347</v>
      </c>
      <c r="J74" s="455">
        <v>-157.17373166217976</v>
      </c>
      <c r="K74" s="455">
        <v>-157.71295799739192</v>
      </c>
      <c r="L74" s="402"/>
      <c r="M74" s="402"/>
      <c r="N74" s="408"/>
    </row>
    <row r="75" spans="2:15" ht="15" customHeight="1">
      <c r="B75" s="402"/>
      <c r="C75" s="457" t="s">
        <v>88</v>
      </c>
      <c r="D75" s="458">
        <v>4276.4049861842705</v>
      </c>
      <c r="E75" s="458">
        <v>4266.9440584723898</v>
      </c>
      <c r="F75" s="458">
        <v>4249.3281809886448</v>
      </c>
      <c r="G75" s="458">
        <v>4258.8864410723863</v>
      </c>
      <c r="H75" s="458">
        <v>4554.6845752923846</v>
      </c>
      <c r="I75" s="458">
        <v>4588.7149674643842</v>
      </c>
      <c r="J75" s="458">
        <v>4548.7457623074679</v>
      </c>
      <c r="K75" s="458">
        <v>4476.3828401281435</v>
      </c>
      <c r="L75" s="402"/>
      <c r="M75" s="402"/>
    </row>
    <row r="76" spans="2:15" ht="17.25" customHeight="1" thickBot="1">
      <c r="B76" s="402"/>
      <c r="C76" s="463" t="s">
        <v>89</v>
      </c>
      <c r="D76" s="464">
        <v>293.92600602045593</v>
      </c>
      <c r="E76" s="464">
        <v>287.04559746760856</v>
      </c>
      <c r="F76" s="464">
        <v>279.83454528347545</v>
      </c>
      <c r="G76" s="464">
        <v>260.23741664922488</v>
      </c>
      <c r="H76" s="464">
        <v>13.932209297896886</v>
      </c>
      <c r="I76" s="464">
        <v>18.476860279771643</v>
      </c>
      <c r="J76" s="464">
        <v>0.81062265305823133</v>
      </c>
      <c r="K76" s="464">
        <v>0</v>
      </c>
      <c r="L76" s="402"/>
      <c r="M76" s="402"/>
    </row>
    <row r="77" spans="2:15" ht="11.25" customHeight="1">
      <c r="B77" s="402"/>
      <c r="C77" s="457"/>
      <c r="D77" s="402"/>
      <c r="E77" s="402"/>
      <c r="F77" s="402"/>
      <c r="G77" s="402"/>
      <c r="H77" s="402"/>
      <c r="I77" s="402"/>
      <c r="J77" s="402"/>
      <c r="K77" s="402"/>
      <c r="L77" s="402"/>
      <c r="M77" s="402"/>
    </row>
    <row r="78" spans="2:15" ht="13.8" thickBot="1">
      <c r="B78" s="402"/>
      <c r="C78" s="448" t="s">
        <v>90</v>
      </c>
      <c r="D78" s="449"/>
      <c r="E78" s="530"/>
      <c r="F78" s="530"/>
      <c r="G78" s="450"/>
      <c r="H78" s="451"/>
      <c r="I78" s="402"/>
      <c r="J78" s="402"/>
      <c r="K78" s="402"/>
      <c r="L78" s="402"/>
      <c r="M78" s="402"/>
      <c r="O78" s="407"/>
    </row>
    <row r="79" spans="2:15" ht="13.8" thickBot="1">
      <c r="B79" s="402"/>
      <c r="C79" s="448" t="s">
        <v>58</v>
      </c>
      <c r="D79" s="452" t="s">
        <v>59</v>
      </c>
      <c r="E79" s="452" t="s">
        <v>60</v>
      </c>
      <c r="F79" s="453" t="s">
        <v>61</v>
      </c>
      <c r="G79" s="453" t="s">
        <v>62</v>
      </c>
      <c r="H79" s="453" t="s">
        <v>63</v>
      </c>
      <c r="I79" s="453" t="s">
        <v>64</v>
      </c>
      <c r="J79" s="453" t="s">
        <v>65</v>
      </c>
      <c r="K79" s="453" t="s">
        <v>66</v>
      </c>
      <c r="L79" s="402"/>
      <c r="M79" s="402"/>
    </row>
    <row r="80" spans="2:15">
      <c r="B80" s="402"/>
      <c r="C80" s="454" t="s">
        <v>91</v>
      </c>
      <c r="D80" s="455">
        <v>4552.8726865510716</v>
      </c>
      <c r="E80" s="455">
        <v>4570.3309922047265</v>
      </c>
      <c r="F80" s="455">
        <v>4553.9896559399986</v>
      </c>
      <c r="G80" s="455">
        <v>4529.1627262721213</v>
      </c>
      <c r="H80" s="455">
        <v>4519.1238577216127</v>
      </c>
      <c r="I80" s="455">
        <v>4568.6167845902837</v>
      </c>
      <c r="J80" s="455">
        <v>4607.1918277441573</v>
      </c>
      <c r="K80" s="455">
        <v>4549.5563849605278</v>
      </c>
      <c r="L80" s="402"/>
      <c r="M80" s="402"/>
    </row>
    <row r="81" spans="2:14">
      <c r="B81" s="402"/>
      <c r="C81" s="454" t="s">
        <v>84</v>
      </c>
      <c r="D81" s="455">
        <v>26.481374584366876</v>
      </c>
      <c r="E81" s="455"/>
      <c r="F81" s="455"/>
      <c r="G81" s="455"/>
      <c r="H81" s="455"/>
      <c r="I81" s="455"/>
      <c r="J81" s="455"/>
      <c r="K81" s="455"/>
      <c r="L81" s="402"/>
      <c r="M81" s="402"/>
    </row>
    <row r="82" spans="2:14">
      <c r="B82" s="402"/>
      <c r="C82" s="454" t="s">
        <v>86</v>
      </c>
      <c r="D82" s="455">
        <v>136.98411212545847</v>
      </c>
      <c r="E82" s="455">
        <v>131.62567552290523</v>
      </c>
      <c r="F82" s="455">
        <v>124.39236149150932</v>
      </c>
      <c r="G82" s="455">
        <v>140.27196166882248</v>
      </c>
      <c r="H82" s="455">
        <v>201.24817615188712</v>
      </c>
      <c r="I82" s="455">
        <v>193.12973848948707</v>
      </c>
      <c r="J82" s="455">
        <v>99.538288878550674</v>
      </c>
      <c r="K82" s="455">
        <v>84.539413165009563</v>
      </c>
      <c r="L82" s="402"/>
      <c r="M82" s="402"/>
    </row>
    <row r="83" spans="2:14">
      <c r="B83" s="402"/>
      <c r="C83" s="454" t="s">
        <v>92</v>
      </c>
      <c r="D83" s="455">
        <v>-146.00718105617065</v>
      </c>
      <c r="E83" s="455">
        <v>-144.36975574875839</v>
      </c>
      <c r="F83" s="455">
        <v>-142.74006823430389</v>
      </c>
      <c r="G83" s="455">
        <v>-141.1107708765563</v>
      </c>
      <c r="H83" s="455">
        <v>-139.48186721161059</v>
      </c>
      <c r="I83" s="455">
        <v>-138.1187362228082</v>
      </c>
      <c r="J83" s="455">
        <v>-136.85659747804749</v>
      </c>
      <c r="K83" s="455">
        <v>-135.20187567491539</v>
      </c>
      <c r="L83" s="402"/>
      <c r="M83" s="402"/>
    </row>
    <row r="84" spans="2:14">
      <c r="B84" s="402"/>
      <c r="C84" s="454" t="s">
        <v>93</v>
      </c>
      <c r="D84" s="455">
        <v>0</v>
      </c>
      <c r="E84" s="455">
        <v>-3.5972560388749431</v>
      </c>
      <c r="F84" s="455">
        <v>-6.4792229250828033</v>
      </c>
      <c r="G84" s="455">
        <v>-9.2000593427749138</v>
      </c>
      <c r="H84" s="455">
        <v>-12.27338207160548</v>
      </c>
      <c r="I84" s="455">
        <v>-16.435959112805264</v>
      </c>
      <c r="J84" s="455">
        <v>-20.317134184132275</v>
      </c>
      <c r="K84" s="455">
        <v>-22.51108232247655</v>
      </c>
      <c r="L84" s="402"/>
      <c r="M84" s="402"/>
      <c r="N84" s="408"/>
    </row>
    <row r="85" spans="2:14" ht="13.8" thickBot="1">
      <c r="B85" s="402"/>
      <c r="C85" s="448" t="s">
        <v>94</v>
      </c>
      <c r="D85" s="461">
        <v>4570.3309922047265</v>
      </c>
      <c r="E85" s="461">
        <v>4553.9896559399986</v>
      </c>
      <c r="F85" s="461">
        <v>4529.1627262721213</v>
      </c>
      <c r="G85" s="461">
        <v>4519.1238577216127</v>
      </c>
      <c r="H85" s="461">
        <v>4568.6167845902837</v>
      </c>
      <c r="I85" s="461">
        <v>4607.1918277441573</v>
      </c>
      <c r="J85" s="461">
        <v>4549.5563849605278</v>
      </c>
      <c r="K85" s="461">
        <v>4476.3828401281444</v>
      </c>
      <c r="L85" s="402"/>
      <c r="M85" s="402"/>
      <c r="N85" s="409"/>
    </row>
    <row r="86" spans="2:14">
      <c r="B86" s="402"/>
      <c r="C86" s="457"/>
      <c r="D86" s="458"/>
      <c r="E86" s="458"/>
      <c r="F86" s="458"/>
      <c r="G86" s="458"/>
      <c r="H86" s="458"/>
      <c r="I86" s="458"/>
      <c r="J86" s="458"/>
      <c r="K86" s="458"/>
      <c r="L86" s="402"/>
      <c r="M86" s="402"/>
      <c r="N86" s="409"/>
    </row>
    <row r="87" spans="2:14">
      <c r="C87" s="404"/>
      <c r="D87" s="410"/>
      <c r="E87" s="410"/>
      <c r="F87" s="410"/>
      <c r="G87" s="410"/>
      <c r="H87" s="410"/>
      <c r="I87" s="410"/>
      <c r="J87" s="410"/>
      <c r="K87" s="410"/>
      <c r="L87" s="410"/>
      <c r="M87" s="410"/>
    </row>
    <row r="88" spans="2:14" ht="23.4">
      <c r="B88" s="400">
        <v>4</v>
      </c>
      <c r="C88" s="430" t="s">
        <v>95</v>
      </c>
      <c r="D88" s="462"/>
      <c r="E88" s="462"/>
      <c r="F88" s="462"/>
      <c r="G88" s="462"/>
      <c r="H88" s="462"/>
      <c r="I88" s="462"/>
      <c r="J88" s="462"/>
      <c r="K88" s="462"/>
      <c r="L88" s="462"/>
      <c r="M88" s="462"/>
    </row>
    <row r="89" spans="2:14" ht="62.25" customHeight="1">
      <c r="B89" s="400"/>
      <c r="C89" s="528" t="s">
        <v>96</v>
      </c>
      <c r="D89" s="528"/>
      <c r="E89" s="528"/>
      <c r="F89" s="528"/>
      <c r="G89" s="528"/>
      <c r="H89" s="528"/>
      <c r="I89" s="528"/>
      <c r="J89" s="528"/>
      <c r="K89" s="528"/>
      <c r="L89" s="528"/>
      <c r="M89" s="462"/>
    </row>
    <row r="90" spans="2:14" ht="15" customHeight="1">
      <c r="B90" s="400"/>
      <c r="C90" s="505"/>
      <c r="D90" s="505"/>
      <c r="E90" s="505"/>
      <c r="F90" s="505"/>
      <c r="G90" s="505"/>
      <c r="H90" s="505"/>
      <c r="I90" s="505"/>
      <c r="J90" s="505"/>
      <c r="K90" s="505"/>
      <c r="L90" s="505"/>
      <c r="M90" s="462"/>
    </row>
    <row r="91" spans="2:14" ht="13.8" thickBot="1">
      <c r="B91" s="402"/>
      <c r="C91" s="448" t="s">
        <v>97</v>
      </c>
      <c r="D91" s="449"/>
      <c r="E91" s="530"/>
      <c r="F91" s="530"/>
      <c r="G91" s="450"/>
      <c r="H91" s="451"/>
      <c r="I91" s="402"/>
      <c r="J91" s="402"/>
      <c r="K91" s="402"/>
      <c r="L91" s="402"/>
      <c r="M91" s="402"/>
    </row>
    <row r="92" spans="2:14" ht="13.8" thickBot="1">
      <c r="B92" s="402"/>
      <c r="C92" s="448" t="s">
        <v>58</v>
      </c>
      <c r="D92" s="452" t="s">
        <v>59</v>
      </c>
      <c r="E92" s="452" t="s">
        <v>60</v>
      </c>
      <c r="F92" s="453" t="s">
        <v>61</v>
      </c>
      <c r="G92" s="453" t="s">
        <v>62</v>
      </c>
      <c r="H92" s="453" t="s">
        <v>63</v>
      </c>
      <c r="I92" s="453" t="s">
        <v>64</v>
      </c>
      <c r="J92" s="453" t="s">
        <v>65</v>
      </c>
      <c r="K92" s="453" t="s">
        <v>66</v>
      </c>
      <c r="L92" s="465"/>
      <c r="M92" s="402"/>
    </row>
    <row r="93" spans="2:14">
      <c r="B93" s="402"/>
      <c r="C93" s="454" t="s">
        <v>79</v>
      </c>
      <c r="D93" s="455">
        <v>61.581501976631344</v>
      </c>
      <c r="E93" s="455">
        <v>61.848854438240252</v>
      </c>
      <c r="F93" s="455">
        <v>63.66056444900282</v>
      </c>
      <c r="G93" s="455">
        <v>71.061558693651662</v>
      </c>
      <c r="H93" s="455">
        <v>86.919028606122794</v>
      </c>
      <c r="I93" s="455">
        <v>82.416792444856242</v>
      </c>
      <c r="J93" s="455">
        <v>62.977032182016117</v>
      </c>
      <c r="K93" s="455">
        <v>57.365129857140253</v>
      </c>
      <c r="L93" s="454"/>
      <c r="M93" s="402"/>
    </row>
    <row r="94" spans="2:14">
      <c r="B94" s="402"/>
      <c r="C94" s="454" t="s">
        <v>98</v>
      </c>
      <c r="D94" s="455">
        <v>110.11544616012048</v>
      </c>
      <c r="E94" s="455">
        <v>110.29121834911521</v>
      </c>
      <c r="F94" s="455">
        <v>110.32860169190292</v>
      </c>
      <c r="G94" s="455">
        <v>110.3596633646699</v>
      </c>
      <c r="H94" s="455">
        <v>110.27343835902431</v>
      </c>
      <c r="I94" s="455">
        <v>110.27662588032852</v>
      </c>
      <c r="J94" s="455">
        <v>110.30420904525512</v>
      </c>
      <c r="K94" s="455">
        <v>110.31067350058066</v>
      </c>
      <c r="L94" s="456"/>
      <c r="M94" s="402"/>
    </row>
    <row r="95" spans="2:14">
      <c r="B95" s="402"/>
      <c r="C95" s="454" t="s">
        <v>99</v>
      </c>
      <c r="D95" s="455">
        <v>40.732299345663577</v>
      </c>
      <c r="E95" s="455">
        <v>41.12625327102468</v>
      </c>
      <c r="F95" s="455">
        <v>64.595975561248082</v>
      </c>
      <c r="G95" s="455">
        <v>65.205446389282784</v>
      </c>
      <c r="H95" s="455">
        <v>65.622359158650369</v>
      </c>
      <c r="I95" s="455">
        <v>41.314330162947535</v>
      </c>
      <c r="J95" s="455">
        <v>41.815087534655902</v>
      </c>
      <c r="K95" s="455">
        <v>42.288673842340927</v>
      </c>
      <c r="L95" s="456"/>
      <c r="M95" s="402"/>
    </row>
    <row r="96" spans="2:14">
      <c r="B96" s="402"/>
      <c r="C96" s="454" t="s">
        <v>100</v>
      </c>
      <c r="D96" s="455">
        <v>0</v>
      </c>
      <c r="E96" s="455">
        <v>0</v>
      </c>
      <c r="F96" s="455">
        <v>0</v>
      </c>
      <c r="G96" s="455">
        <v>0</v>
      </c>
      <c r="H96" s="455">
        <v>0</v>
      </c>
      <c r="I96" s="455">
        <v>0</v>
      </c>
      <c r="J96" s="455">
        <v>0</v>
      </c>
      <c r="K96" s="455">
        <v>0</v>
      </c>
      <c r="L96" s="402"/>
      <c r="M96" s="402"/>
    </row>
    <row r="97" spans="2:22">
      <c r="B97" s="402"/>
      <c r="C97" s="454" t="s">
        <v>101</v>
      </c>
      <c r="D97" s="455">
        <v>-1.1295718210052881</v>
      </c>
      <c r="E97" s="455">
        <v>-1.1444007312827327</v>
      </c>
      <c r="F97" s="455">
        <v>-1.1763817360750837</v>
      </c>
      <c r="G97" s="455">
        <v>-1.5927557463957538</v>
      </c>
      <c r="H97" s="455">
        <v>-1.8565667598967892</v>
      </c>
      <c r="I97" s="455">
        <v>-1.2720416735170967</v>
      </c>
      <c r="J97" s="455">
        <v>-1.1039739947823475</v>
      </c>
      <c r="K97" s="455">
        <v>-1.0183113265477766</v>
      </c>
      <c r="L97" s="402"/>
      <c r="M97" s="402"/>
    </row>
    <row r="98" spans="2:22">
      <c r="B98" s="402"/>
      <c r="C98" s="454" t="s">
        <v>102</v>
      </c>
      <c r="D98" s="455">
        <v>8.7831945558188433</v>
      </c>
      <c r="E98" s="455">
        <v>10.91043461366379</v>
      </c>
      <c r="F98" s="455">
        <v>13.964540721505402</v>
      </c>
      <c r="G98" s="455">
        <v>15.07612609600179</v>
      </c>
      <c r="H98" s="455">
        <v>22.924107928921607</v>
      </c>
      <c r="I98" s="455">
        <v>20.864315895780027</v>
      </c>
      <c r="J98" s="455">
        <v>23.83755563863944</v>
      </c>
      <c r="K98" s="455">
        <v>25.499977998546434</v>
      </c>
      <c r="L98" s="402"/>
      <c r="M98" s="402"/>
    </row>
    <row r="99" spans="2:22">
      <c r="B99" s="402"/>
      <c r="C99" s="454" t="s">
        <v>103</v>
      </c>
      <c r="D99" s="455">
        <v>321.4449174397721</v>
      </c>
      <c r="E99" s="455">
        <v>318.62185194400502</v>
      </c>
      <c r="F99" s="455">
        <v>314.9743006073378</v>
      </c>
      <c r="G99" s="455">
        <v>312.11481042617743</v>
      </c>
      <c r="H99" s="455">
        <v>326.99884005274174</v>
      </c>
      <c r="I99" s="455">
        <v>322.86884788738558</v>
      </c>
      <c r="J99" s="455">
        <v>316.37049076341935</v>
      </c>
      <c r="K99" s="455">
        <v>301.27454538938423</v>
      </c>
      <c r="L99" s="402"/>
      <c r="M99" s="402"/>
    </row>
    <row r="100" spans="2:22">
      <c r="B100" s="402"/>
      <c r="C100" s="454" t="s">
        <v>104</v>
      </c>
      <c r="D100" s="455">
        <v>-10.027345371070586</v>
      </c>
      <c r="E100" s="455">
        <v>-9.3482575493410867</v>
      </c>
      <c r="F100" s="455">
        <v>-9.1612947215419069</v>
      </c>
      <c r="G100" s="455">
        <v>-8.8671569959241605</v>
      </c>
      <c r="H100" s="455">
        <v>10.234198697361323</v>
      </c>
      <c r="I100" s="455">
        <v>10.729654011093789</v>
      </c>
      <c r="J100" s="455">
        <v>11.215340521736231</v>
      </c>
      <c r="K100" s="455">
        <v>11.71820819269265</v>
      </c>
      <c r="L100" s="402"/>
      <c r="M100" s="402"/>
    </row>
    <row r="101" spans="2:22">
      <c r="B101" s="402"/>
      <c r="C101" s="457" t="s">
        <v>105</v>
      </c>
      <c r="D101" s="458">
        <v>531.50044228593038</v>
      </c>
      <c r="E101" s="458">
        <v>532.30595433542521</v>
      </c>
      <c r="F101" s="458">
        <v>557.18630657338008</v>
      </c>
      <c r="G101" s="458">
        <v>563.35769222746364</v>
      </c>
      <c r="H101" s="458">
        <v>621.11540604292531</v>
      </c>
      <c r="I101" s="458">
        <v>587.19852460887455</v>
      </c>
      <c r="J101" s="458">
        <v>565.41574169093985</v>
      </c>
      <c r="K101" s="458">
        <v>547.4388974541373</v>
      </c>
      <c r="L101" s="402"/>
      <c r="M101" s="402"/>
    </row>
    <row r="102" spans="2:22">
      <c r="B102" s="402"/>
      <c r="C102" s="454" t="s">
        <v>106</v>
      </c>
      <c r="D102" s="455">
        <v>3.5</v>
      </c>
      <c r="E102" s="455">
        <v>2.9</v>
      </c>
      <c r="F102" s="455">
        <v>3</v>
      </c>
      <c r="G102" s="455">
        <v>3.1</v>
      </c>
      <c r="H102" s="455">
        <v>3</v>
      </c>
      <c r="I102" s="455">
        <v>3</v>
      </c>
      <c r="J102" s="455">
        <v>3</v>
      </c>
      <c r="K102" s="455">
        <v>3</v>
      </c>
      <c r="L102" s="402"/>
      <c r="M102" s="402"/>
      <c r="N102" s="408"/>
    </row>
    <row r="103" spans="2:22" ht="13.8" thickBot="1">
      <c r="B103" s="402"/>
      <c r="C103" s="448" t="s">
        <v>107</v>
      </c>
      <c r="D103" s="461">
        <v>535.00044228593038</v>
      </c>
      <c r="E103" s="461">
        <v>535.20595433542519</v>
      </c>
      <c r="F103" s="461">
        <v>560.18630657338008</v>
      </c>
      <c r="G103" s="461">
        <v>566.45769222746367</v>
      </c>
      <c r="H103" s="461">
        <v>624.11540604292531</v>
      </c>
      <c r="I103" s="461">
        <v>590.19852460887455</v>
      </c>
      <c r="J103" s="461">
        <v>568.41574169093985</v>
      </c>
      <c r="K103" s="461">
        <v>550.4388974541373</v>
      </c>
      <c r="L103" s="402"/>
      <c r="M103" s="402"/>
      <c r="N103" s="409"/>
    </row>
    <row r="104" spans="2:22">
      <c r="B104" s="402"/>
      <c r="C104" s="457"/>
      <c r="D104" s="458"/>
      <c r="E104" s="458"/>
      <c r="F104" s="458"/>
      <c r="G104" s="458"/>
      <c r="H104" s="458"/>
      <c r="I104" s="458"/>
      <c r="J104" s="458"/>
      <c r="K104" s="458"/>
      <c r="L104" s="402"/>
      <c r="M104" s="402"/>
      <c r="N104" s="409"/>
    </row>
    <row r="105" spans="2:22" ht="38.25" customHeight="1">
      <c r="B105" s="402"/>
      <c r="C105" s="528" t="s">
        <v>108</v>
      </c>
      <c r="D105" s="528"/>
      <c r="E105" s="528"/>
      <c r="F105" s="528"/>
      <c r="G105" s="528"/>
      <c r="H105" s="528"/>
      <c r="I105" s="528"/>
      <c r="J105" s="528"/>
      <c r="K105" s="528"/>
      <c r="L105" s="528"/>
      <c r="M105" s="402"/>
      <c r="N105" s="409"/>
    </row>
    <row r="106" spans="2:22" ht="7.5" customHeight="1" thickBot="1">
      <c r="B106" s="402"/>
      <c r="C106" s="448"/>
      <c r="D106" s="458"/>
      <c r="E106" s="458"/>
      <c r="F106" s="466"/>
      <c r="G106" s="466"/>
      <c r="H106" s="466"/>
      <c r="I106" s="466"/>
      <c r="J106" s="466"/>
      <c r="K106" s="458"/>
      <c r="L106" s="402"/>
      <c r="M106" s="402"/>
      <c r="N106" s="409"/>
    </row>
    <row r="107" spans="2:22" ht="13.8" thickBot="1">
      <c r="B107" s="402"/>
      <c r="C107" s="448" t="s">
        <v>109</v>
      </c>
      <c r="D107" s="462"/>
      <c r="E107" s="462"/>
      <c r="F107" s="448"/>
      <c r="G107" s="448"/>
      <c r="H107" s="448"/>
      <c r="I107" s="448"/>
      <c r="J107" s="448"/>
      <c r="K107" s="402"/>
      <c r="L107" s="402"/>
      <c r="M107" s="402"/>
    </row>
    <row r="108" spans="2:22" ht="13.8" thickBot="1">
      <c r="B108" s="402"/>
      <c r="C108" s="467" t="s">
        <v>58</v>
      </c>
      <c r="D108" s="453" t="s">
        <v>59</v>
      </c>
      <c r="E108" s="453" t="s">
        <v>60</v>
      </c>
      <c r="F108" s="453" t="s">
        <v>61</v>
      </c>
      <c r="G108" s="453" t="s">
        <v>62</v>
      </c>
      <c r="H108" s="453" t="s">
        <v>63</v>
      </c>
      <c r="I108" s="453" t="s">
        <v>64</v>
      </c>
      <c r="J108" s="453" t="s">
        <v>65</v>
      </c>
      <c r="K108" s="453" t="s">
        <v>66</v>
      </c>
      <c r="L108" s="402"/>
      <c r="M108" s="462"/>
      <c r="N108" s="410"/>
      <c r="O108" s="410"/>
      <c r="V108" s="411"/>
    </row>
    <row r="109" spans="2:22">
      <c r="B109" s="402"/>
      <c r="C109" s="454" t="s">
        <v>110</v>
      </c>
      <c r="D109" s="455">
        <v>538.68614139232659</v>
      </c>
      <c r="E109" s="455">
        <v>542.92673270130729</v>
      </c>
      <c r="F109" s="455">
        <v>547.96393826079861</v>
      </c>
      <c r="G109" s="455">
        <v>580.56778765647073</v>
      </c>
      <c r="H109" s="455">
        <v>658.61582706975355</v>
      </c>
      <c r="I109" s="455">
        <v>626.86553438812439</v>
      </c>
      <c r="J109" s="455">
        <v>621.71896646768869</v>
      </c>
      <c r="K109" s="455">
        <v>620.33146114939325</v>
      </c>
      <c r="L109" s="402"/>
      <c r="M109" s="462"/>
      <c r="N109" s="410"/>
      <c r="O109" s="410"/>
      <c r="V109" s="411"/>
    </row>
    <row r="110" spans="2:22">
      <c r="B110" s="402"/>
      <c r="C110" s="457" t="s">
        <v>111</v>
      </c>
      <c r="D110" s="458">
        <v>0</v>
      </c>
      <c r="E110" s="458">
        <v>7.660590030135495</v>
      </c>
      <c r="F110" s="458">
        <v>9.903155913025671</v>
      </c>
      <c r="G110" s="458">
        <v>10.462384566159812</v>
      </c>
      <c r="H110" s="458">
        <v>5.9179485259908233</v>
      </c>
      <c r="I110" s="458">
        <v>-100.20929972541376</v>
      </c>
      <c r="J110" s="458">
        <v>-111.6481665929054</v>
      </c>
      <c r="K110" s="458">
        <v>-64.577865730699045</v>
      </c>
      <c r="L110" s="402"/>
      <c r="M110" s="462"/>
      <c r="N110" s="410"/>
      <c r="O110" s="410"/>
      <c r="V110" s="411"/>
    </row>
    <row r="111" spans="2:22">
      <c r="B111" s="402"/>
      <c r="C111" s="454" t="s">
        <v>112</v>
      </c>
      <c r="D111" s="455">
        <v>538.68614139232659</v>
      </c>
      <c r="E111" s="455">
        <v>550.58732273144278</v>
      </c>
      <c r="F111" s="455">
        <v>557.86709417382428</v>
      </c>
      <c r="G111" s="455">
        <v>591.03017222263054</v>
      </c>
      <c r="H111" s="455">
        <v>664.53377559574437</v>
      </c>
      <c r="I111" s="455">
        <v>526.65623466271063</v>
      </c>
      <c r="J111" s="455">
        <v>510.07079987478329</v>
      </c>
      <c r="K111" s="455">
        <v>555.7535954186942</v>
      </c>
      <c r="L111" s="402"/>
      <c r="M111" s="462"/>
      <c r="N111" s="410"/>
      <c r="O111" s="410"/>
      <c r="V111" s="411"/>
    </row>
    <row r="112" spans="2:22">
      <c r="B112" s="402"/>
      <c r="C112" s="468" t="s">
        <v>113</v>
      </c>
      <c r="D112" s="455"/>
      <c r="E112" s="455"/>
      <c r="F112" s="455"/>
      <c r="G112" s="455"/>
      <c r="H112" s="458"/>
      <c r="I112" s="402"/>
      <c r="J112" s="455"/>
      <c r="K112" s="458">
        <v>5135.7072664706538</v>
      </c>
      <c r="L112" s="402"/>
      <c r="M112" s="462"/>
      <c r="N112" s="410"/>
      <c r="O112" s="410"/>
      <c r="V112" s="411"/>
    </row>
    <row r="113" spans="2:22">
      <c r="B113" s="402"/>
      <c r="C113" s="454" t="s">
        <v>114</v>
      </c>
      <c r="D113" s="455">
        <v>531.50044228593038</v>
      </c>
      <c r="E113" s="455">
        <v>532.30595433542521</v>
      </c>
      <c r="F113" s="455">
        <v>557.18630657338008</v>
      </c>
      <c r="G113" s="455">
        <v>563.35769222746364</v>
      </c>
      <c r="H113" s="455">
        <v>621.11540604292531</v>
      </c>
      <c r="I113" s="455">
        <v>587.19852460887455</v>
      </c>
      <c r="J113" s="455">
        <v>565.41574169093985</v>
      </c>
      <c r="K113" s="455">
        <v>547.4388974541373</v>
      </c>
      <c r="L113" s="402"/>
      <c r="M113" s="402"/>
      <c r="V113" s="411"/>
    </row>
    <row r="114" spans="2:22" ht="13.8" thickBot="1">
      <c r="B114" s="402"/>
      <c r="C114" s="448" t="s">
        <v>113</v>
      </c>
      <c r="D114" s="461"/>
      <c r="E114" s="461"/>
      <c r="F114" s="461"/>
      <c r="G114" s="461"/>
      <c r="H114" s="461"/>
      <c r="I114" s="461"/>
      <c r="J114" s="461"/>
      <c r="K114" s="461">
        <v>5133.4288214334283</v>
      </c>
      <c r="L114" s="402"/>
      <c r="M114" s="402"/>
      <c r="V114" s="411"/>
    </row>
    <row r="115" spans="2:22">
      <c r="B115" s="402"/>
      <c r="C115" s="402"/>
      <c r="D115" s="402"/>
      <c r="E115" s="470"/>
      <c r="F115" s="470"/>
      <c r="G115" s="470"/>
      <c r="H115" s="470"/>
      <c r="I115" s="470"/>
      <c r="J115" s="470"/>
      <c r="K115" s="470"/>
      <c r="L115" s="402"/>
      <c r="M115" s="402"/>
      <c r="V115" s="411"/>
    </row>
    <row r="116" spans="2:22">
      <c r="B116" s="402"/>
      <c r="C116" s="469"/>
      <c r="D116" s="402"/>
      <c r="E116" s="470"/>
      <c r="F116" s="470"/>
      <c r="G116" s="470"/>
      <c r="H116" s="470"/>
      <c r="I116" s="470"/>
      <c r="J116" s="470"/>
      <c r="K116" s="470"/>
      <c r="L116" s="402"/>
      <c r="M116" s="402"/>
      <c r="V116" s="411"/>
    </row>
    <row r="117" spans="2:22">
      <c r="C117" s="412"/>
      <c r="E117" s="407"/>
      <c r="F117" s="407"/>
      <c r="G117" s="407"/>
      <c r="H117" s="407"/>
      <c r="I117" s="407"/>
      <c r="J117" s="407"/>
      <c r="K117" s="407"/>
      <c r="V117" s="411"/>
    </row>
    <row r="118" spans="2:22" ht="23.4">
      <c r="B118" s="400">
        <v>5</v>
      </c>
      <c r="C118" s="430" t="s">
        <v>115</v>
      </c>
      <c r="D118" s="402"/>
      <c r="E118" s="402"/>
      <c r="F118" s="402"/>
      <c r="G118" s="402"/>
      <c r="H118" s="402"/>
      <c r="I118" s="402"/>
      <c r="J118" s="402"/>
      <c r="K118" s="402"/>
      <c r="L118" s="402"/>
      <c r="M118" s="402"/>
    </row>
    <row r="119" spans="2:22" ht="142.5" customHeight="1">
      <c r="B119" s="400"/>
      <c r="C119" s="528" t="s">
        <v>116</v>
      </c>
      <c r="D119" s="529"/>
      <c r="E119" s="529"/>
      <c r="F119" s="529"/>
      <c r="G119" s="529"/>
      <c r="H119" s="529"/>
      <c r="I119" s="529"/>
      <c r="J119" s="529"/>
      <c r="K119" s="529"/>
      <c r="L119" s="529"/>
      <c r="M119" s="402"/>
    </row>
    <row r="120" spans="2:22" ht="13.8" thickBot="1">
      <c r="B120" s="402"/>
      <c r="C120" s="448"/>
      <c r="D120" s="402"/>
      <c r="E120" s="402"/>
      <c r="F120" s="402"/>
      <c r="G120" s="402"/>
      <c r="H120" s="402"/>
      <c r="I120" s="402"/>
      <c r="J120" s="402"/>
      <c r="K120" s="402"/>
      <c r="L120" s="402"/>
      <c r="M120" s="402"/>
    </row>
    <row r="121" spans="2:22" ht="13.8" thickBot="1">
      <c r="B121" s="402"/>
      <c r="C121" s="448" t="s">
        <v>117</v>
      </c>
      <c r="D121" s="449"/>
      <c r="E121" s="530"/>
      <c r="F121" s="530"/>
      <c r="G121" s="450"/>
      <c r="H121" s="451"/>
      <c r="I121" s="402"/>
      <c r="J121" s="402"/>
      <c r="K121" s="402"/>
      <c r="L121" s="402"/>
      <c r="M121" s="402"/>
    </row>
    <row r="122" spans="2:22" ht="13.8" thickBot="1">
      <c r="B122" s="402"/>
      <c r="C122" s="448" t="s">
        <v>58</v>
      </c>
      <c r="D122" s="452" t="s">
        <v>59</v>
      </c>
      <c r="E122" s="452" t="s">
        <v>60</v>
      </c>
      <c r="F122" s="453" t="s">
        <v>61</v>
      </c>
      <c r="G122" s="453" t="s">
        <v>62</v>
      </c>
      <c r="H122" s="453" t="s">
        <v>63</v>
      </c>
      <c r="I122" s="453" t="s">
        <v>64</v>
      </c>
      <c r="J122" s="453" t="s">
        <v>65</v>
      </c>
      <c r="K122" s="453" t="s">
        <v>66</v>
      </c>
      <c r="L122" s="453" t="s">
        <v>118</v>
      </c>
      <c r="M122" s="402"/>
    </row>
    <row r="123" spans="2:22">
      <c r="B123" s="402"/>
      <c r="C123" s="454"/>
      <c r="D123" s="455"/>
      <c r="E123" s="455"/>
      <c r="F123" s="455"/>
      <c r="G123" s="455"/>
      <c r="H123" s="455"/>
      <c r="I123" s="455"/>
      <c r="J123" s="455"/>
      <c r="K123" s="455"/>
      <c r="L123" s="478"/>
      <c r="M123" s="402"/>
    </row>
    <row r="124" spans="2:22">
      <c r="B124" s="402"/>
      <c r="C124" s="454" t="s">
        <v>119</v>
      </c>
      <c r="D124" s="455">
        <v>40.890021141667965</v>
      </c>
      <c r="E124" s="455">
        <v>32.351829890223328</v>
      </c>
      <c r="F124" s="455">
        <v>25.116516710766533</v>
      </c>
      <c r="G124" s="455">
        <v>24.687879003225049</v>
      </c>
      <c r="H124" s="455">
        <v>22.172921559294188</v>
      </c>
      <c r="I124" s="455">
        <v>18.014704063893184</v>
      </c>
      <c r="J124" s="455">
        <v>19.248419251200154</v>
      </c>
      <c r="K124" s="455">
        <v>16.625252452632346</v>
      </c>
      <c r="L124" s="479">
        <v>199.10754407290273</v>
      </c>
      <c r="M124" s="402"/>
      <c r="N124" s="410"/>
    </row>
    <row r="125" spans="2:22">
      <c r="B125" s="402"/>
      <c r="C125" s="454" t="s">
        <v>120</v>
      </c>
      <c r="D125" s="455">
        <v>44.096952058814921</v>
      </c>
      <c r="E125" s="455">
        <v>46.269433311823683</v>
      </c>
      <c r="F125" s="455">
        <v>50.602500247903464</v>
      </c>
      <c r="G125" s="455">
        <v>51.965523419215508</v>
      </c>
      <c r="H125" s="455">
        <v>51.12111996589703</v>
      </c>
      <c r="I125" s="455">
        <v>49.539820913563602</v>
      </c>
      <c r="J125" s="455">
        <v>48.655604989055703</v>
      </c>
      <c r="K125" s="455">
        <v>49.763707375013652</v>
      </c>
      <c r="L125" s="479">
        <v>392.01466228128754</v>
      </c>
      <c r="M125" s="402"/>
      <c r="N125" s="410"/>
    </row>
    <row r="126" spans="2:22">
      <c r="B126" s="402"/>
      <c r="C126" s="457" t="s">
        <v>71</v>
      </c>
      <c r="D126" s="458">
        <v>84.986973200482879</v>
      </c>
      <c r="E126" s="458">
        <v>78.621263202047004</v>
      </c>
      <c r="F126" s="458">
        <v>75.719016958669997</v>
      </c>
      <c r="G126" s="458">
        <v>76.653402422440564</v>
      </c>
      <c r="H126" s="458">
        <v>73.294041525191219</v>
      </c>
      <c r="I126" s="458">
        <v>67.554524977456794</v>
      </c>
      <c r="J126" s="458">
        <v>67.904024240255865</v>
      </c>
      <c r="K126" s="458">
        <v>66.388959827646005</v>
      </c>
      <c r="L126" s="458">
        <v>591.12220635419044</v>
      </c>
      <c r="M126" s="402"/>
      <c r="N126" s="410"/>
    </row>
    <row r="127" spans="2:22">
      <c r="B127" s="402"/>
      <c r="C127" s="454" t="s">
        <v>72</v>
      </c>
      <c r="D127" s="455">
        <v>12.599998764732902</v>
      </c>
      <c r="E127" s="455">
        <v>1.4289898487291453E-2</v>
      </c>
      <c r="F127" s="455">
        <v>2.4813667018623136</v>
      </c>
      <c r="G127" s="455">
        <v>3.2806494803355264</v>
      </c>
      <c r="H127" s="455">
        <v>1.9574886491515571</v>
      </c>
      <c r="I127" s="455">
        <v>14.817833548212064</v>
      </c>
      <c r="J127" s="455">
        <v>15.411555808427465</v>
      </c>
      <c r="K127" s="455">
        <v>11.021111160857046</v>
      </c>
      <c r="L127" s="479">
        <v>61.584294012066167</v>
      </c>
      <c r="M127" s="402"/>
      <c r="N127" s="410"/>
    </row>
    <row r="128" spans="2:22">
      <c r="B128" s="402"/>
      <c r="C128" s="457" t="s">
        <v>73</v>
      </c>
      <c r="D128" s="458">
        <v>97.586971965215781</v>
      </c>
      <c r="E128" s="458">
        <v>78.635553100534295</v>
      </c>
      <c r="F128" s="458">
        <v>78.20038366053231</v>
      </c>
      <c r="G128" s="458">
        <v>79.934051902776091</v>
      </c>
      <c r="H128" s="458">
        <v>75.251530174342776</v>
      </c>
      <c r="I128" s="458">
        <v>82.372358525668858</v>
      </c>
      <c r="J128" s="458">
        <v>83.31558004868333</v>
      </c>
      <c r="K128" s="458">
        <v>77.410070988503051</v>
      </c>
      <c r="L128" s="458">
        <v>652.70650036625648</v>
      </c>
      <c r="M128" s="402"/>
    </row>
    <row r="129" spans="2:14">
      <c r="B129" s="402"/>
      <c r="C129" s="457"/>
      <c r="D129" s="458"/>
      <c r="E129" s="458"/>
      <c r="F129" s="458"/>
      <c r="G129" s="458"/>
      <c r="H129" s="458"/>
      <c r="I129" s="458"/>
      <c r="J129" s="458"/>
      <c r="K129" s="458"/>
      <c r="L129" s="456"/>
      <c r="M129" s="402"/>
    </row>
    <row r="130" spans="2:14">
      <c r="B130" s="402"/>
      <c r="C130" s="454" t="s">
        <v>121</v>
      </c>
      <c r="D130" s="455">
        <v>17.708206798473</v>
      </c>
      <c r="E130" s="455">
        <v>27.278753771610219</v>
      </c>
      <c r="F130" s="455">
        <v>35.75243758954386</v>
      </c>
      <c r="G130" s="455">
        <v>26.81232176716134</v>
      </c>
      <c r="H130" s="455">
        <v>20.750828623113414</v>
      </c>
      <c r="I130" s="455">
        <v>24.906302843121455</v>
      </c>
      <c r="J130" s="455">
        <v>32.094958211103815</v>
      </c>
      <c r="K130" s="455">
        <v>26.804437578569235</v>
      </c>
      <c r="L130" s="479">
        <v>212.10824718269637</v>
      </c>
      <c r="M130" s="402"/>
      <c r="N130" s="410"/>
    </row>
    <row r="131" spans="2:14">
      <c r="B131" s="402"/>
      <c r="C131" s="454" t="s">
        <v>76</v>
      </c>
      <c r="D131" s="455">
        <v>41.699866198630083</v>
      </c>
      <c r="E131" s="455">
        <v>46.51847835898819</v>
      </c>
      <c r="F131" s="455">
        <v>47.63954440588418</v>
      </c>
      <c r="G131" s="455">
        <v>48.004193757227398</v>
      </c>
      <c r="H131" s="455">
        <v>47.08448854248897</v>
      </c>
      <c r="I131" s="455">
        <v>46.922097376968786</v>
      </c>
      <c r="J131" s="455">
        <v>51.220621837579515</v>
      </c>
      <c r="K131" s="455">
        <v>50.605633409933802</v>
      </c>
      <c r="L131" s="479">
        <v>379.69492388770095</v>
      </c>
      <c r="M131" s="402"/>
      <c r="N131" s="410"/>
    </row>
    <row r="132" spans="2:14">
      <c r="B132" s="402"/>
      <c r="C132" s="457" t="s">
        <v>77</v>
      </c>
      <c r="D132" s="458">
        <v>59.408072997103083</v>
      </c>
      <c r="E132" s="458">
        <v>73.797232130598417</v>
      </c>
      <c r="F132" s="458">
        <v>83.39198199542804</v>
      </c>
      <c r="G132" s="458">
        <v>74.816515524388734</v>
      </c>
      <c r="H132" s="458">
        <v>67.83531716560239</v>
      </c>
      <c r="I132" s="458">
        <v>71.828400220090245</v>
      </c>
      <c r="J132" s="458">
        <v>83.31558004868333</v>
      </c>
      <c r="K132" s="458">
        <v>77.410070988503037</v>
      </c>
      <c r="L132" s="456">
        <v>591.80317107039741</v>
      </c>
      <c r="M132" s="402"/>
    </row>
    <row r="133" spans="2:14">
      <c r="B133" s="402"/>
      <c r="C133" s="454"/>
      <c r="D133" s="455"/>
      <c r="E133" s="455"/>
      <c r="F133" s="455"/>
      <c r="G133" s="455"/>
      <c r="H133" s="455"/>
      <c r="I133" s="455"/>
      <c r="J133" s="455"/>
      <c r="K133" s="455"/>
      <c r="L133" s="456"/>
      <c r="M133" s="402"/>
      <c r="N133" s="410"/>
    </row>
    <row r="134" spans="2:14">
      <c r="B134" s="402"/>
      <c r="C134" s="457" t="s">
        <v>78</v>
      </c>
      <c r="D134" s="458">
        <v>76.206788543072662</v>
      </c>
      <c r="E134" s="458">
        <v>75.926093357370206</v>
      </c>
      <c r="F134" s="458">
        <v>81.107678728073921</v>
      </c>
      <c r="G134" s="458">
        <v>77.068231530879174</v>
      </c>
      <c r="H134" s="458">
        <v>71.098450889448159</v>
      </c>
      <c r="I134" s="458">
        <v>76.467741874544828</v>
      </c>
      <c r="J134" s="458">
        <v>83.31558004868333</v>
      </c>
      <c r="K134" s="458">
        <v>77.410070988503037</v>
      </c>
      <c r="L134" s="456">
        <v>618.60063596057535</v>
      </c>
      <c r="M134" s="402"/>
    </row>
    <row r="135" spans="2:14">
      <c r="B135" s="402"/>
      <c r="C135" s="454" t="s">
        <v>79</v>
      </c>
      <c r="D135" s="455">
        <v>48.010276782135776</v>
      </c>
      <c r="E135" s="455">
        <v>47.833438815143232</v>
      </c>
      <c r="F135" s="455">
        <v>51.097837598686567</v>
      </c>
      <c r="G135" s="455">
        <v>48.552985864453881</v>
      </c>
      <c r="H135" s="455">
        <v>44.79202406035234</v>
      </c>
      <c r="I135" s="455">
        <v>48.174677380963239</v>
      </c>
      <c r="J135" s="455">
        <v>52.488815430670499</v>
      </c>
      <c r="K135" s="455">
        <v>48.768344722756915</v>
      </c>
      <c r="L135" s="479">
        <v>389.7184006551625</v>
      </c>
      <c r="M135" s="402"/>
    </row>
    <row r="136" spans="2:14" ht="13.8" thickBot="1">
      <c r="B136" s="402"/>
      <c r="C136" s="450" t="s">
        <v>80</v>
      </c>
      <c r="D136" s="477">
        <v>28.196511760936886</v>
      </c>
      <c r="E136" s="477">
        <v>28.092654542226978</v>
      </c>
      <c r="F136" s="477">
        <v>30.00984112938735</v>
      </c>
      <c r="G136" s="477">
        <v>28.515245666425294</v>
      </c>
      <c r="H136" s="477">
        <v>26.30642682909582</v>
      </c>
      <c r="I136" s="477">
        <v>28.293064493581586</v>
      </c>
      <c r="J136" s="477">
        <v>30.826764618012831</v>
      </c>
      <c r="K136" s="477">
        <v>28.641726265746122</v>
      </c>
      <c r="L136" s="480">
        <v>228.88223530541285</v>
      </c>
      <c r="M136" s="402"/>
      <c r="N136" s="403"/>
    </row>
    <row r="137" spans="2:14">
      <c r="B137" s="402"/>
      <c r="C137" s="457"/>
      <c r="D137" s="402"/>
      <c r="E137" s="402"/>
      <c r="F137" s="402"/>
      <c r="G137" s="402"/>
      <c r="H137" s="402"/>
      <c r="I137" s="402"/>
      <c r="J137" s="402"/>
      <c r="K137" s="402"/>
      <c r="L137" s="402"/>
      <c r="M137" s="402"/>
    </row>
    <row r="138" spans="2:14" ht="51.75" customHeight="1">
      <c r="B138" s="402"/>
      <c r="C138" s="528" t="s">
        <v>81</v>
      </c>
      <c r="D138" s="529"/>
      <c r="E138" s="529"/>
      <c r="F138" s="529"/>
      <c r="G138" s="529"/>
      <c r="H138" s="529"/>
      <c r="I138" s="529"/>
      <c r="J138" s="529"/>
      <c r="K138" s="529"/>
      <c r="L138" s="529"/>
      <c r="M138" s="402"/>
    </row>
    <row r="139" spans="2:14" ht="13.8" thickBot="1">
      <c r="B139" s="402"/>
      <c r="C139" s="448" t="s">
        <v>122</v>
      </c>
      <c r="D139" s="449"/>
      <c r="E139" s="530"/>
      <c r="F139" s="530"/>
      <c r="G139" s="450"/>
      <c r="H139" s="451"/>
      <c r="I139" s="402"/>
      <c r="J139" s="402"/>
      <c r="K139" s="402"/>
      <c r="L139" s="402"/>
      <c r="M139" s="402"/>
    </row>
    <row r="140" spans="2:14" ht="13.8" thickBot="1">
      <c r="B140" s="402"/>
      <c r="C140" s="448" t="s">
        <v>58</v>
      </c>
      <c r="D140" s="452" t="s">
        <v>59</v>
      </c>
      <c r="E140" s="452" t="s">
        <v>60</v>
      </c>
      <c r="F140" s="453" t="s">
        <v>61</v>
      </c>
      <c r="G140" s="453" t="s">
        <v>62</v>
      </c>
      <c r="H140" s="453" t="s">
        <v>63</v>
      </c>
      <c r="I140" s="453" t="s">
        <v>64</v>
      </c>
      <c r="J140" s="453" t="s">
        <v>65</v>
      </c>
      <c r="K140" s="453" t="s">
        <v>66</v>
      </c>
      <c r="L140" s="402"/>
      <c r="M140" s="402"/>
    </row>
    <row r="141" spans="2:14">
      <c r="B141" s="402"/>
      <c r="C141" s="454" t="s">
        <v>91</v>
      </c>
      <c r="D141" s="455">
        <v>53.000554975302876</v>
      </c>
      <c r="E141" s="455">
        <v>68.053208429157323</v>
      </c>
      <c r="F141" s="455">
        <v>82.254234605796668</v>
      </c>
      <c r="G141" s="455">
        <v>95.891001342750144</v>
      </c>
      <c r="H141" s="455">
        <v>104.78509285934528</v>
      </c>
      <c r="I141" s="455">
        <v>108.77780866232766</v>
      </c>
      <c r="J141" s="455">
        <v>112.29762127541157</v>
      </c>
      <c r="K141" s="455">
        <v>115.92998916652678</v>
      </c>
      <c r="L141" s="402"/>
      <c r="M141" s="402"/>
    </row>
    <row r="142" spans="2:14">
      <c r="B142" s="402"/>
      <c r="C142" s="454" t="s">
        <v>84</v>
      </c>
      <c r="D142" s="455">
        <v>-2.9550550399825672</v>
      </c>
      <c r="E142" s="455"/>
      <c r="F142" s="455"/>
      <c r="G142" s="455"/>
      <c r="H142" s="455"/>
      <c r="I142" s="455"/>
      <c r="J142" s="455"/>
      <c r="K142" s="455"/>
      <c r="L142" s="402"/>
      <c r="M142" s="402"/>
    </row>
    <row r="143" spans="2:14">
      <c r="B143" s="402"/>
      <c r="C143" s="454" t="s">
        <v>86</v>
      </c>
      <c r="D143" s="455">
        <v>28.552742984679846</v>
      </c>
      <c r="E143" s="455">
        <v>28.402873231010378</v>
      </c>
      <c r="F143" s="455">
        <v>30.327281876301544</v>
      </c>
      <c r="G143" s="455">
        <v>28.830408843528669</v>
      </c>
      <c r="H143" s="455">
        <v>26.600805821848581</v>
      </c>
      <c r="I143" s="455">
        <v>28.613131846542398</v>
      </c>
      <c r="J143" s="455">
        <v>31.160026938207565</v>
      </c>
      <c r="K143" s="455">
        <v>28.95136654970014</v>
      </c>
      <c r="L143" s="402"/>
      <c r="M143" s="402"/>
    </row>
    <row r="144" spans="2:14">
      <c r="B144" s="402"/>
      <c r="C144" s="454" t="s">
        <v>87</v>
      </c>
      <c r="D144" s="455">
        <v>-10.545034490842841</v>
      </c>
      <c r="E144" s="455">
        <v>-14.201847054371024</v>
      </c>
      <c r="F144" s="455">
        <v>-16.690515139348058</v>
      </c>
      <c r="G144" s="455">
        <v>-19.93631732693353</v>
      </c>
      <c r="H144" s="455">
        <v>-22.6080900188662</v>
      </c>
      <c r="I144" s="455">
        <v>-25.093319233458473</v>
      </c>
      <c r="J144" s="455">
        <v>-27.527659047092364</v>
      </c>
      <c r="K144" s="455">
        <v>-28.504602357448057</v>
      </c>
      <c r="L144" s="402"/>
      <c r="M144" s="402"/>
    </row>
    <row r="145" spans="2:13" ht="13.8" thickBot="1">
      <c r="B145" s="402"/>
      <c r="C145" s="448" t="s">
        <v>94</v>
      </c>
      <c r="D145" s="461">
        <v>68.053208429157323</v>
      </c>
      <c r="E145" s="461">
        <v>82.254234605796668</v>
      </c>
      <c r="F145" s="461">
        <v>95.891001342750144</v>
      </c>
      <c r="G145" s="461">
        <v>104.78509285934528</v>
      </c>
      <c r="H145" s="461">
        <v>108.77780866232766</v>
      </c>
      <c r="I145" s="461">
        <v>112.29762127541157</v>
      </c>
      <c r="J145" s="461">
        <v>115.92998916652678</v>
      </c>
      <c r="K145" s="461">
        <v>116.37675335877887</v>
      </c>
      <c r="L145" s="402"/>
      <c r="M145" s="402"/>
    </row>
    <row r="146" spans="2:13">
      <c r="B146" s="402"/>
      <c r="C146" s="457"/>
      <c r="D146" s="402"/>
      <c r="E146" s="402"/>
      <c r="F146" s="402"/>
      <c r="G146" s="402"/>
      <c r="H146" s="402"/>
      <c r="I146" s="402"/>
      <c r="J146" s="402"/>
      <c r="K146" s="402"/>
      <c r="L146" s="402"/>
      <c r="M146" s="402"/>
    </row>
    <row r="147" spans="2:13">
      <c r="C147" s="404"/>
    </row>
    <row r="148" spans="2:13" ht="23.4">
      <c r="B148" s="400">
        <v>6</v>
      </c>
      <c r="C148" s="430" t="s">
        <v>123</v>
      </c>
      <c r="D148" s="402"/>
      <c r="E148" s="402"/>
      <c r="F148" s="402"/>
      <c r="G148" s="402"/>
      <c r="H148" s="402"/>
      <c r="I148" s="402"/>
      <c r="J148" s="402"/>
      <c r="K148" s="402"/>
      <c r="L148" s="402"/>
      <c r="M148" s="402"/>
    </row>
    <row r="149" spans="2:13" ht="53.25" customHeight="1">
      <c r="B149" s="400"/>
      <c r="C149" s="528" t="s">
        <v>124</v>
      </c>
      <c r="D149" s="528"/>
      <c r="E149" s="528"/>
      <c r="F149" s="528"/>
      <c r="G149" s="528"/>
      <c r="H149" s="528"/>
      <c r="I149" s="528"/>
      <c r="J149" s="528"/>
      <c r="K149" s="528"/>
      <c r="L149" s="528"/>
      <c r="M149" s="402"/>
    </row>
    <row r="150" spans="2:13" ht="13.8" thickBot="1">
      <c r="B150" s="402"/>
      <c r="C150" s="448"/>
      <c r="D150" s="402"/>
      <c r="E150" s="402"/>
      <c r="F150" s="402"/>
      <c r="G150" s="402"/>
      <c r="H150" s="402"/>
      <c r="I150" s="402"/>
      <c r="J150" s="402"/>
      <c r="K150" s="402"/>
      <c r="L150" s="402"/>
      <c r="M150" s="402"/>
    </row>
    <row r="151" spans="2:13" ht="13.8" thickBot="1">
      <c r="B151" s="402"/>
      <c r="C151" s="448" t="s">
        <v>125</v>
      </c>
      <c r="D151" s="449"/>
      <c r="E151" s="530"/>
      <c r="F151" s="530"/>
      <c r="G151" s="450"/>
      <c r="H151" s="451"/>
      <c r="I151" s="402"/>
      <c r="J151" s="402"/>
      <c r="K151" s="402"/>
      <c r="L151" s="402"/>
      <c r="M151" s="402"/>
    </row>
    <row r="152" spans="2:13" ht="13.8" thickBot="1">
      <c r="B152" s="402"/>
      <c r="C152" s="448" t="s">
        <v>58</v>
      </c>
      <c r="D152" s="452" t="s">
        <v>59</v>
      </c>
      <c r="E152" s="452" t="s">
        <v>60</v>
      </c>
      <c r="F152" s="453" t="s">
        <v>61</v>
      </c>
      <c r="G152" s="453" t="s">
        <v>62</v>
      </c>
      <c r="H152" s="453" t="s">
        <v>63</v>
      </c>
      <c r="I152" s="453" t="s">
        <v>64</v>
      </c>
      <c r="J152" s="453" t="s">
        <v>65</v>
      </c>
      <c r="K152" s="453" t="s">
        <v>66</v>
      </c>
      <c r="L152" s="402"/>
      <c r="M152" s="402"/>
    </row>
    <row r="153" spans="2:13">
      <c r="B153" s="402"/>
      <c r="C153" s="454" t="s">
        <v>79</v>
      </c>
      <c r="D153" s="455">
        <v>47.791489594678033</v>
      </c>
      <c r="E153" s="455">
        <v>47.540638081851597</v>
      </c>
      <c r="F153" s="455">
        <v>50.761707097766759</v>
      </c>
      <c r="G153" s="455">
        <v>48.256245818312692</v>
      </c>
      <c r="H153" s="455">
        <v>44.524343434431046</v>
      </c>
      <c r="I153" s="455">
        <v>47.892568277902519</v>
      </c>
      <c r="J153" s="455">
        <v>52.155553110475765</v>
      </c>
      <c r="K153" s="455">
        <v>48.458704438802911</v>
      </c>
      <c r="L153" s="402"/>
      <c r="M153" s="402"/>
    </row>
    <row r="154" spans="2:13">
      <c r="B154" s="402"/>
      <c r="C154" s="454" t="s">
        <v>98</v>
      </c>
      <c r="D154" s="455">
        <v>0</v>
      </c>
      <c r="E154" s="455">
        <v>0</v>
      </c>
      <c r="F154" s="455">
        <v>0</v>
      </c>
      <c r="G154" s="455">
        <v>0</v>
      </c>
      <c r="H154" s="455">
        <v>0</v>
      </c>
      <c r="I154" s="455">
        <v>0</v>
      </c>
      <c r="J154" s="455">
        <v>0</v>
      </c>
      <c r="K154" s="455">
        <v>0</v>
      </c>
      <c r="L154" s="402"/>
      <c r="M154" s="402"/>
    </row>
    <row r="155" spans="2:13">
      <c r="B155" s="402"/>
      <c r="C155" s="454" t="s">
        <v>100</v>
      </c>
      <c r="D155" s="455">
        <v>0</v>
      </c>
      <c r="E155" s="455">
        <v>0</v>
      </c>
      <c r="F155" s="455">
        <v>0</v>
      </c>
      <c r="G155" s="455">
        <v>0</v>
      </c>
      <c r="H155" s="455">
        <v>0</v>
      </c>
      <c r="I155" s="455">
        <v>0</v>
      </c>
      <c r="J155" s="455">
        <v>0</v>
      </c>
      <c r="K155" s="455">
        <v>0</v>
      </c>
      <c r="L155" s="402"/>
      <c r="M155" s="402"/>
    </row>
    <row r="156" spans="2:13">
      <c r="B156" s="402"/>
      <c r="C156" s="454" t="s">
        <v>101</v>
      </c>
      <c r="D156" s="455">
        <v>-0.43181154987245485</v>
      </c>
      <c r="E156" s="455">
        <v>-0.39947195996305995</v>
      </c>
      <c r="F156" s="455">
        <v>-0.34734317043598018</v>
      </c>
      <c r="G156" s="455">
        <v>-0.3193206524905472</v>
      </c>
      <c r="H156" s="455">
        <v>-0.31265626882301373</v>
      </c>
      <c r="I156" s="455">
        <v>-0.30799379948941219</v>
      </c>
      <c r="J156" s="455">
        <v>-0.32570922921081308</v>
      </c>
      <c r="K156" s="455">
        <v>-0.31552026220892354</v>
      </c>
      <c r="L156" s="402"/>
      <c r="M156" s="402"/>
    </row>
    <row r="157" spans="2:13">
      <c r="B157" s="402"/>
      <c r="C157" s="454" t="s">
        <v>102</v>
      </c>
      <c r="D157" s="455">
        <v>1.1202426479507486</v>
      </c>
      <c r="E157" s="455">
        <v>0.12489219146906574</v>
      </c>
      <c r="F157" s="455">
        <v>0.55902249622441413</v>
      </c>
      <c r="G157" s="455">
        <v>0.44762373035181957</v>
      </c>
      <c r="H157" s="455">
        <v>0.50801235306137282</v>
      </c>
      <c r="I157" s="455">
        <v>1.9845524065947573</v>
      </c>
      <c r="J157" s="455">
        <v>2.1861161167313701</v>
      </c>
      <c r="K157" s="455">
        <v>1.429778789366595</v>
      </c>
      <c r="L157" s="402"/>
      <c r="M157" s="402"/>
    </row>
    <row r="158" spans="2:13">
      <c r="B158" s="402"/>
      <c r="C158" s="454" t="s">
        <v>103</v>
      </c>
      <c r="D158" s="455">
        <v>13.130686478245259</v>
      </c>
      <c r="E158" s="455">
        <v>17.324622803392948</v>
      </c>
      <c r="F158" s="455">
        <v>20.302411771470162</v>
      </c>
      <c r="G158" s="455">
        <v>23.905373254012876</v>
      </c>
      <c r="H158" s="455">
        <v>26.731480072035055</v>
      </c>
      <c r="I158" s="455">
        <v>29.155718525300497</v>
      </c>
      <c r="J158" s="455">
        <v>31.494376376493509</v>
      </c>
      <c r="K158" s="455">
        <v>32.198955495585395</v>
      </c>
      <c r="L158" s="402"/>
      <c r="M158" s="402"/>
    </row>
    <row r="159" spans="2:13">
      <c r="B159" s="402"/>
      <c r="C159" s="454" t="s">
        <v>104</v>
      </c>
      <c r="D159" s="455">
        <v>8.3082796001737652E-2</v>
      </c>
      <c r="E159" s="455">
        <v>7.976923323919452E-2</v>
      </c>
      <c r="F159" s="455">
        <v>0.75266180631023005</v>
      </c>
      <c r="G159" s="455">
        <v>0.74924415240021436</v>
      </c>
      <c r="H159" s="455">
        <v>0.74577657614235293</v>
      </c>
      <c r="I159" s="455">
        <v>1.3290209839409051</v>
      </c>
      <c r="J159" s="455">
        <v>1.3256617820097758</v>
      </c>
      <c r="K159" s="455">
        <v>1.3224848501677049</v>
      </c>
      <c r="L159" s="402"/>
      <c r="M159" s="402"/>
    </row>
    <row r="160" spans="2:13">
      <c r="B160" s="402"/>
      <c r="C160" s="457" t="s">
        <v>105</v>
      </c>
      <c r="D160" s="458">
        <v>61.693689967003323</v>
      </c>
      <c r="E160" s="458">
        <v>64.670450349989736</v>
      </c>
      <c r="F160" s="458">
        <v>72.028460001335588</v>
      </c>
      <c r="G160" s="458">
        <v>73.039166302587049</v>
      </c>
      <c r="H160" s="458">
        <v>72.196956166846817</v>
      </c>
      <c r="I160" s="458">
        <v>80.053866394249269</v>
      </c>
      <c r="J160" s="458">
        <v>86.835998156499599</v>
      </c>
      <c r="K160" s="458">
        <v>83.094403311713691</v>
      </c>
      <c r="L160" s="402"/>
      <c r="M160" s="402"/>
    </row>
    <row r="161" spans="2:22">
      <c r="B161" s="402"/>
      <c r="C161" s="454" t="s">
        <v>126</v>
      </c>
      <c r="D161" s="455">
        <v>94.224999999999994</v>
      </c>
      <c r="E161" s="455">
        <v>87.484999999999999</v>
      </c>
      <c r="F161" s="455">
        <v>79.322999999999993</v>
      </c>
      <c r="G161" s="455">
        <v>58.722999999999999</v>
      </c>
      <c r="H161" s="455">
        <v>3.3000000000000002E-2</v>
      </c>
      <c r="I161" s="455">
        <v>3.3000000000000002E-2</v>
      </c>
      <c r="J161" s="455">
        <v>0</v>
      </c>
      <c r="K161" s="455">
        <v>0</v>
      </c>
      <c r="L161" s="456"/>
      <c r="M161" s="402"/>
    </row>
    <row r="162" spans="2:22" ht="13.8" thickBot="1">
      <c r="B162" s="402"/>
      <c r="C162" s="448" t="s">
        <v>107</v>
      </c>
      <c r="D162" s="461">
        <v>155.91868996700333</v>
      </c>
      <c r="E162" s="461">
        <v>152.15545034998974</v>
      </c>
      <c r="F162" s="461">
        <v>151.35146000133557</v>
      </c>
      <c r="G162" s="461">
        <v>131.76216630258705</v>
      </c>
      <c r="H162" s="461">
        <v>72.229956166846819</v>
      </c>
      <c r="I162" s="461">
        <v>80.08686639424927</v>
      </c>
      <c r="J162" s="461">
        <v>86.835998156499599</v>
      </c>
      <c r="K162" s="461">
        <v>83.094403311713691</v>
      </c>
      <c r="L162" s="481"/>
      <c r="M162" s="402"/>
    </row>
    <row r="163" spans="2:22">
      <c r="B163" s="402"/>
      <c r="C163" s="457"/>
      <c r="D163" s="458"/>
      <c r="E163" s="458"/>
      <c r="F163" s="458"/>
      <c r="G163" s="458"/>
      <c r="H163" s="458"/>
      <c r="I163" s="458"/>
      <c r="J163" s="458"/>
      <c r="K163" s="458"/>
      <c r="L163" s="456"/>
      <c r="M163" s="402"/>
    </row>
    <row r="164" spans="2:22" ht="59.25" customHeight="1">
      <c r="B164" s="402"/>
      <c r="C164" s="528" t="s">
        <v>127</v>
      </c>
      <c r="D164" s="528"/>
      <c r="E164" s="528"/>
      <c r="F164" s="528"/>
      <c r="G164" s="528"/>
      <c r="H164" s="528"/>
      <c r="I164" s="528"/>
      <c r="J164" s="528"/>
      <c r="K164" s="528"/>
      <c r="L164" s="528"/>
      <c r="M164" s="402"/>
    </row>
    <row r="165" spans="2:22" ht="6" customHeight="1" thickBot="1">
      <c r="B165" s="402"/>
      <c r="C165" s="448"/>
      <c r="D165" s="458"/>
      <c r="E165" s="458"/>
      <c r="F165" s="458"/>
      <c r="G165" s="458"/>
      <c r="H165" s="458"/>
      <c r="I165" s="458"/>
      <c r="J165" s="458"/>
      <c r="K165" s="458"/>
      <c r="L165" s="456"/>
      <c r="M165" s="402"/>
    </row>
    <row r="166" spans="2:22" ht="13.8" thickBot="1">
      <c r="B166" s="402"/>
      <c r="C166" s="448" t="s">
        <v>128</v>
      </c>
      <c r="D166" s="462"/>
      <c r="E166" s="462"/>
      <c r="F166" s="482"/>
      <c r="G166" s="482"/>
      <c r="H166" s="402"/>
      <c r="I166" s="482"/>
      <c r="J166" s="402"/>
      <c r="K166" s="402"/>
      <c r="L166" s="402"/>
      <c r="M166" s="402"/>
    </row>
    <row r="167" spans="2:22" ht="13.8" thickBot="1">
      <c r="B167" s="402"/>
      <c r="C167" s="467" t="s">
        <v>58</v>
      </c>
      <c r="D167" s="453" t="s">
        <v>59</v>
      </c>
      <c r="E167" s="453" t="s">
        <v>60</v>
      </c>
      <c r="F167" s="453" t="s">
        <v>61</v>
      </c>
      <c r="G167" s="453" t="s">
        <v>62</v>
      </c>
      <c r="H167" s="453" t="s">
        <v>63</v>
      </c>
      <c r="I167" s="453" t="s">
        <v>64</v>
      </c>
      <c r="J167" s="453" t="s">
        <v>65</v>
      </c>
      <c r="K167" s="453" t="s">
        <v>66</v>
      </c>
      <c r="L167" s="402"/>
      <c r="M167" s="462"/>
      <c r="N167" s="410"/>
      <c r="O167" s="410"/>
      <c r="V167" s="411"/>
    </row>
    <row r="168" spans="2:22">
      <c r="B168" s="402"/>
      <c r="C168" s="454" t="s">
        <v>110</v>
      </c>
      <c r="D168" s="455">
        <v>66.893712056086201</v>
      </c>
      <c r="E168" s="455">
        <v>67.429191577201763</v>
      </c>
      <c r="F168" s="455">
        <v>68.82661899796868</v>
      </c>
      <c r="G168" s="455">
        <v>72.79260504510404</v>
      </c>
      <c r="H168" s="455">
        <v>73.599926978535336</v>
      </c>
      <c r="I168" s="455">
        <v>72.682590016069625</v>
      </c>
      <c r="J168" s="455">
        <v>74.76721766777959</v>
      </c>
      <c r="K168" s="455">
        <v>73.854682624001015</v>
      </c>
      <c r="L168" s="455"/>
      <c r="M168" s="462"/>
      <c r="N168" s="410"/>
      <c r="O168" s="410"/>
      <c r="V168" s="411"/>
    </row>
    <row r="169" spans="2:22">
      <c r="B169" s="402"/>
      <c r="C169" s="457" t="s">
        <v>111</v>
      </c>
      <c r="D169" s="458">
        <v>0</v>
      </c>
      <c r="E169" s="458">
        <v>-0.74723548170331355</v>
      </c>
      <c r="F169" s="458">
        <v>-13.787280588025247</v>
      </c>
      <c r="G169" s="458">
        <v>1.0011710527519853</v>
      </c>
      <c r="H169" s="458">
        <v>3.0471602441516268</v>
      </c>
      <c r="I169" s="458">
        <v>-7.3017659828011006E-2</v>
      </c>
      <c r="J169" s="458">
        <v>28.75184452629523</v>
      </c>
      <c r="K169" s="458">
        <v>5.2876418830586118</v>
      </c>
      <c r="L169" s="483"/>
      <c r="M169" s="462"/>
      <c r="N169" s="410"/>
      <c r="O169" s="410"/>
      <c r="V169" s="411"/>
    </row>
    <row r="170" spans="2:22">
      <c r="B170" s="402"/>
      <c r="C170" s="454" t="s">
        <v>112</v>
      </c>
      <c r="D170" s="455">
        <v>66.893712056086201</v>
      </c>
      <c r="E170" s="455">
        <v>66.68195609549845</v>
      </c>
      <c r="F170" s="455">
        <v>55.039338409943433</v>
      </c>
      <c r="G170" s="455">
        <v>73.793776097856025</v>
      </c>
      <c r="H170" s="455">
        <v>76.647087222686963</v>
      </c>
      <c r="I170" s="455">
        <v>72.609572356241614</v>
      </c>
      <c r="J170" s="455">
        <v>103.51906219407482</v>
      </c>
      <c r="K170" s="455">
        <v>79.142324507059627</v>
      </c>
      <c r="L170" s="455"/>
      <c r="M170" s="462"/>
      <c r="N170" s="410"/>
      <c r="O170" s="410"/>
      <c r="V170" s="411"/>
    </row>
    <row r="171" spans="2:22">
      <c r="B171" s="402"/>
      <c r="C171" s="468" t="s">
        <v>113</v>
      </c>
      <c r="D171" s="455"/>
      <c r="E171" s="455"/>
      <c r="F171" s="455"/>
      <c r="G171" s="455"/>
      <c r="H171" s="458"/>
      <c r="I171" s="455"/>
      <c r="J171" s="455"/>
      <c r="K171" s="458">
        <v>671.49797698731538</v>
      </c>
      <c r="L171" s="455"/>
      <c r="M171" s="462"/>
      <c r="N171" s="410"/>
      <c r="O171" s="410"/>
      <c r="V171" s="411"/>
    </row>
    <row r="172" spans="2:22">
      <c r="B172" s="402"/>
      <c r="C172" s="454" t="s">
        <v>114</v>
      </c>
      <c r="D172" s="455">
        <v>61.693689967003323</v>
      </c>
      <c r="E172" s="455">
        <v>64.670450349989736</v>
      </c>
      <c r="F172" s="455">
        <v>72.028460001335588</v>
      </c>
      <c r="G172" s="455">
        <v>73.039166302587049</v>
      </c>
      <c r="H172" s="455">
        <v>72.196956166846817</v>
      </c>
      <c r="I172" s="455">
        <v>80.053866394249269</v>
      </c>
      <c r="J172" s="455">
        <v>86.835998156499599</v>
      </c>
      <c r="K172" s="455">
        <v>83.094403311713691</v>
      </c>
      <c r="L172" s="478"/>
      <c r="M172" s="402"/>
      <c r="V172" s="411"/>
    </row>
    <row r="173" spans="2:22" ht="13.8" thickBot="1">
      <c r="B173" s="402"/>
      <c r="C173" s="448" t="s">
        <v>113</v>
      </c>
      <c r="D173" s="461"/>
      <c r="E173" s="461"/>
      <c r="F173" s="461"/>
      <c r="G173" s="461"/>
      <c r="H173" s="461"/>
      <c r="I173" s="461"/>
      <c r="J173" s="461"/>
      <c r="K173" s="461">
        <v>671.2094223668264</v>
      </c>
      <c r="L173" s="455"/>
      <c r="M173" s="402"/>
      <c r="V173" s="411"/>
    </row>
    <row r="174" spans="2:22">
      <c r="B174" s="402"/>
      <c r="C174" s="484"/>
      <c r="D174" s="462"/>
      <c r="E174" s="462"/>
      <c r="F174" s="482"/>
      <c r="G174" s="482"/>
      <c r="H174" s="402"/>
      <c r="I174" s="482"/>
      <c r="J174" s="485"/>
      <c r="K174" s="402"/>
      <c r="L174" s="402"/>
      <c r="M174" s="402"/>
    </row>
    <row r="175" spans="2:22">
      <c r="D175" s="410"/>
      <c r="E175" s="410"/>
      <c r="F175" s="410"/>
      <c r="G175" s="410"/>
      <c r="H175" s="410"/>
      <c r="I175" s="410"/>
      <c r="J175" s="410"/>
      <c r="K175" s="410"/>
      <c r="L175" s="410"/>
    </row>
    <row r="176" spans="2:22" ht="23.4">
      <c r="B176" s="400">
        <v>7</v>
      </c>
      <c r="C176" s="430" t="s">
        <v>129</v>
      </c>
      <c r="D176" s="402"/>
      <c r="E176" s="470"/>
      <c r="F176" s="470"/>
      <c r="G176" s="470"/>
      <c r="H176" s="470"/>
      <c r="I176" s="470"/>
      <c r="J176" s="470"/>
      <c r="K176" s="470"/>
      <c r="L176" s="402"/>
      <c r="M176" s="402"/>
    </row>
    <row r="177" spans="2:13" ht="40.5" customHeight="1">
      <c r="B177" s="402"/>
      <c r="C177" s="528" t="s">
        <v>130</v>
      </c>
      <c r="D177" s="528"/>
      <c r="E177" s="528"/>
      <c r="F177" s="528"/>
      <c r="G177" s="528"/>
      <c r="H177" s="528"/>
      <c r="I177" s="528"/>
      <c r="J177" s="528"/>
      <c r="K177" s="528"/>
      <c r="L177" s="528"/>
      <c r="M177" s="402"/>
    </row>
    <row r="178" spans="2:13" ht="12.75" customHeight="1" thickBot="1">
      <c r="B178" s="402"/>
      <c r="C178" s="448"/>
      <c r="D178" s="474"/>
      <c r="E178" s="474"/>
      <c r="F178" s="474"/>
      <c r="G178" s="474"/>
      <c r="H178" s="474"/>
      <c r="I178" s="402"/>
      <c r="J178" s="402"/>
      <c r="K178" s="402"/>
      <c r="L178" s="402"/>
      <c r="M178" s="402"/>
    </row>
    <row r="179" spans="2:13" ht="13.8" thickBot="1">
      <c r="B179" s="402"/>
      <c r="C179" s="448" t="s">
        <v>131</v>
      </c>
      <c r="D179" s="449"/>
      <c r="E179" s="530"/>
      <c r="F179" s="530"/>
      <c r="G179" s="450"/>
      <c r="H179" s="451"/>
      <c r="I179" s="451"/>
      <c r="J179" s="451"/>
      <c r="K179" s="451"/>
      <c r="L179" s="451"/>
      <c r="M179" s="402"/>
    </row>
    <row r="180" spans="2:13" ht="13.8" thickBot="1">
      <c r="B180" s="402"/>
      <c r="C180" s="448" t="s">
        <v>58</v>
      </c>
      <c r="D180" s="452" t="s">
        <v>59</v>
      </c>
      <c r="E180" s="452" t="s">
        <v>60</v>
      </c>
      <c r="F180" s="452" t="s">
        <v>61</v>
      </c>
      <c r="G180" s="452" t="s">
        <v>62</v>
      </c>
      <c r="H180" s="452" t="s">
        <v>63</v>
      </c>
      <c r="I180" s="452" t="s">
        <v>64</v>
      </c>
      <c r="J180" s="452" t="s">
        <v>65</v>
      </c>
      <c r="K180" s="452" t="s">
        <v>66</v>
      </c>
      <c r="L180" s="452" t="s">
        <v>118</v>
      </c>
      <c r="M180" s="402"/>
    </row>
    <row r="181" spans="2:13">
      <c r="B181" s="402"/>
      <c r="C181" s="454" t="s">
        <v>132</v>
      </c>
      <c r="D181" s="455">
        <v>15.115777414489674</v>
      </c>
      <c r="E181" s="455">
        <v>6.1585183187658412</v>
      </c>
      <c r="F181" s="455">
        <v>1.2279992437177505</v>
      </c>
      <c r="G181" s="455">
        <v>1.0586494644799558</v>
      </c>
      <c r="H181" s="455">
        <v>5.9459563895617578</v>
      </c>
      <c r="I181" s="455">
        <v>5.0594200163138892</v>
      </c>
      <c r="J181" s="455">
        <v>0.23152878737450566</v>
      </c>
      <c r="K181" s="455">
        <v>0</v>
      </c>
      <c r="L181" s="455">
        <v>34.797849634703375</v>
      </c>
      <c r="M181" s="462"/>
    </row>
    <row r="182" spans="2:13">
      <c r="B182" s="402"/>
      <c r="C182" s="454" t="s">
        <v>133</v>
      </c>
      <c r="D182" s="455">
        <v>97.132518315217595</v>
      </c>
      <c r="E182" s="455">
        <v>109.87971241227922</v>
      </c>
      <c r="F182" s="455">
        <v>114.43672637584547</v>
      </c>
      <c r="G182" s="455">
        <v>123.96977718673423</v>
      </c>
      <c r="H182" s="455">
        <v>138.27838395379189</v>
      </c>
      <c r="I182" s="455">
        <v>117.50342084599842</v>
      </c>
      <c r="J182" s="455">
        <v>101.87556011564801</v>
      </c>
      <c r="K182" s="455">
        <v>91.157975802007329</v>
      </c>
      <c r="L182" s="455">
        <v>894.23407500752216</v>
      </c>
      <c r="M182" s="462"/>
    </row>
    <row r="183" spans="2:13">
      <c r="B183" s="402"/>
      <c r="C183" s="454" t="s">
        <v>134</v>
      </c>
      <c r="D183" s="455">
        <v>26.93604464906883</v>
      </c>
      <c r="E183" s="455">
        <v>19.510949672305049</v>
      </c>
      <c r="F183" s="455">
        <v>-3.895985875942312</v>
      </c>
      <c r="G183" s="455">
        <v>-15.83053713675862</v>
      </c>
      <c r="H183" s="455">
        <v>4.0808157869617645</v>
      </c>
      <c r="I183" s="455">
        <v>3.3617866266992991</v>
      </c>
      <c r="J183" s="455">
        <v>-22.618844944848529</v>
      </c>
      <c r="K183" s="455">
        <v>-27.683993902785797</v>
      </c>
      <c r="L183" s="455">
        <v>-16.139765125300322</v>
      </c>
      <c r="M183" s="462"/>
    </row>
    <row r="184" spans="2:13">
      <c r="B184" s="402"/>
      <c r="C184" s="454" t="s">
        <v>135</v>
      </c>
      <c r="D184" s="455">
        <v>3.4860000000000002</v>
      </c>
      <c r="E184" s="455">
        <v>1.9990000000000001</v>
      </c>
      <c r="F184" s="455">
        <v>2.0979999999999999</v>
      </c>
      <c r="G184" s="455">
        <v>2.8820000000000001</v>
      </c>
      <c r="H184" s="455">
        <v>3.7022064285714298</v>
      </c>
      <c r="I184" s="455">
        <v>2.5631782312925169</v>
      </c>
      <c r="J184" s="455">
        <v>1.4961976478727097</v>
      </c>
      <c r="K184" s="455">
        <v>0.94824897959183674</v>
      </c>
      <c r="L184" s="455">
        <v>19.174831287328495</v>
      </c>
      <c r="M184" s="462"/>
    </row>
    <row r="185" spans="2:13">
      <c r="B185" s="402"/>
      <c r="C185" s="454" t="s">
        <v>136</v>
      </c>
      <c r="D185" s="455">
        <v>64.482672010544718</v>
      </c>
      <c r="E185" s="455">
        <v>65.237874215180156</v>
      </c>
      <c r="F185" s="455">
        <v>70.772894725011071</v>
      </c>
      <c r="G185" s="455">
        <v>79.368338266410362</v>
      </c>
      <c r="H185" s="455">
        <v>84.317479134504765</v>
      </c>
      <c r="I185" s="455">
        <v>84.641346358196444</v>
      </c>
      <c r="J185" s="455">
        <v>80.728014781566515</v>
      </c>
      <c r="K185" s="455">
        <v>77.490070123441129</v>
      </c>
      <c r="L185" s="455">
        <v>607.03868961485512</v>
      </c>
      <c r="M185" s="462"/>
    </row>
    <row r="186" spans="2:13">
      <c r="B186" s="402"/>
      <c r="C186" s="454" t="s">
        <v>137</v>
      </c>
      <c r="D186" s="455">
        <v>-10.234397825025809</v>
      </c>
      <c r="E186" s="455">
        <v>-11.313663011620633</v>
      </c>
      <c r="F186" s="455">
        <v>1.4758141331909655</v>
      </c>
      <c r="G186" s="455">
        <v>18.036561011051162</v>
      </c>
      <c r="H186" s="455">
        <v>38.16324690550428</v>
      </c>
      <c r="I186" s="455">
        <v>44.232629172283282</v>
      </c>
      <c r="J186" s="455">
        <v>0</v>
      </c>
      <c r="K186" s="455">
        <v>0</v>
      </c>
      <c r="L186" s="455">
        <v>80.360190385383248</v>
      </c>
      <c r="M186" s="462"/>
    </row>
    <row r="187" spans="2:13">
      <c r="B187" s="402"/>
      <c r="C187" s="457" t="s">
        <v>48</v>
      </c>
      <c r="D187" s="458">
        <v>196.91861456429498</v>
      </c>
      <c r="E187" s="458">
        <v>191.47239160690964</v>
      </c>
      <c r="F187" s="458">
        <v>186.11544860182295</v>
      </c>
      <c r="G187" s="458">
        <v>209.48478879191708</v>
      </c>
      <c r="H187" s="458">
        <v>274.4880885988959</v>
      </c>
      <c r="I187" s="458">
        <v>257.36178125078385</v>
      </c>
      <c r="J187" s="458">
        <v>161.7124563876132</v>
      </c>
      <c r="K187" s="458">
        <v>141.91230100225448</v>
      </c>
      <c r="L187" s="458">
        <v>1619.4658708044922</v>
      </c>
      <c r="M187" s="462"/>
    </row>
    <row r="188" spans="2:13">
      <c r="B188" s="402"/>
      <c r="C188" s="454" t="s">
        <v>52</v>
      </c>
      <c r="D188" s="455">
        <v>110.11544616012048</v>
      </c>
      <c r="E188" s="455">
        <v>110.29121834911521</v>
      </c>
      <c r="F188" s="455">
        <v>110.32860169190292</v>
      </c>
      <c r="G188" s="455">
        <v>110.3596633646699</v>
      </c>
      <c r="H188" s="455">
        <v>110.27343835902431</v>
      </c>
      <c r="I188" s="455">
        <v>110.27662588032852</v>
      </c>
      <c r="J188" s="455">
        <v>110.30420904525512</v>
      </c>
      <c r="K188" s="455">
        <v>110.31067350058066</v>
      </c>
      <c r="L188" s="455">
        <v>882.25987635099727</v>
      </c>
      <c r="M188" s="462"/>
    </row>
    <row r="189" spans="2:13">
      <c r="B189" s="402"/>
      <c r="C189" s="454"/>
      <c r="D189" s="455"/>
      <c r="E189" s="455"/>
      <c r="F189" s="455"/>
      <c r="G189" s="455"/>
      <c r="H189" s="455"/>
      <c r="I189" s="455"/>
      <c r="J189" s="455"/>
      <c r="K189" s="455"/>
      <c r="L189" s="455"/>
      <c r="M189" s="462"/>
    </row>
    <row r="190" spans="2:13">
      <c r="B190" s="402"/>
      <c r="C190" s="454" t="s">
        <v>138</v>
      </c>
      <c r="D190" s="455">
        <v>33.7340643238336</v>
      </c>
      <c r="E190" s="455">
        <v>27.39346022326454</v>
      </c>
      <c r="F190" s="455">
        <v>18.58964637976759</v>
      </c>
      <c r="G190" s="455">
        <v>15.690053681814245</v>
      </c>
      <c r="H190" s="455">
        <v>14.117331818843784</v>
      </c>
      <c r="I190" s="455">
        <v>12.8424465294623</v>
      </c>
      <c r="J190" s="455">
        <v>15.120708694627556</v>
      </c>
      <c r="K190" s="455">
        <v>12.837335667911791</v>
      </c>
      <c r="L190" s="455">
        <v>150.3250473195254</v>
      </c>
      <c r="M190" s="462"/>
    </row>
    <row r="191" spans="2:13">
      <c r="B191" s="402"/>
      <c r="C191" s="454" t="s">
        <v>44</v>
      </c>
      <c r="D191" s="455">
        <v>19.755956161710287</v>
      </c>
      <c r="E191" s="455">
        <v>4.9640550676615947</v>
      </c>
      <c r="F191" s="455">
        <v>8.9197815696110538</v>
      </c>
      <c r="G191" s="455">
        <v>12.191499767835666</v>
      </c>
      <c r="H191" s="455">
        <v>13.477291968470052</v>
      </c>
      <c r="I191" s="455">
        <v>19.208679341930342</v>
      </c>
      <c r="J191" s="455">
        <v>16.974249516476256</v>
      </c>
      <c r="K191" s="455">
        <v>13.967101910657444</v>
      </c>
      <c r="L191" s="455">
        <v>109.45861530435269</v>
      </c>
      <c r="M191" s="462"/>
    </row>
    <row r="192" spans="2:13">
      <c r="B192" s="402"/>
      <c r="C192" s="454" t="s">
        <v>45</v>
      </c>
      <c r="D192" s="455">
        <v>6.3163697463774593</v>
      </c>
      <c r="E192" s="455">
        <v>7.5127863565785153</v>
      </c>
      <c r="F192" s="455">
        <v>11.755221166240313</v>
      </c>
      <c r="G192" s="455">
        <v>14.858131955957658</v>
      </c>
      <c r="H192" s="455">
        <v>9.9935426477652847</v>
      </c>
      <c r="I192" s="455">
        <v>12.155160387098473</v>
      </c>
      <c r="J192" s="455">
        <v>12.398863612479254</v>
      </c>
      <c r="K192" s="455">
        <v>11.187952086317051</v>
      </c>
      <c r="L192" s="455">
        <v>86.178027958814013</v>
      </c>
      <c r="M192" s="462"/>
    </row>
    <row r="193" spans="2:13">
      <c r="B193" s="402"/>
      <c r="C193" s="454" t="s">
        <v>46</v>
      </c>
      <c r="D193" s="455">
        <v>37.780581733294433</v>
      </c>
      <c r="E193" s="455">
        <v>38.765251453029641</v>
      </c>
      <c r="F193" s="455">
        <v>38.935734544913359</v>
      </c>
      <c r="G193" s="455">
        <v>37.194366497168517</v>
      </c>
      <c r="H193" s="455">
        <v>37.663363739263652</v>
      </c>
      <c r="I193" s="455">
        <v>38.166072267177746</v>
      </c>
      <c r="J193" s="455">
        <v>38.821758225100261</v>
      </c>
      <c r="K193" s="455">
        <v>39.417681323616755</v>
      </c>
      <c r="L193" s="455">
        <v>306.74480978356434</v>
      </c>
      <c r="M193" s="462"/>
    </row>
    <row r="194" spans="2:13">
      <c r="B194" s="402"/>
      <c r="C194" s="454" t="s">
        <v>137</v>
      </c>
      <c r="D194" s="455">
        <v>-21.380183422143119</v>
      </c>
      <c r="E194" s="455">
        <v>-2.7094597431640892</v>
      </c>
      <c r="F194" s="455">
        <v>2.9072950675416109</v>
      </c>
      <c r="G194" s="455">
        <v>-2.8658203718969162</v>
      </c>
      <c r="H194" s="455">
        <v>-4.1530792848946163</v>
      </c>
      <c r="I194" s="455">
        <v>-5.9046166511240301</v>
      </c>
      <c r="J194" s="455">
        <v>0</v>
      </c>
      <c r="K194" s="455">
        <v>0</v>
      </c>
      <c r="L194" s="455">
        <v>-34.10586440568116</v>
      </c>
      <c r="M194" s="462"/>
    </row>
    <row r="195" spans="2:13">
      <c r="B195" s="402"/>
      <c r="C195" s="457" t="s">
        <v>50</v>
      </c>
      <c r="D195" s="458">
        <v>76.206788543072662</v>
      </c>
      <c r="E195" s="458">
        <v>75.926093357370206</v>
      </c>
      <c r="F195" s="458">
        <v>81.107678728073921</v>
      </c>
      <c r="G195" s="458">
        <v>77.06823153087916</v>
      </c>
      <c r="H195" s="458">
        <v>71.098450889448159</v>
      </c>
      <c r="I195" s="458">
        <v>76.467741874544828</v>
      </c>
      <c r="J195" s="458">
        <v>83.31558004868333</v>
      </c>
      <c r="K195" s="458">
        <v>77.410070988503037</v>
      </c>
      <c r="L195" s="458">
        <v>618.60063596057535</v>
      </c>
      <c r="M195" s="462"/>
    </row>
    <row r="196" spans="2:13">
      <c r="B196" s="402"/>
      <c r="C196" s="454"/>
      <c r="D196" s="455"/>
      <c r="E196" s="455"/>
      <c r="F196" s="455"/>
      <c r="G196" s="455"/>
      <c r="H196" s="455"/>
      <c r="I196" s="455"/>
      <c r="J196" s="455"/>
      <c r="K196" s="455"/>
      <c r="L196" s="455"/>
      <c r="M196" s="462"/>
    </row>
    <row r="197" spans="2:13" ht="13.8" thickBot="1">
      <c r="B197" s="402"/>
      <c r="C197" s="448" t="s">
        <v>51</v>
      </c>
      <c r="D197" s="461">
        <v>273.12540310736767</v>
      </c>
      <c r="E197" s="461">
        <v>267.39848496427987</v>
      </c>
      <c r="F197" s="461">
        <v>267.2231273298969</v>
      </c>
      <c r="G197" s="461">
        <v>286.55302032279621</v>
      </c>
      <c r="H197" s="461">
        <v>345.58653948834404</v>
      </c>
      <c r="I197" s="461">
        <v>333.82952312532871</v>
      </c>
      <c r="J197" s="461">
        <v>245.02803643629653</v>
      </c>
      <c r="K197" s="461">
        <v>219.32237199075752</v>
      </c>
      <c r="L197" s="461">
        <v>2238.0665067650675</v>
      </c>
      <c r="M197" s="462"/>
    </row>
    <row r="198" spans="2:13">
      <c r="B198" s="402"/>
      <c r="C198" s="475"/>
      <c r="D198" s="476"/>
      <c r="E198" s="476"/>
      <c r="F198" s="476"/>
      <c r="G198" s="476"/>
      <c r="H198" s="476"/>
      <c r="I198" s="476"/>
      <c r="J198" s="476"/>
      <c r="K198" s="476"/>
      <c r="L198" s="476"/>
      <c r="M198" s="476"/>
    </row>
    <row r="199" spans="2:13" ht="27" customHeight="1">
      <c r="B199" s="402"/>
      <c r="C199" s="528" t="s">
        <v>139</v>
      </c>
      <c r="D199" s="528"/>
      <c r="E199" s="528"/>
      <c r="F199" s="528"/>
      <c r="G199" s="528"/>
      <c r="H199" s="528"/>
      <c r="I199" s="528"/>
      <c r="J199" s="528"/>
      <c r="K199" s="528"/>
      <c r="L199" s="528"/>
      <c r="M199" s="402"/>
    </row>
    <row r="200" spans="2:13" ht="13.8" thickBot="1">
      <c r="B200" s="402"/>
      <c r="C200" s="448" t="s">
        <v>140</v>
      </c>
      <c r="D200" s="449"/>
      <c r="E200" s="530"/>
      <c r="F200" s="530"/>
      <c r="G200" s="450"/>
      <c r="H200" s="451"/>
      <c r="I200" s="402"/>
      <c r="J200" s="402"/>
      <c r="K200" s="402"/>
      <c r="L200" s="402"/>
      <c r="M200" s="402"/>
    </row>
    <row r="201" spans="2:13" ht="13.8" thickBot="1">
      <c r="B201" s="402"/>
      <c r="C201" s="448" t="s">
        <v>58</v>
      </c>
      <c r="D201" s="452" t="s">
        <v>59</v>
      </c>
      <c r="E201" s="452" t="s">
        <v>60</v>
      </c>
      <c r="F201" s="453" t="s">
        <v>61</v>
      </c>
      <c r="G201" s="453" t="s">
        <v>62</v>
      </c>
      <c r="H201" s="453" t="s">
        <v>63</v>
      </c>
      <c r="I201" s="453" t="s">
        <v>64</v>
      </c>
      <c r="J201" s="453" t="s">
        <v>65</v>
      </c>
      <c r="K201" s="453" t="s">
        <v>66</v>
      </c>
      <c r="L201" s="402"/>
      <c r="M201" s="402"/>
    </row>
    <row r="202" spans="2:13">
      <c r="B202" s="402"/>
      <c r="C202" s="454" t="s">
        <v>91</v>
      </c>
      <c r="D202" s="455">
        <v>4605.8732415263748</v>
      </c>
      <c r="E202" s="455">
        <v>4638.3842006338837</v>
      </c>
      <c r="F202" s="455">
        <v>4636.2438905457948</v>
      </c>
      <c r="G202" s="455">
        <v>4625.0537276148716</v>
      </c>
      <c r="H202" s="455">
        <v>4623.9089505809579</v>
      </c>
      <c r="I202" s="455">
        <v>4677.3945932526112</v>
      </c>
      <c r="J202" s="455">
        <v>4719.4894490195693</v>
      </c>
      <c r="K202" s="455">
        <v>4665.4863741270547</v>
      </c>
      <c r="L202" s="402"/>
      <c r="M202" s="402"/>
    </row>
    <row r="203" spans="2:13">
      <c r="B203" s="402"/>
      <c r="C203" s="454" t="s">
        <v>86</v>
      </c>
      <c r="D203" s="455">
        <v>189.06317465452261</v>
      </c>
      <c r="E203" s="455">
        <v>160.0285487539156</v>
      </c>
      <c r="F203" s="455">
        <v>154.71964336781087</v>
      </c>
      <c r="G203" s="455">
        <v>169.10237051235114</v>
      </c>
      <c r="H203" s="455">
        <v>227.8489819737357</v>
      </c>
      <c r="I203" s="455">
        <v>221.74287033602945</v>
      </c>
      <c r="J203" s="455">
        <v>130.69831581675822</v>
      </c>
      <c r="K203" s="455">
        <v>113.4907797147097</v>
      </c>
      <c r="L203" s="402"/>
      <c r="M203" s="402"/>
    </row>
    <row r="204" spans="2:13">
      <c r="B204" s="402"/>
      <c r="C204" s="454" t="s">
        <v>87</v>
      </c>
      <c r="D204" s="455">
        <v>-156.5522155470135</v>
      </c>
      <c r="E204" s="455">
        <v>-162.16885884200437</v>
      </c>
      <c r="F204" s="455">
        <v>-165.90980629873476</v>
      </c>
      <c r="G204" s="455">
        <v>-170.24714754626476</v>
      </c>
      <c r="H204" s="455">
        <v>-174.36333930208227</v>
      </c>
      <c r="I204" s="455">
        <v>-179.64801456907196</v>
      </c>
      <c r="J204" s="455">
        <v>-184.70139070927212</v>
      </c>
      <c r="K204" s="455">
        <v>-186.21756035483997</v>
      </c>
      <c r="L204" s="402"/>
      <c r="M204" s="402"/>
    </row>
    <row r="205" spans="2:13" ht="13.8" thickBot="1">
      <c r="B205" s="402"/>
      <c r="C205" s="448" t="s">
        <v>94</v>
      </c>
      <c r="D205" s="461">
        <v>4638.3842006338837</v>
      </c>
      <c r="E205" s="461">
        <v>4636.2438905457948</v>
      </c>
      <c r="F205" s="461">
        <v>4625.0537276148707</v>
      </c>
      <c r="G205" s="461">
        <v>4623.9089505809579</v>
      </c>
      <c r="H205" s="461">
        <v>4677.3945932526121</v>
      </c>
      <c r="I205" s="461">
        <v>4719.4894490195684</v>
      </c>
      <c r="J205" s="461">
        <v>4665.4863741270556</v>
      </c>
      <c r="K205" s="461">
        <v>4592.7595934869241</v>
      </c>
      <c r="L205" s="402"/>
      <c r="M205" s="402"/>
    </row>
    <row r="206" spans="2:13" ht="13.8" thickBot="1">
      <c r="B206" s="402"/>
      <c r="C206" s="448"/>
      <c r="D206" s="402"/>
      <c r="E206" s="402"/>
      <c r="F206" s="402"/>
      <c r="G206" s="402"/>
      <c r="H206" s="402"/>
      <c r="I206" s="402"/>
      <c r="J206" s="402"/>
      <c r="K206" s="402"/>
      <c r="L206" s="402"/>
      <c r="M206" s="402"/>
    </row>
    <row r="207" spans="2:13" ht="13.8" thickBot="1">
      <c r="B207" s="402"/>
      <c r="C207" s="448" t="s">
        <v>141</v>
      </c>
      <c r="D207" s="402"/>
      <c r="E207" s="402"/>
      <c r="F207" s="402"/>
      <c r="G207" s="402"/>
      <c r="H207" s="402"/>
      <c r="I207" s="402"/>
      <c r="J207" s="402"/>
      <c r="K207" s="402"/>
      <c r="L207" s="402"/>
      <c r="M207" s="402"/>
    </row>
    <row r="208" spans="2:13" ht="13.8" thickBot="1">
      <c r="B208" s="402"/>
      <c r="C208" s="448" t="s">
        <v>58</v>
      </c>
      <c r="D208" s="452" t="s">
        <v>59</v>
      </c>
      <c r="E208" s="452" t="s">
        <v>60</v>
      </c>
      <c r="F208" s="452" t="s">
        <v>61</v>
      </c>
      <c r="G208" s="452" t="s">
        <v>62</v>
      </c>
      <c r="H208" s="452" t="s">
        <v>63</v>
      </c>
      <c r="I208" s="452" t="s">
        <v>64</v>
      </c>
      <c r="J208" s="452" t="s">
        <v>65</v>
      </c>
      <c r="K208" s="452" t="s">
        <v>66</v>
      </c>
      <c r="L208" s="402"/>
      <c r="M208" s="402"/>
    </row>
    <row r="209" spans="2:13">
      <c r="B209" s="402"/>
      <c r="C209" s="454" t="s">
        <v>142</v>
      </c>
      <c r="D209" s="455">
        <v>94.224999999999994</v>
      </c>
      <c r="E209" s="455">
        <v>87.484999999999999</v>
      </c>
      <c r="F209" s="455">
        <v>79.322999999999993</v>
      </c>
      <c r="G209" s="455">
        <v>58.722999999999999</v>
      </c>
      <c r="H209" s="455">
        <v>3.3000000000000002E-2</v>
      </c>
      <c r="I209" s="455">
        <v>3.3000000000000002E-2</v>
      </c>
      <c r="J209" s="455">
        <v>0</v>
      </c>
      <c r="K209" s="455">
        <v>0</v>
      </c>
      <c r="L209" s="402"/>
      <c r="M209" s="402"/>
    </row>
    <row r="210" spans="2:13" ht="13.8" thickBot="1">
      <c r="B210" s="402"/>
      <c r="C210" s="450" t="s">
        <v>143</v>
      </c>
      <c r="D210" s="477">
        <v>1.5889649604528906</v>
      </c>
      <c r="E210" s="477">
        <v>1.9371656435515117</v>
      </c>
      <c r="F210" s="477">
        <v>1.9547226953643968</v>
      </c>
      <c r="G210" s="477">
        <v>1.9724388714470038</v>
      </c>
      <c r="H210" s="477">
        <v>13.932209297896886</v>
      </c>
      <c r="I210" s="477">
        <v>18.476860279771643</v>
      </c>
      <c r="J210" s="477">
        <v>0.81062265305823133</v>
      </c>
      <c r="K210" s="477">
        <v>0</v>
      </c>
      <c r="L210" s="402"/>
      <c r="M210" s="402"/>
    </row>
    <row r="211" spans="2:13">
      <c r="B211" s="402"/>
      <c r="C211" s="402"/>
      <c r="D211" s="402"/>
      <c r="E211" s="402"/>
      <c r="F211" s="402"/>
      <c r="G211" s="402"/>
      <c r="H211" s="402"/>
      <c r="I211" s="402"/>
      <c r="J211" s="402"/>
      <c r="K211" s="402"/>
      <c r="L211" s="402"/>
      <c r="M211" s="402"/>
    </row>
    <row r="214" spans="2:13">
      <c r="D214" s="407"/>
      <c r="E214" s="407"/>
      <c r="F214" s="407"/>
      <c r="G214" s="407"/>
      <c r="H214" s="407"/>
      <c r="I214" s="407"/>
      <c r="J214" s="407"/>
      <c r="K214" s="407"/>
    </row>
  </sheetData>
  <mergeCells count="21">
    <mergeCell ref="E78:F78"/>
    <mergeCell ref="E91:F91"/>
    <mergeCell ref="E139:F139"/>
    <mergeCell ref="E179:F179"/>
    <mergeCell ref="E200:F200"/>
    <mergeCell ref="C89:L89"/>
    <mergeCell ref="C119:L119"/>
    <mergeCell ref="C138:L138"/>
    <mergeCell ref="C105:L105"/>
    <mergeCell ref="C149:L149"/>
    <mergeCell ref="C164:L164"/>
    <mergeCell ref="E121:F121"/>
    <mergeCell ref="E151:F151"/>
    <mergeCell ref="C177:L177"/>
    <mergeCell ref="C199:L199"/>
    <mergeCell ref="C4:E4"/>
    <mergeCell ref="C18:E18"/>
    <mergeCell ref="C46:L46"/>
    <mergeCell ref="C67:L67"/>
    <mergeCell ref="E68:F68"/>
    <mergeCell ref="E48:F48"/>
  </mergeCells>
  <pageMargins left="0.7" right="0.7" top="0.75" bottom="0.75"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249977111117893"/>
  </sheetPr>
  <dimension ref="A1:AG145"/>
  <sheetViews>
    <sheetView topLeftCell="A13"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381</v>
      </c>
      <c r="C2" s="1" t="s">
        <v>384</v>
      </c>
      <c r="D2" s="2" t="s">
        <v>40</v>
      </c>
      <c r="E2" s="47" t="s">
        <v>41</v>
      </c>
      <c r="G2" s="112" t="s">
        <v>362</v>
      </c>
      <c r="H2" s="113" t="str">
        <f>RPI!$B$1</f>
        <v>Updated Oct 2019</v>
      </c>
      <c r="J2" s="224" t="s">
        <v>398</v>
      </c>
      <c r="K2">
        <f>1-0.4689</f>
        <v>0.53110000000000002</v>
      </c>
    </row>
    <row r="3" spans="1:11" ht="15.6" thickBot="1">
      <c r="C3" s="4" t="s">
        <v>42</v>
      </c>
      <c r="D3" s="64">
        <f>SUMPRODUCT(D81:K81,RPI!$E$2:$L$2)/1000</f>
        <v>1.4227487975585782</v>
      </c>
      <c r="E3" s="232">
        <f>L81/1000</f>
        <v>1.1588637620875542</v>
      </c>
    </row>
    <row r="4" spans="1:11" ht="15.6" thickBot="1">
      <c r="C4" s="3" t="s">
        <v>43</v>
      </c>
      <c r="D4" s="62">
        <f>SUMPRODUCT(D82:K82,RPI!$E$2:$L$2)/1000</f>
        <v>6.1368774763378324</v>
      </c>
      <c r="E4" s="63">
        <f t="shared" ref="E4:E7" si="0">L82/1000</f>
        <v>4.806417480663975</v>
      </c>
    </row>
    <row r="5" spans="1:11" ht="15.6" thickBot="1">
      <c r="C5" s="4" t="s">
        <v>44</v>
      </c>
      <c r="D5" s="64">
        <f>SUMPRODUCT(D83:K83,RPI!$E$2:$L$2)/1000</f>
        <v>4.5124624900826626</v>
      </c>
      <c r="E5" s="232">
        <f t="shared" si="0"/>
        <v>3.7020530552179056</v>
      </c>
    </row>
    <row r="6" spans="1:11" ht="15.6" thickBot="1">
      <c r="C6" s="3" t="s">
        <v>45</v>
      </c>
      <c r="D6" s="62">
        <f>SUMPRODUCT(D84:K84,RPI!$E$2:$L$2)/1000</f>
        <v>0</v>
      </c>
      <c r="E6" s="63">
        <f t="shared" si="0"/>
        <v>0</v>
      </c>
    </row>
    <row r="7" spans="1:11" ht="15.6" thickBot="1">
      <c r="C7" s="4" t="s">
        <v>46</v>
      </c>
      <c r="D7" s="64">
        <f>SUMPRODUCT(D85:K85,RPI!$E$2:$L$2)/1000</f>
        <v>2.0550636343973276</v>
      </c>
      <c r="E7" s="232">
        <f t="shared" si="0"/>
        <v>1.623853135909078</v>
      </c>
    </row>
    <row r="8" spans="1:11" ht="15.6" thickBot="1">
      <c r="C8" s="3" t="s">
        <v>47</v>
      </c>
      <c r="D8" s="62">
        <v>0</v>
      </c>
      <c r="E8" s="63">
        <v>0</v>
      </c>
    </row>
    <row r="9" spans="1:11" ht="16.2" thickBot="1">
      <c r="C9" s="5" t="s">
        <v>48</v>
      </c>
      <c r="D9" s="67">
        <f>SUM(D3:D8)</f>
        <v>14.127152398376403</v>
      </c>
      <c r="E9" s="233">
        <f>SUM(E3:E8)</f>
        <v>11.291187433878513</v>
      </c>
    </row>
    <row r="10" spans="1:11" ht="15.6" thickBot="1">
      <c r="C10" s="3" t="s">
        <v>52</v>
      </c>
      <c r="D10" s="62">
        <f>SUMPRODUCT(D87:K87,RPI!$E$2:$L$2)/1000</f>
        <v>0.89416672601474101</v>
      </c>
      <c r="E10" s="63">
        <f>L87/1000</f>
        <v>0.70798416071864323</v>
      </c>
    </row>
    <row r="11" spans="1:11" ht="15.6" thickBot="1">
      <c r="C11" s="4"/>
      <c r="D11" s="64"/>
      <c r="E11" s="232"/>
    </row>
    <row r="12" spans="1:11" ht="15.6" thickBot="1">
      <c r="C12" s="3" t="s">
        <v>49</v>
      </c>
      <c r="D12" s="62">
        <f>SUMPRODUCT(D89:K89,RPI!$E$2:$L$2)/1000</f>
        <v>0.28922566338576178</v>
      </c>
      <c r="E12" s="63">
        <f>L89/1000</f>
        <v>0.23082055237155213</v>
      </c>
    </row>
    <row r="13" spans="1:11" ht="15.6" thickBot="1">
      <c r="C13" s="4" t="s">
        <v>46</v>
      </c>
      <c r="D13" s="64">
        <f>SUMPRODUCT(D90:K90,RPI!$E$2:$L$2)/1000</f>
        <v>0.79680469644730745</v>
      </c>
      <c r="E13" s="232">
        <f>L90/1000</f>
        <v>0.62900752334068022</v>
      </c>
    </row>
    <row r="14" spans="1:11" ht="15.6" thickBot="1">
      <c r="C14" s="3" t="s">
        <v>47</v>
      </c>
      <c r="D14" s="62">
        <v>0</v>
      </c>
      <c r="E14" s="63">
        <v>0</v>
      </c>
    </row>
    <row r="15" spans="1:11" ht="16.2" thickBot="1">
      <c r="C15" s="5" t="s">
        <v>50</v>
      </c>
      <c r="D15" s="67">
        <f>SUM(D12:D14)</f>
        <v>1.0860303598330692</v>
      </c>
      <c r="E15" s="233">
        <f>SUM(E12:E14)</f>
        <v>0.8598280757122323</v>
      </c>
    </row>
    <row r="16" spans="1:11" ht="15.6" thickBot="1">
      <c r="C16" s="3"/>
      <c r="D16" s="62"/>
      <c r="E16" s="63"/>
    </row>
    <row r="17" spans="1:12" ht="16.2" thickBot="1">
      <c r="C17" s="5" t="s">
        <v>153</v>
      </c>
      <c r="D17" s="67">
        <f>D9+D15</f>
        <v>15.213182758209472</v>
      </c>
      <c r="E17" s="233">
        <f>E9+E15</f>
        <v>12.151015509590746</v>
      </c>
    </row>
    <row r="18" spans="1:12" ht="15.6" thickBot="1">
      <c r="C18" s="3"/>
      <c r="D18" s="62"/>
      <c r="E18" s="63"/>
    </row>
    <row r="19" spans="1:12" ht="16.2" thickBot="1">
      <c r="C19" s="5" t="s">
        <v>53</v>
      </c>
      <c r="D19" s="67">
        <f>E19*RPI!E4</f>
        <v>10.190343073497942</v>
      </c>
      <c r="E19" s="233">
        <f>D95/1000</f>
        <v>8.8650145032674477</v>
      </c>
    </row>
    <row r="20" spans="1:12" ht="16.2" thickBot="1">
      <c r="C20" s="6" t="s">
        <v>54</v>
      </c>
      <c r="D20" s="65">
        <f>E20*RPI!L3</f>
        <v>18.153012853954952</v>
      </c>
      <c r="E20" s="66">
        <f>K98/1000</f>
        <v>12.948149003157067</v>
      </c>
    </row>
    <row r="23" spans="1:12" ht="13.8" thickBot="1">
      <c r="A23" s="38" t="s">
        <v>360</v>
      </c>
    </row>
    <row r="24" spans="1:12" ht="13.8" thickBot="1">
      <c r="C24" s="14" t="s">
        <v>58</v>
      </c>
      <c r="D24" s="15" t="s">
        <v>59</v>
      </c>
      <c r="E24" s="15" t="s">
        <v>60</v>
      </c>
      <c r="F24" s="15" t="s">
        <v>61</v>
      </c>
      <c r="G24" s="15" t="s">
        <v>62</v>
      </c>
      <c r="H24" s="15" t="s">
        <v>63</v>
      </c>
      <c r="I24" s="15" t="s">
        <v>64</v>
      </c>
      <c r="J24" s="15" t="s">
        <v>65</v>
      </c>
      <c r="K24" s="15" t="s">
        <v>66</v>
      </c>
      <c r="L24" s="15" t="s">
        <v>118</v>
      </c>
    </row>
    <row r="25" spans="1:12">
      <c r="C25" s="16"/>
      <c r="D25" s="26"/>
      <c r="E25" s="26"/>
      <c r="F25" s="26"/>
      <c r="G25" s="26"/>
      <c r="H25" s="26"/>
      <c r="I25" s="26"/>
      <c r="J25" s="26"/>
      <c r="K25" s="26"/>
      <c r="L25" s="26"/>
    </row>
    <row r="26" spans="1:12">
      <c r="A26" t="s">
        <v>338</v>
      </c>
      <c r="C26" s="17" t="s">
        <v>119</v>
      </c>
      <c r="D26" s="27">
        <f>'ET workings 14-15'!D15+'ET workings 14-15'!D16+'ET workings 14-15'!D20</f>
        <v>1390.4952308352754</v>
      </c>
      <c r="E26" s="27">
        <f>'ET workings 14-15'!E15+'ET workings 14-15'!E16+'ET workings 14-15'!E20</f>
        <v>1528.8674895584477</v>
      </c>
      <c r="F26" s="27">
        <f>'ET workings 14-15'!F15+'ET workings 14-15'!F16+'ET workings 14-15'!F20</f>
        <v>1447.2834725272048</v>
      </c>
      <c r="G26" s="27">
        <f>'ET workings 14-15'!G15+'ET workings 14-15'!G16+'ET workings 14-15'!G20</f>
        <v>1365.8631230980088</v>
      </c>
      <c r="H26" s="27">
        <f>'ET workings 14-15'!H15+'ET workings 14-15'!H16+'ET workings 14-15'!H20</f>
        <v>1141.9096981529601</v>
      </c>
      <c r="I26" s="27">
        <f>'ET workings 14-15'!I15+'ET workings 14-15'!I16+'ET workings 14-15'!I20</f>
        <v>1088.8097022275799</v>
      </c>
      <c r="J26" s="27">
        <f>'ET workings 14-15'!J15+'ET workings 14-15'!J16+'ET workings 14-15'!J20</f>
        <v>938.07112341239144</v>
      </c>
      <c r="K26" s="27">
        <f>'ET workings 14-15'!K15+'ET workings 14-15'!K16+'ET workings 14-15'!K20</f>
        <v>766.03445815756584</v>
      </c>
      <c r="L26" s="28">
        <f>SUM(D26:K26)</f>
        <v>9667.3342979694353</v>
      </c>
    </row>
    <row r="27" spans="1:12">
      <c r="C27" s="18" t="s">
        <v>386</v>
      </c>
      <c r="D27" s="29">
        <f>'ET workings 14-15'!D21+'ET workings 14-15'!D17</f>
        <v>192.21282629439594</v>
      </c>
      <c r="E27" s="29">
        <f>'ET workings 14-15'!E21+'ET workings 14-15'!E17</f>
        <v>196.41204072355288</v>
      </c>
      <c r="F27" s="29">
        <f>'ET workings 14-15'!F21+'ET workings 14-15'!F17</f>
        <v>203.04710659109347</v>
      </c>
      <c r="G27" s="29">
        <f>'ET workings 14-15'!G21+'ET workings 14-15'!G17</f>
        <v>204.35171680440774</v>
      </c>
      <c r="H27" s="29">
        <f>'ET workings 14-15'!H21+'ET workings 14-15'!H17</f>
        <v>205.72203973741003</v>
      </c>
      <c r="I27" s="29">
        <f>'ET workings 14-15'!I21+'ET workings 14-15'!I17</f>
        <v>206.0644404839947</v>
      </c>
      <c r="J27" s="29">
        <f>'ET workings 14-15'!J21+'ET workings 14-15'!J17</f>
        <v>207.83890997781467</v>
      </c>
      <c r="K27" s="29">
        <f>'ET workings 14-15'!K21+'ET workings 14-15'!K17</f>
        <v>208.20405529640865</v>
      </c>
      <c r="L27" s="30">
        <f t="shared" ref="L27:L38" si="1">SUM(D27:K27)</f>
        <v>1623.853135909078</v>
      </c>
    </row>
    <row r="28" spans="1:12">
      <c r="C28" s="19" t="s">
        <v>71</v>
      </c>
      <c r="D28" s="31">
        <f>SUM(D26:D27)</f>
        <v>1582.7080571296713</v>
      </c>
      <c r="E28" s="31">
        <f t="shared" ref="E28:K28" si="2">SUM(E26:E27)</f>
        <v>1725.2795302820005</v>
      </c>
      <c r="F28" s="31">
        <f t="shared" si="2"/>
        <v>1650.3305791182984</v>
      </c>
      <c r="G28" s="31">
        <f t="shared" si="2"/>
        <v>1570.2148399024165</v>
      </c>
      <c r="H28" s="31">
        <f t="shared" si="2"/>
        <v>1347.6317378903702</v>
      </c>
      <c r="I28" s="31">
        <f t="shared" si="2"/>
        <v>1294.8741427115747</v>
      </c>
      <c r="J28" s="31">
        <f t="shared" si="2"/>
        <v>1145.9100333902061</v>
      </c>
      <c r="K28" s="31">
        <f t="shared" si="2"/>
        <v>974.23851345397452</v>
      </c>
      <c r="L28" s="28">
        <f t="shared" si="1"/>
        <v>11291.187433878511</v>
      </c>
    </row>
    <row r="29" spans="1:12">
      <c r="A29" t="s">
        <v>346</v>
      </c>
      <c r="C29" s="17" t="s">
        <v>121</v>
      </c>
      <c r="D29" s="27">
        <f>'ET workings 14-15'!D38+'ET workings 14-15'!D39+'ET workings 14-15'!D43</f>
        <v>1390.4952308352754</v>
      </c>
      <c r="E29" s="27">
        <f>'ET workings 14-15'!E38+'ET workings 14-15'!E39+'ET workings 14-15'!E43</f>
        <v>1528.8674895584477</v>
      </c>
      <c r="F29" s="27">
        <f>'ET workings 14-15'!F38+'ET workings 14-15'!F39+'ET workings 14-15'!F43</f>
        <v>1447.2834725272048</v>
      </c>
      <c r="G29" s="27">
        <f>'ET workings 14-15'!G38+'ET workings 14-15'!G39+'ET workings 14-15'!G43</f>
        <v>1365.8631230980088</v>
      </c>
      <c r="H29" s="27">
        <f>'ET workings 14-15'!H38+'ET workings 14-15'!H39+'ET workings 14-15'!H43</f>
        <v>1141.9096981529601</v>
      </c>
      <c r="I29" s="27">
        <f>'ET workings 14-15'!I38+'ET workings 14-15'!I39+'ET workings 14-15'!I43</f>
        <v>1088.8097022275799</v>
      </c>
      <c r="J29" s="27">
        <f>'ET workings 14-15'!J38+'ET workings 14-15'!J39+'ET workings 14-15'!J43</f>
        <v>938.07112341239156</v>
      </c>
      <c r="K29" s="27">
        <f>'ET workings 14-15'!K38+'ET workings 14-15'!K39+'ET workings 14-15'!K43</f>
        <v>766.03445815756584</v>
      </c>
      <c r="L29" s="28">
        <f t="shared" si="1"/>
        <v>9667.3342979694353</v>
      </c>
    </row>
    <row r="30" spans="1:12">
      <c r="C30" s="18" t="s">
        <v>387</v>
      </c>
      <c r="D30" s="29">
        <f>'ET workings 14-15'!D40+'ET workings 14-15'!D44</f>
        <v>192.21282629439594</v>
      </c>
      <c r="E30" s="29">
        <f>'ET workings 14-15'!E40+'ET workings 14-15'!E44</f>
        <v>196.41204072355288</v>
      </c>
      <c r="F30" s="29">
        <f>'ET workings 14-15'!F40+'ET workings 14-15'!F44</f>
        <v>203.04710659109347</v>
      </c>
      <c r="G30" s="29">
        <f>'ET workings 14-15'!G40+'ET workings 14-15'!G44</f>
        <v>204.35171680440774</v>
      </c>
      <c r="H30" s="29">
        <f>'ET workings 14-15'!H40+'ET workings 14-15'!H44</f>
        <v>205.72203973741003</v>
      </c>
      <c r="I30" s="29">
        <f>'ET workings 14-15'!I40+'ET workings 14-15'!I44</f>
        <v>206.0644404839947</v>
      </c>
      <c r="J30" s="29">
        <f>'ET workings 14-15'!J40+'ET workings 14-15'!J44</f>
        <v>207.83890997781467</v>
      </c>
      <c r="K30" s="29">
        <f>'ET workings 14-15'!K40+'ET workings 14-15'!K44</f>
        <v>208.20405529640865</v>
      </c>
      <c r="L30" s="30">
        <f t="shared" si="1"/>
        <v>1623.853135909078</v>
      </c>
    </row>
    <row r="31" spans="1:12">
      <c r="C31" s="19" t="s">
        <v>77</v>
      </c>
      <c r="D31" s="31">
        <f>SUM(D29:D30)</f>
        <v>1582.7080571296713</v>
      </c>
      <c r="E31" s="31">
        <f t="shared" ref="E31:K31" si="3">SUM(E29:E30)</f>
        <v>1725.2795302820005</v>
      </c>
      <c r="F31" s="31">
        <f t="shared" si="3"/>
        <v>1650.3305791182984</v>
      </c>
      <c r="G31" s="31">
        <f t="shared" si="3"/>
        <v>1570.2148399024165</v>
      </c>
      <c r="H31" s="31">
        <f t="shared" si="3"/>
        <v>1347.6317378903702</v>
      </c>
      <c r="I31" s="31">
        <f t="shared" si="3"/>
        <v>1294.8741427115747</v>
      </c>
      <c r="J31" s="31">
        <f t="shared" si="3"/>
        <v>1145.9100333902063</v>
      </c>
      <c r="K31" s="31">
        <f t="shared" si="3"/>
        <v>974.23851345397452</v>
      </c>
      <c r="L31" s="28">
        <f t="shared" si="1"/>
        <v>11291.187433878511</v>
      </c>
    </row>
    <row r="32" spans="1:12">
      <c r="A32" t="s">
        <v>233</v>
      </c>
      <c r="C32" s="17" t="s">
        <v>388</v>
      </c>
      <c r="D32" s="27">
        <f>D26-(D26-D29)*$K$2</f>
        <v>1390.4952308352754</v>
      </c>
      <c r="E32" s="27">
        <f t="shared" ref="E32:K32" si="4">E26-(E26-E29)*$K$2</f>
        <v>1528.8674895584477</v>
      </c>
      <c r="F32" s="27">
        <f t="shared" si="4"/>
        <v>1447.2834725272048</v>
      </c>
      <c r="G32" s="27">
        <f t="shared" si="4"/>
        <v>1365.8631230980088</v>
      </c>
      <c r="H32" s="27">
        <f t="shared" si="4"/>
        <v>1141.9096981529601</v>
      </c>
      <c r="I32" s="27">
        <f t="shared" si="4"/>
        <v>1088.8097022275799</v>
      </c>
      <c r="J32" s="27">
        <f t="shared" si="4"/>
        <v>938.07112341239156</v>
      </c>
      <c r="K32" s="27">
        <f t="shared" si="4"/>
        <v>766.03445815756584</v>
      </c>
      <c r="L32" s="28">
        <f t="shared" si="1"/>
        <v>9667.3342979694353</v>
      </c>
    </row>
    <row r="33" spans="3:14">
      <c r="C33" s="18" t="s">
        <v>389</v>
      </c>
      <c r="D33" s="29">
        <f>D27-(D27-D30)*$K$2</f>
        <v>192.21282629439594</v>
      </c>
      <c r="E33" s="29">
        <f t="shared" ref="E33:K33" si="5">E27-(E27-E30)*$K$2</f>
        <v>196.41204072355288</v>
      </c>
      <c r="F33" s="29">
        <f t="shared" si="5"/>
        <v>203.04710659109347</v>
      </c>
      <c r="G33" s="29">
        <f t="shared" si="5"/>
        <v>204.35171680440774</v>
      </c>
      <c r="H33" s="29">
        <f t="shared" si="5"/>
        <v>205.72203973741003</v>
      </c>
      <c r="I33" s="29">
        <f t="shared" si="5"/>
        <v>206.0644404839947</v>
      </c>
      <c r="J33" s="29">
        <f t="shared" si="5"/>
        <v>207.83890997781467</v>
      </c>
      <c r="K33" s="29">
        <f t="shared" si="5"/>
        <v>208.20405529640865</v>
      </c>
      <c r="L33" s="30">
        <f t="shared" si="1"/>
        <v>1623.853135909078</v>
      </c>
    </row>
    <row r="34" spans="3:14">
      <c r="C34" s="19" t="s">
        <v>78</v>
      </c>
      <c r="D34" s="31">
        <f>SUM(D32:D33)</f>
        <v>1582.7080571296713</v>
      </c>
      <c r="E34" s="31">
        <f t="shared" ref="E34:K34" si="6">SUM(E32:E33)</f>
        <v>1725.2795302820005</v>
      </c>
      <c r="F34" s="31">
        <f t="shared" si="6"/>
        <v>1650.3305791182984</v>
      </c>
      <c r="G34" s="31">
        <f t="shared" si="6"/>
        <v>1570.2148399024165</v>
      </c>
      <c r="H34" s="31">
        <f t="shared" si="6"/>
        <v>1347.6317378903702</v>
      </c>
      <c r="I34" s="31">
        <f t="shared" si="6"/>
        <v>1294.8741427115747</v>
      </c>
      <c r="J34" s="31">
        <f t="shared" si="6"/>
        <v>1145.9100333902063</v>
      </c>
      <c r="K34" s="31">
        <f t="shared" si="6"/>
        <v>974.23851345397452</v>
      </c>
      <c r="L34" s="28">
        <f t="shared" si="1"/>
        <v>11291.187433878511</v>
      </c>
    </row>
    <row r="35" spans="3:14">
      <c r="C35" s="20"/>
      <c r="D35" s="32"/>
      <c r="E35" s="32"/>
      <c r="F35" s="32"/>
      <c r="G35" s="32"/>
      <c r="H35" s="32"/>
      <c r="I35" s="32"/>
      <c r="J35" s="32"/>
      <c r="K35" s="32"/>
      <c r="L35" s="33"/>
    </row>
    <row r="36" spans="3:14">
      <c r="C36" s="17" t="s">
        <v>79</v>
      </c>
      <c r="D36" s="27">
        <f>'ET workings 14-15'!D55</f>
        <v>237.40620856945091</v>
      </c>
      <c r="E36" s="27">
        <f>'ET workings 14-15'!E55</f>
        <v>258.79192954230029</v>
      </c>
      <c r="F36" s="27">
        <f>'ET workings 14-15'!F55</f>
        <v>247.54958686774498</v>
      </c>
      <c r="G36" s="27">
        <f>'ET workings 14-15'!G55</f>
        <v>235.53222598536234</v>
      </c>
      <c r="H36" s="27">
        <f>'ET workings 14-15'!H55</f>
        <v>202.1447606835556</v>
      </c>
      <c r="I36" s="27">
        <f>'ET workings 14-15'!I55</f>
        <v>194.23112140673624</v>
      </c>
      <c r="J36" s="27">
        <f>'ET workings 14-15'!J55</f>
        <v>171.88650500853097</v>
      </c>
      <c r="K36" s="27">
        <f>'ET workings 14-15'!K55</f>
        <v>146.13577701809621</v>
      </c>
      <c r="L36" s="28">
        <f t="shared" si="1"/>
        <v>1693.6781150817776</v>
      </c>
    </row>
    <row r="37" spans="3:14">
      <c r="C37" s="18" t="s">
        <v>80</v>
      </c>
      <c r="D37" s="29">
        <f>'ET workings 14-15'!D54</f>
        <v>1345.3018485602204</v>
      </c>
      <c r="E37" s="29">
        <f>'ET workings 14-15'!E54</f>
        <v>1466.4876007397002</v>
      </c>
      <c r="F37" s="29">
        <f>'ET workings 14-15'!F54</f>
        <v>1402.7809922505535</v>
      </c>
      <c r="G37" s="29">
        <f>'ET workings 14-15'!G54</f>
        <v>1334.6826139170541</v>
      </c>
      <c r="H37" s="29">
        <f>'ET workings 14-15'!H54</f>
        <v>1145.4869772068148</v>
      </c>
      <c r="I37" s="29">
        <f>'ET workings 14-15'!I54</f>
        <v>1100.6430213048384</v>
      </c>
      <c r="J37" s="29">
        <f>'ET workings 14-15'!J54</f>
        <v>974.02352838167531</v>
      </c>
      <c r="K37" s="29">
        <f>'ET workings 14-15'!K54</f>
        <v>828.10273643587834</v>
      </c>
      <c r="L37" s="30">
        <f t="shared" si="1"/>
        <v>9597.5093187967341</v>
      </c>
    </row>
    <row r="38" spans="3:14" ht="13.8" thickBot="1">
      <c r="C38" s="21" t="s">
        <v>390</v>
      </c>
      <c r="D38" s="34">
        <f t="shared" ref="D38:K38" si="7">SUM(D36:D37)</f>
        <v>1582.7080571296713</v>
      </c>
      <c r="E38" s="34">
        <f t="shared" si="7"/>
        <v>1725.2795302820005</v>
      </c>
      <c r="F38" s="34">
        <f t="shared" si="7"/>
        <v>1650.3305791182984</v>
      </c>
      <c r="G38" s="34">
        <f t="shared" si="7"/>
        <v>1570.2148399024165</v>
      </c>
      <c r="H38" s="34">
        <f t="shared" si="7"/>
        <v>1347.6317378903705</v>
      </c>
      <c r="I38" s="34">
        <f t="shared" si="7"/>
        <v>1294.8741427115747</v>
      </c>
      <c r="J38" s="34">
        <f t="shared" si="7"/>
        <v>1145.9100333902063</v>
      </c>
      <c r="K38" s="34">
        <f t="shared" si="7"/>
        <v>974.23851345397452</v>
      </c>
      <c r="L38" s="35">
        <f t="shared" si="1"/>
        <v>11291.187433878511</v>
      </c>
    </row>
    <row r="39" spans="3:14">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'ET workings 14-15'!D130</f>
        <v>8790.8537557518612</v>
      </c>
      <c r="E42" s="36">
        <f>D46</f>
        <v>9413.5907142733067</v>
      </c>
      <c r="F42" s="36">
        <f t="shared" ref="F42:K42" si="9">E46</f>
        <v>10278.650222673625</v>
      </c>
      <c r="G42" s="36">
        <f t="shared" si="9"/>
        <v>11037.148244633705</v>
      </c>
      <c r="H42" s="36">
        <f t="shared" si="9"/>
        <v>11693.585012656382</v>
      </c>
      <c r="I42" s="36">
        <f t="shared" si="9"/>
        <v>12132.498625524488</v>
      </c>
      <c r="J42" s="36">
        <f t="shared" si="9"/>
        <v>12505.684945327164</v>
      </c>
      <c r="K42" s="36">
        <f t="shared" si="9"/>
        <v>12743.376413650127</v>
      </c>
    </row>
    <row r="43" spans="3:14">
      <c r="C43" s="17" t="s">
        <v>86</v>
      </c>
      <c r="D43" s="27">
        <f>'ET workings 14-15'!D131</f>
        <v>1191.5959543765675</v>
      </c>
      <c r="E43" s="27">
        <f>'ET workings 14-15'!E131</f>
        <v>1466.4876007397002</v>
      </c>
      <c r="F43" s="27">
        <f>'ET workings 14-15'!F131</f>
        <v>1402.7809922505535</v>
      </c>
      <c r="G43" s="27">
        <f>'ET workings 14-15'!G131</f>
        <v>1334.6826139170541</v>
      </c>
      <c r="H43" s="27">
        <f>'ET workings 14-15'!H131</f>
        <v>1145.4869772068148</v>
      </c>
      <c r="I43" s="27">
        <f>'ET workings 14-15'!I131</f>
        <v>1100.6430213048384</v>
      </c>
      <c r="J43" s="27">
        <f>'ET workings 14-15'!J131</f>
        <v>974.02352838167531</v>
      </c>
      <c r="K43" s="27">
        <f>'ET workings 14-15'!K131</f>
        <v>828.10273643587834</v>
      </c>
    </row>
    <row r="44" spans="3:14">
      <c r="C44" s="18" t="s">
        <v>92</v>
      </c>
      <c r="D44" s="29">
        <f>'ET workings 14-15'!D165</f>
        <v>-568.85899585512277</v>
      </c>
      <c r="E44" s="29">
        <f>'ET workings 14-15'!E165</f>
        <v>-549.89961863661063</v>
      </c>
      <c r="F44" s="29">
        <f>'ET workings 14-15'!F165</f>
        <v>-536.88830227380822</v>
      </c>
      <c r="G44" s="29">
        <f>'ET workings 14-15'!G165</f>
        <v>-523.0969313330138</v>
      </c>
      <c r="H44" s="29">
        <f>'ET workings 14-15'!H165</f>
        <v>-510.3572924260522</v>
      </c>
      <c r="I44" s="29">
        <f>'ET workings 14-15'!I165</f>
        <v>-499.08660917668186</v>
      </c>
      <c r="J44" s="29">
        <f>'ET workings 14-15'!J165</f>
        <v>-479.55827686084967</v>
      </c>
      <c r="K44" s="29">
        <f>'ET workings 14-15'!K165</f>
        <v>-462.21006048952034</v>
      </c>
    </row>
    <row r="45" spans="3:14">
      <c r="C45" s="17" t="s">
        <v>93</v>
      </c>
      <c r="D45" s="27">
        <f>'ET workings 14-15'!D166</f>
        <v>0</v>
      </c>
      <c r="E45" s="27">
        <f>'ET workings 14-15'!E166</f>
        <v>-51.528473702770491</v>
      </c>
      <c r="F45" s="27">
        <f>'ET workings 14-15'!F166</f>
        <v>-107.39466801666383</v>
      </c>
      <c r="G45" s="27">
        <f>'ET workings 14-15'!G166</f>
        <v>-155.14891456136351</v>
      </c>
      <c r="H45" s="27">
        <f>'ET workings 14-15'!H166</f>
        <v>-196.21607191265747</v>
      </c>
      <c r="I45" s="27">
        <f>'ET workings 14-15'!I166</f>
        <v>-228.37009232548036</v>
      </c>
      <c r="J45" s="27">
        <f>'ET workings 14-15'!J166</f>
        <v>-256.77378319786328</v>
      </c>
      <c r="K45" s="27">
        <f>'ET workings 14-15'!K166</f>
        <v>-280.03404656220181</v>
      </c>
      <c r="N45" s="132" t="s">
        <v>301</v>
      </c>
    </row>
    <row r="46" spans="3:14" ht="13.8" thickBot="1">
      <c r="C46" s="25" t="s">
        <v>94</v>
      </c>
      <c r="D46" s="37">
        <f>SUM(D42:D45)</f>
        <v>9413.5907142733067</v>
      </c>
      <c r="E46" s="37">
        <f t="shared" ref="E46:K46" si="10">SUM(E42:E45)</f>
        <v>10278.650222673625</v>
      </c>
      <c r="F46" s="37">
        <f t="shared" si="10"/>
        <v>11037.148244633705</v>
      </c>
      <c r="G46" s="37">
        <f t="shared" si="10"/>
        <v>11693.585012656382</v>
      </c>
      <c r="H46" s="37">
        <f t="shared" si="10"/>
        <v>12132.498625524488</v>
      </c>
      <c r="I46" s="37">
        <f t="shared" si="10"/>
        <v>12505.684945327164</v>
      </c>
      <c r="J46" s="37">
        <f t="shared" si="10"/>
        <v>12743.376413650127</v>
      </c>
      <c r="K46" s="37">
        <f t="shared" si="10"/>
        <v>12829.235043034283</v>
      </c>
      <c r="N46" s="133">
        <f>(K46/D46)^(1/7)-1</f>
        <v>4.521706764707023E-2</v>
      </c>
    </row>
    <row r="47" spans="3:14">
      <c r="D47" s="53">
        <f>D46-'ET workings 14-15'!D133</f>
        <v>0</v>
      </c>
      <c r="E47" s="53">
        <f>E46-'ET workings 14-15'!E133</f>
        <v>0</v>
      </c>
      <c r="F47" s="53">
        <f>F46-'ET workings 14-15'!F133</f>
        <v>0</v>
      </c>
      <c r="G47" s="53">
        <f>G46-'ET workings 14-15'!G133</f>
        <v>0</v>
      </c>
      <c r="H47" s="53">
        <f>H46-'ET workings 14-15'!H133</f>
        <v>0</v>
      </c>
      <c r="I47" s="53">
        <f>I46-'ET workings 14-15'!I133</f>
        <v>0</v>
      </c>
      <c r="J47" s="53">
        <f>J46-'ET workings 14-15'!J133</f>
        <v>0</v>
      </c>
      <c r="K47" s="53">
        <f>K46-'ET workings 14-15'!K133</f>
        <v>0</v>
      </c>
    </row>
    <row r="49" spans="1:33" ht="13.8" thickBot="1">
      <c r="A49" s="38" t="s">
        <v>363</v>
      </c>
    </row>
    <row r="50" spans="1:33" ht="13.8" thickBot="1">
      <c r="C50" s="7" t="s">
        <v>58</v>
      </c>
      <c r="D50" s="8" t="s">
        <v>59</v>
      </c>
      <c r="E50" s="8" t="s">
        <v>60</v>
      </c>
      <c r="F50" s="8" t="s">
        <v>61</v>
      </c>
      <c r="G50" s="8" t="s">
        <v>62</v>
      </c>
      <c r="H50" s="8" t="s">
        <v>63</v>
      </c>
      <c r="I50" s="8" t="s">
        <v>64</v>
      </c>
      <c r="J50" s="8" t="s">
        <v>65</v>
      </c>
      <c r="K50" s="8" t="s">
        <v>66</v>
      </c>
      <c r="P50" s="204"/>
    </row>
    <row r="51" spans="1:33">
      <c r="C51" s="22" t="s">
        <v>91</v>
      </c>
      <c r="D51" s="41">
        <f>'ET workings 14-15'!D58</f>
        <v>8691.0913006079008</v>
      </c>
      <c r="E51" s="41">
        <f>D55</f>
        <v>9318.9401894571911</v>
      </c>
      <c r="F51" s="41">
        <f t="shared" ref="F51:K51" si="11">E55</f>
        <v>10190.13064602857</v>
      </c>
      <c r="G51" s="41">
        <f t="shared" si="11"/>
        <v>10954.759616159714</v>
      </c>
      <c r="H51" s="41">
        <f t="shared" si="11"/>
        <v>11693.585012656384</v>
      </c>
      <c r="I51" s="41">
        <f t="shared" si="11"/>
        <v>12132.498625524489</v>
      </c>
      <c r="J51" s="41">
        <f t="shared" si="11"/>
        <v>12505.684945327168</v>
      </c>
      <c r="K51" s="41">
        <f t="shared" si="11"/>
        <v>12743.376413650129</v>
      </c>
      <c r="P51" s="42"/>
    </row>
    <row r="52" spans="1:33">
      <c r="C52" s="10" t="s">
        <v>85</v>
      </c>
      <c r="D52" s="42">
        <f>'ET workings 14-15'!D59</f>
        <v>0</v>
      </c>
      <c r="E52" s="42">
        <f>'ET workings 14-15'!E59</f>
        <v>0</v>
      </c>
      <c r="F52" s="42">
        <f>'ET workings 14-15'!F59</f>
        <v>0</v>
      </c>
      <c r="G52" s="42">
        <f>'ET workings 14-15'!G59</f>
        <v>82.388628473992952</v>
      </c>
      <c r="H52" s="42">
        <f>'ET workings 14-15'!H59</f>
        <v>0</v>
      </c>
      <c r="I52" s="42">
        <f>'ET workings 14-15'!I59</f>
        <v>0</v>
      </c>
      <c r="J52" s="42">
        <f>'ET workings 14-15'!J59</f>
        <v>0</v>
      </c>
      <c r="K52" s="42">
        <f>'ET workings 14-15'!K59</f>
        <v>0</v>
      </c>
      <c r="P52" s="42"/>
    </row>
    <row r="53" spans="1:33">
      <c r="C53" s="11" t="s">
        <v>86</v>
      </c>
      <c r="D53" s="43">
        <f>'ET workings 14-15'!D61</f>
        <v>1191.5959543765675</v>
      </c>
      <c r="E53" s="43">
        <f>'ET workings 14-15'!E61</f>
        <v>1466.4876007397002</v>
      </c>
      <c r="F53" s="43">
        <f>'ET workings 14-15'!F61</f>
        <v>1402.7809922505535</v>
      </c>
      <c r="G53" s="43">
        <f>'ET workings 14-15'!G61</f>
        <v>1334.6826139170541</v>
      </c>
      <c r="H53" s="43">
        <f>'ET workings 14-15'!H61</f>
        <v>1145.4869772068148</v>
      </c>
      <c r="I53" s="43">
        <f>'ET workings 14-15'!I61</f>
        <v>1100.6430213048384</v>
      </c>
      <c r="J53" s="43">
        <f>'ET workings 14-15'!J61</f>
        <v>974.02352838167531</v>
      </c>
      <c r="K53" s="43">
        <f>'ET workings 14-15'!K61</f>
        <v>828.10273643587834</v>
      </c>
      <c r="P53" s="42"/>
    </row>
    <row r="54" spans="1:33">
      <c r="C54" s="10" t="s">
        <v>87</v>
      </c>
      <c r="D54" s="42">
        <f>'ET workings 14-15'!D62</f>
        <v>-563.74706552727753</v>
      </c>
      <c r="E54" s="42">
        <f>'ET workings 14-15'!E62</f>
        <v>-595.29714416831962</v>
      </c>
      <c r="F54" s="42">
        <f>'ET workings 14-15'!F62</f>
        <v>-638.1520221194105</v>
      </c>
      <c r="G54" s="42">
        <f>'ET workings 14-15'!G62</f>
        <v>-678.24584589437734</v>
      </c>
      <c r="H54" s="42">
        <f>'ET workings 14-15'!H62</f>
        <v>-706.57336433870967</v>
      </c>
      <c r="I54" s="42">
        <f>'ET workings 14-15'!I62</f>
        <v>-727.45670150216222</v>
      </c>
      <c r="J54" s="42">
        <f>'ET workings 14-15'!J62</f>
        <v>-736.33206005871295</v>
      </c>
      <c r="K54" s="42">
        <f>'ET workings 14-15'!K62</f>
        <v>-742.24410705172215</v>
      </c>
      <c r="P54" s="42"/>
    </row>
    <row r="55" spans="1:33">
      <c r="C55" s="39" t="s">
        <v>94</v>
      </c>
      <c r="D55" s="45">
        <f>'ET workings 14-15'!D63</f>
        <v>9318.9401894571911</v>
      </c>
      <c r="E55" s="45">
        <f>'ET workings 14-15'!E63</f>
        <v>10190.13064602857</v>
      </c>
      <c r="F55" s="45">
        <f>'ET workings 14-15'!F63</f>
        <v>10954.759616159714</v>
      </c>
      <c r="G55" s="45">
        <f>'ET workings 14-15'!G63</f>
        <v>11693.585012656384</v>
      </c>
      <c r="H55" s="45">
        <f>'ET workings 14-15'!H63</f>
        <v>12132.498625524489</v>
      </c>
      <c r="I55" s="45">
        <f>'ET workings 14-15'!I63</f>
        <v>12505.684945327168</v>
      </c>
      <c r="J55" s="45">
        <f>'ET workings 14-15'!J63</f>
        <v>12743.376413650129</v>
      </c>
      <c r="K55" s="45">
        <f>'ET workings 14-15'!K63</f>
        <v>12829.235043034287</v>
      </c>
      <c r="P55" s="50"/>
    </row>
    <row r="56" spans="1:33" ht="13.8" thickBot="1">
      <c r="C56" s="40" t="s">
        <v>163</v>
      </c>
      <c r="D56" s="46">
        <f>'ET workings 14-15'!D128-'ET workings 14-15'!D127</f>
        <v>94.650524816115961</v>
      </c>
      <c r="E56" s="46">
        <f>'ET workings 14-15'!E128-'ET workings 14-15'!E127</f>
        <v>88.519576645054457</v>
      </c>
      <c r="F56" s="46">
        <f>'ET workings 14-15'!F128-'ET workings 14-15'!F127</f>
        <v>82.388628473992952</v>
      </c>
      <c r="G56" s="46">
        <f>'ET workings 14-15'!G128-'ET workings 14-15'!G127</f>
        <v>0</v>
      </c>
      <c r="H56" s="46">
        <f>'ET workings 14-15'!H128-'ET workings 14-15'!H127</f>
        <v>0</v>
      </c>
      <c r="I56" s="46">
        <f>'ET workings 14-15'!I128-'ET workings 14-15'!I127</f>
        <v>0</v>
      </c>
      <c r="J56" s="46">
        <f>'ET workings 14-15'!J128-'ET workings 14-15'!J127</f>
        <v>0</v>
      </c>
      <c r="K56" s="46">
        <f>'ET workings 14-15'!K128-'ET workings 14-15'!K127</f>
        <v>0</v>
      </c>
      <c r="P56" s="42"/>
    </row>
    <row r="57" spans="1:33">
      <c r="D57" s="53">
        <f>D55-'ET workings 14-15'!D63</f>
        <v>0</v>
      </c>
      <c r="E57" s="53">
        <f>E55-'ET workings 14-15'!E63</f>
        <v>0</v>
      </c>
      <c r="F57" s="53">
        <f>F55-'ET workings 14-15'!F63</f>
        <v>0</v>
      </c>
      <c r="G57" s="53">
        <f>G55-'ET workings 14-15'!G63</f>
        <v>0</v>
      </c>
      <c r="H57" s="53">
        <f>H55-'ET workings 14-15'!H63</f>
        <v>0</v>
      </c>
      <c r="I57" s="53">
        <f>I55-'ET workings 14-15'!I63</f>
        <v>0</v>
      </c>
      <c r="J57" s="53">
        <f>J55-'ET workings 14-15'!J63</f>
        <v>0</v>
      </c>
      <c r="K57" s="53">
        <f>K55-'ET workings 14-15'!K63</f>
        <v>0</v>
      </c>
      <c r="P57" s="53"/>
    </row>
    <row r="58" spans="1:33" ht="13.8" thickBot="1">
      <c r="P58" s="207"/>
    </row>
    <row r="59" spans="1:33" ht="13.8" thickBot="1">
      <c r="C59" s="7" t="s">
        <v>58</v>
      </c>
      <c r="D59" s="8" t="s">
        <v>59</v>
      </c>
      <c r="E59" s="8" t="s">
        <v>60</v>
      </c>
      <c r="F59" s="8" t="s">
        <v>61</v>
      </c>
      <c r="G59" s="8" t="s">
        <v>62</v>
      </c>
      <c r="H59" s="8" t="s">
        <v>63</v>
      </c>
      <c r="I59" s="8" t="s">
        <v>64</v>
      </c>
      <c r="J59" s="8" t="s">
        <v>65</v>
      </c>
      <c r="K59" s="8" t="s">
        <v>66</v>
      </c>
      <c r="P59" s="204"/>
      <c r="S59" s="204"/>
      <c r="T59" s="204"/>
      <c r="U59" s="204"/>
      <c r="W59" s="204"/>
      <c r="X59" s="204"/>
      <c r="Y59" s="204"/>
      <c r="Z59" s="204"/>
      <c r="AA59" s="204"/>
      <c r="AB59" s="204"/>
      <c r="AC59" s="204"/>
      <c r="AD59" s="204"/>
      <c r="AE59" s="204"/>
    </row>
    <row r="60" spans="1:33">
      <c r="C60" s="22" t="s">
        <v>79</v>
      </c>
      <c r="D60" s="41">
        <f>'ET workings 14-15'!D74</f>
        <v>237.40620856945091</v>
      </c>
      <c r="E60" s="41">
        <f>'ET workings 14-15'!E74</f>
        <v>258.79192954230029</v>
      </c>
      <c r="F60" s="41">
        <f>'ET workings 14-15'!F74</f>
        <v>247.54958686774498</v>
      </c>
      <c r="G60" s="41">
        <f>'ET workings 14-15'!G74</f>
        <v>235.53222598536234</v>
      </c>
      <c r="H60" s="41">
        <f>'ET workings 14-15'!H74</f>
        <v>202.1447606835556</v>
      </c>
      <c r="I60" s="41">
        <f>'ET workings 14-15'!I74</f>
        <v>194.23112140673624</v>
      </c>
      <c r="J60" s="41">
        <f>'ET workings 14-15'!J74</f>
        <v>171.88650500853097</v>
      </c>
      <c r="K60" s="41">
        <f>'ET workings 14-15'!K74</f>
        <v>146.13577701809621</v>
      </c>
      <c r="L60" s="28">
        <f t="shared" ref="L60:L73" si="12">SUM(D60:K60)</f>
        <v>1693.6781150817776</v>
      </c>
      <c r="P60" s="42"/>
      <c r="S60" s="42"/>
      <c r="T60" s="42"/>
      <c r="U60" s="42"/>
      <c r="V60" s="109"/>
      <c r="W60" s="42"/>
      <c r="X60" s="42"/>
      <c r="Y60" s="42"/>
      <c r="Z60" s="42"/>
      <c r="AA60" s="42"/>
      <c r="AB60" s="42"/>
      <c r="AC60" s="42"/>
      <c r="AD60" s="42"/>
      <c r="AE60" s="50"/>
      <c r="AF60" s="109"/>
      <c r="AG60" s="109"/>
    </row>
    <row r="61" spans="1:33">
      <c r="C61" s="10" t="s">
        <v>98</v>
      </c>
      <c r="D61" s="42">
        <f>'ET workings 14-15'!D75</f>
        <v>94.24723304227993</v>
      </c>
      <c r="E61" s="42">
        <f>'ET workings 14-15'!E75</f>
        <v>87.678224204681584</v>
      </c>
      <c r="F61" s="42">
        <f>'ET workings 14-15'!F75</f>
        <v>87.676243763178761</v>
      </c>
      <c r="G61" s="42">
        <f>'ET workings 14-15'!G75</f>
        <v>87.677481779017953</v>
      </c>
      <c r="H61" s="42">
        <f>'ET workings 14-15'!H75</f>
        <v>87.676244486345595</v>
      </c>
      <c r="I61" s="42">
        <f>'ET workings 14-15'!I75</f>
        <v>87.676244488148086</v>
      </c>
      <c r="J61" s="42">
        <f>'ET workings 14-15'!J75</f>
        <v>87.676244492723825</v>
      </c>
      <c r="K61" s="42">
        <f>'ET workings 14-15'!K75</f>
        <v>87.676244462267519</v>
      </c>
      <c r="L61" s="28">
        <f t="shared" si="12"/>
        <v>707.98416071864324</v>
      </c>
      <c r="P61" s="42"/>
      <c r="S61" s="42"/>
      <c r="T61" s="42"/>
      <c r="U61" s="42"/>
      <c r="V61" s="109"/>
      <c r="W61" s="42"/>
      <c r="X61" s="42"/>
      <c r="Y61" s="42"/>
      <c r="Z61" s="42"/>
      <c r="AA61" s="42"/>
      <c r="AB61" s="42"/>
      <c r="AC61" s="42"/>
      <c r="AD61" s="42"/>
      <c r="AE61" s="50"/>
      <c r="AF61" s="109"/>
      <c r="AG61" s="109"/>
    </row>
    <row r="62" spans="1:33">
      <c r="C62" s="11" t="s">
        <v>99</v>
      </c>
      <c r="D62" s="43">
        <f>'ET workings 14-15'!D140</f>
        <v>32.057225303006618</v>
      </c>
      <c r="E62" s="43">
        <f>'ET workings 14-15'!E140</f>
        <v>31.931339726498404</v>
      </c>
      <c r="F62" s="43">
        <f>'ET workings 14-15'!F140</f>
        <v>32.008827838547532</v>
      </c>
      <c r="G62" s="43">
        <f>'ET workings 14-15'!G140</f>
        <v>32.289843209457139</v>
      </c>
      <c r="H62" s="43">
        <f>'ET workings 14-15'!H140</f>
        <v>32.174546400050545</v>
      </c>
      <c r="I62" s="43">
        <f>'ET workings 14-15'!I140</f>
        <v>32.263105279879774</v>
      </c>
      <c r="J62" s="43">
        <f>'ET workings 14-15'!J140</f>
        <v>32.555695359918822</v>
      </c>
      <c r="K62" s="43">
        <f>'ET workings 14-15'!K140</f>
        <v>32.452500140401249</v>
      </c>
      <c r="L62" s="28">
        <f t="shared" si="12"/>
        <v>257.73308325776009</v>
      </c>
      <c r="P62" s="42"/>
      <c r="S62" s="42"/>
      <c r="T62" s="42"/>
      <c r="U62" s="42"/>
      <c r="V62" s="109"/>
      <c r="W62" s="42"/>
      <c r="X62" s="42"/>
      <c r="Y62" s="42"/>
      <c r="Z62" s="42"/>
      <c r="AA62" s="42"/>
      <c r="AB62" s="42"/>
      <c r="AC62" s="42"/>
      <c r="AD62" s="42"/>
      <c r="AE62" s="50"/>
      <c r="AF62" s="109"/>
      <c r="AG62" s="109"/>
    </row>
    <row r="63" spans="1:33">
      <c r="C63" s="10" t="s">
        <v>100</v>
      </c>
      <c r="D63" s="42">
        <f>'ET workings 14-15'!D78</f>
        <v>0</v>
      </c>
      <c r="E63" s="42">
        <f>'ET workings 14-15'!E78</f>
        <v>15.302083324179691</v>
      </c>
      <c r="F63" s="42">
        <f>'ET workings 14-15'!F78</f>
        <v>0</v>
      </c>
      <c r="G63" s="42">
        <f>'ET workings 14-15'!G78</f>
        <v>21.350851138829352</v>
      </c>
      <c r="H63" s="42">
        <f>'ET workings 14-15'!H78</f>
        <v>0</v>
      </c>
      <c r="I63" s="42">
        <f>'ET workings 14-15'!I78</f>
        <v>0</v>
      </c>
      <c r="J63" s="42">
        <f>'ET workings 14-15'!J78</f>
        <v>0</v>
      </c>
      <c r="K63" s="42">
        <f>'ET workings 14-15'!K78</f>
        <v>0</v>
      </c>
      <c r="L63" s="28">
        <f t="shared" si="12"/>
        <v>36.652934463009046</v>
      </c>
      <c r="P63" s="42"/>
      <c r="S63" s="42"/>
      <c r="T63" s="42"/>
      <c r="U63" s="42"/>
      <c r="V63" s="109"/>
      <c r="W63" s="42"/>
      <c r="X63" s="42"/>
      <c r="Y63" s="42"/>
      <c r="Z63" s="42"/>
      <c r="AA63" s="42"/>
      <c r="AB63" s="42"/>
      <c r="AC63" s="42"/>
      <c r="AD63" s="42"/>
      <c r="AE63" s="50"/>
      <c r="AF63" s="109"/>
      <c r="AG63" s="109"/>
    </row>
    <row r="64" spans="1:33">
      <c r="C64" s="11" t="s">
        <v>101</v>
      </c>
      <c r="D64" s="43">
        <f>'ET workings 14-15'!D79</f>
        <v>15.168246288518162</v>
      </c>
      <c r="E64" s="43">
        <f>'ET workings 14-15'!E79</f>
        <v>16.275110005972994</v>
      </c>
      <c r="F64" s="43">
        <f>'ET workings 14-15'!F79</f>
        <v>15.614702904478012</v>
      </c>
      <c r="G64" s="43">
        <f>'ET workings 14-15'!G79</f>
        <v>14.911674359737152</v>
      </c>
      <c r="H64" s="43">
        <f>'ET workings 14-15'!H79</f>
        <v>13.033415757853545</v>
      </c>
      <c r="I64" s="43">
        <f>'ET workings 14-15'!I79</f>
        <v>12.556067765830047</v>
      </c>
      <c r="J64" s="43">
        <f>'ET workings 14-15'!J79</f>
        <v>11.285100906339711</v>
      </c>
      <c r="K64" s="43">
        <f>'ET workings 14-15'!K79</f>
        <v>9.8268179419485548</v>
      </c>
      <c r="L64" s="28">
        <f t="shared" si="12"/>
        <v>108.67113593067819</v>
      </c>
      <c r="P64" s="42"/>
      <c r="S64" s="42"/>
      <c r="T64" s="42"/>
      <c r="U64" s="42"/>
      <c r="V64" s="109"/>
      <c r="W64" s="42"/>
      <c r="X64" s="42"/>
      <c r="Y64" s="42"/>
      <c r="Z64" s="42"/>
      <c r="AA64" s="42"/>
      <c r="AB64" s="42"/>
      <c r="AC64" s="42"/>
      <c r="AD64" s="42"/>
      <c r="AE64" s="50"/>
      <c r="AF64" s="109"/>
      <c r="AG64" s="109"/>
    </row>
    <row r="65" spans="1:33">
      <c r="C65" s="10" t="s">
        <v>102</v>
      </c>
      <c r="D65" s="42">
        <f>'ET workings 14-15'!D81</f>
        <v>85.250420369347012</v>
      </c>
      <c r="E65" s="42">
        <f>'ET workings 14-15'!E81</f>
        <v>77.753945682356559</v>
      </c>
      <c r="F65" s="42">
        <f>'ET workings 14-15'!F81</f>
        <v>65.225250455457726</v>
      </c>
      <c r="G65" s="42">
        <f>'ET workings 14-15'!G81</f>
        <v>72.326374142402827</v>
      </c>
      <c r="H65" s="42">
        <f>'ET workings 14-15'!H81</f>
        <v>61.745844461211234</v>
      </c>
      <c r="I65" s="42">
        <f>'ET workings 14-15'!I81</f>
        <v>64.319633935715046</v>
      </c>
      <c r="J65" s="42">
        <f>'ET workings 14-15'!J81</f>
        <v>63.371338647991386</v>
      </c>
      <c r="K65" s="42">
        <f>'ET workings 14-15'!K81</f>
        <v>64.332105910113654</v>
      </c>
      <c r="L65" s="28">
        <f t="shared" si="12"/>
        <v>554.32491360459539</v>
      </c>
      <c r="P65" s="42"/>
      <c r="S65" s="42"/>
      <c r="T65" s="42"/>
      <c r="U65" s="42"/>
      <c r="V65" s="109"/>
      <c r="W65" s="42"/>
      <c r="X65" s="42"/>
      <c r="Y65" s="42"/>
      <c r="Z65" s="42"/>
      <c r="AA65" s="42"/>
      <c r="AB65" s="42"/>
      <c r="AC65" s="42"/>
      <c r="AD65" s="42"/>
      <c r="AE65" s="50"/>
      <c r="AF65" s="109"/>
      <c r="AG65" s="109"/>
    </row>
    <row r="66" spans="1:33">
      <c r="C66" s="11" t="s">
        <v>103</v>
      </c>
      <c r="D66" s="43">
        <f>'ET workings 14-15'!D76+'ET workings 14-15'!D77</f>
        <v>964.42098207380468</v>
      </c>
      <c r="E66" s="43">
        <f>'ET workings 14-15'!E76+'ET workings 14-15'!E77</f>
        <v>1018.0348410671287</v>
      </c>
      <c r="F66" s="43">
        <f>'ET workings 14-15'!F76+'ET workings 14-15'!F77</f>
        <v>1096.4203818651142</v>
      </c>
      <c r="G66" s="43">
        <f>'ET workings 14-15'!G76+'ET workings 14-15'!G77</f>
        <v>1170.9616577447953</v>
      </c>
      <c r="H66" s="43">
        <f>'ET workings 14-15'!H76+'ET workings 14-15'!H77</f>
        <v>1223.1493641307948</v>
      </c>
      <c r="I66" s="43">
        <f>'ET workings 14-15'!I76+'ET workings 14-15'!I77</f>
        <v>1261.6778725648228</v>
      </c>
      <c r="J66" s="43">
        <f>'ET workings 14-15'!J76+'ET workings 14-15'!J77</f>
        <v>1283.8667458610657</v>
      </c>
      <c r="K66" s="43">
        <f>'ET workings 14-15'!K76+'ET workings 14-15'!K77</f>
        <v>1296.8679172337704</v>
      </c>
      <c r="L66" s="28">
        <f t="shared" si="12"/>
        <v>9315.3997625412976</v>
      </c>
      <c r="P66" s="42"/>
      <c r="S66" s="42"/>
      <c r="T66" s="42"/>
      <c r="U66" s="42"/>
      <c r="V66" s="109"/>
      <c r="W66" s="42"/>
      <c r="X66" s="42"/>
      <c r="Y66" s="42"/>
      <c r="Z66" s="42"/>
      <c r="AA66" s="42"/>
      <c r="AB66" s="42"/>
      <c r="AC66" s="42"/>
      <c r="AD66" s="42"/>
      <c r="AE66" s="50"/>
      <c r="AF66" s="109"/>
      <c r="AG66" s="109"/>
    </row>
    <row r="67" spans="1:33">
      <c r="C67" s="10" t="s">
        <v>168</v>
      </c>
      <c r="D67" s="42">
        <f>'ET workings 14-15'!D86</f>
        <v>13.751034124367685</v>
      </c>
      <c r="E67" s="42">
        <f>'ET workings 14-15'!E86</f>
        <v>13.274690050778315</v>
      </c>
      <c r="F67" s="42">
        <f>'ET workings 14-15'!F86</f>
        <v>12.798257977175346</v>
      </c>
      <c r="G67" s="42">
        <f>'ET workings 14-15'!G86</f>
        <v>0</v>
      </c>
      <c r="H67" s="42">
        <f>'ET workings 14-15'!H86</f>
        <v>0</v>
      </c>
      <c r="I67" s="42">
        <f>'ET workings 14-15'!I86</f>
        <v>0</v>
      </c>
      <c r="J67" s="42">
        <f>'ET workings 14-15'!J86</f>
        <v>0</v>
      </c>
      <c r="K67" s="42">
        <f>'ET workings 14-15'!K86</f>
        <v>0</v>
      </c>
      <c r="L67" s="28">
        <f t="shared" si="12"/>
        <v>39.823982152321349</v>
      </c>
      <c r="P67" s="42"/>
      <c r="S67" s="42"/>
      <c r="T67" s="42"/>
      <c r="U67" s="42"/>
      <c r="V67" s="109"/>
      <c r="W67" s="42"/>
      <c r="X67" s="42"/>
      <c r="Y67" s="42"/>
      <c r="Z67" s="42"/>
      <c r="AA67" s="42"/>
      <c r="AB67" s="42"/>
      <c r="AC67" s="42"/>
      <c r="AD67" s="42"/>
      <c r="AE67" s="50"/>
      <c r="AF67" s="109"/>
      <c r="AG67" s="109"/>
    </row>
    <row r="68" spans="1:33">
      <c r="C68" s="11" t="s">
        <v>169</v>
      </c>
      <c r="D68" s="43">
        <f>'ET workings 14-15'!D149+'ET workings 14-15'!D88-'ET workings 14-15'!D147</f>
        <v>45.575789332201907</v>
      </c>
      <c r="E68" s="43">
        <f>'ET workings 14-15'!E149+'ET workings 14-15'!E88-'ET workings 14-15'!E147</f>
        <v>46.167314462951751</v>
      </c>
      <c r="F68" s="43">
        <f>'ET workings 14-15'!F149+'ET workings 14-15'!F88-'ET workings 14-15'!F147</f>
        <v>47.313686746961572</v>
      </c>
      <c r="G68" s="43">
        <f>'ET workings 14-15'!G149+'ET workings 14-15'!G88-'ET workings 14-15'!G147</f>
        <v>46.988420835463501</v>
      </c>
      <c r="H68" s="43">
        <f>'ET workings 14-15'!H149+'ET workings 14-15'!H88-'ET workings 14-15'!H147</f>
        <v>48.956190083497219</v>
      </c>
      <c r="I68" s="43">
        <f>'ET workings 14-15'!I149+'ET workings 14-15'!I88-'ET workings 14-15'!I147</f>
        <v>50.807833717239745</v>
      </c>
      <c r="J68" s="43">
        <f>'ET workings 14-15'!J149+'ET workings 14-15'!J88-'ET workings 14-15'!J147</f>
        <v>52.890364325071189</v>
      </c>
      <c r="K68" s="43">
        <f>'ET workings 14-15'!K149+'ET workings 14-15'!K88-'ET workings 14-15'!K147</f>
        <v>55.070975687002388</v>
      </c>
      <c r="L68" s="28">
        <f t="shared" si="12"/>
        <v>393.77057519038925</v>
      </c>
      <c r="P68" s="42"/>
      <c r="S68" s="42"/>
      <c r="T68" s="42"/>
      <c r="U68" s="42"/>
      <c r="V68" s="109"/>
      <c r="W68" s="42"/>
      <c r="X68" s="42"/>
      <c r="Y68" s="42"/>
      <c r="Z68" s="42"/>
      <c r="AA68" s="42"/>
      <c r="AB68" s="42"/>
      <c r="AC68" s="42"/>
      <c r="AD68" s="42"/>
      <c r="AE68" s="50"/>
      <c r="AF68" s="109"/>
      <c r="AG68" s="109"/>
    </row>
    <row r="69" spans="1:33" ht="13.8" thickBot="1">
      <c r="C69" s="23" t="s">
        <v>107</v>
      </c>
      <c r="D69" s="44">
        <f>SUM(D60:D68)</f>
        <v>1487.8771391029768</v>
      </c>
      <c r="E69" s="44">
        <f t="shared" ref="E69:K69" si="13">SUM(E60:E68)</f>
        <v>1565.2094780668483</v>
      </c>
      <c r="F69" s="44">
        <f t="shared" si="13"/>
        <v>1604.6069384186583</v>
      </c>
      <c r="G69" s="44">
        <f t="shared" si="13"/>
        <v>1682.0385291950656</v>
      </c>
      <c r="H69" s="44">
        <f t="shared" si="13"/>
        <v>1668.8803660033084</v>
      </c>
      <c r="I69" s="44">
        <f t="shared" si="13"/>
        <v>1703.5318791583716</v>
      </c>
      <c r="J69" s="44">
        <f t="shared" si="13"/>
        <v>1703.5319946016418</v>
      </c>
      <c r="K69" s="44">
        <f t="shared" si="13"/>
        <v>1692.3623383936001</v>
      </c>
      <c r="L69" s="28">
        <f t="shared" ref="L69" si="14">SUM(D69:K69)</f>
        <v>13108.038662940471</v>
      </c>
      <c r="P69" s="50"/>
      <c r="S69" s="42"/>
      <c r="T69" s="42"/>
      <c r="U69" s="42"/>
      <c r="V69" s="109"/>
      <c r="W69" s="42"/>
      <c r="X69" s="42"/>
      <c r="Y69" s="42"/>
      <c r="Z69" s="42"/>
      <c r="AA69" s="42"/>
      <c r="AB69" s="42"/>
      <c r="AC69" s="42"/>
      <c r="AD69" s="42"/>
      <c r="AE69" s="50"/>
      <c r="AF69" s="109"/>
      <c r="AG69" s="109"/>
    </row>
    <row r="70" spans="1:33" ht="13.8" thickBot="1">
      <c r="L70" s="28"/>
      <c r="S70" s="42"/>
      <c r="T70" s="42"/>
      <c r="U70" s="42"/>
      <c r="V70" s="109"/>
      <c r="W70" s="42"/>
      <c r="X70" s="42"/>
      <c r="Y70" s="42"/>
      <c r="Z70" s="42"/>
      <c r="AA70" s="42"/>
      <c r="AB70" s="42"/>
      <c r="AC70" s="42"/>
      <c r="AD70" s="42"/>
      <c r="AE70" s="50"/>
      <c r="AF70" s="109"/>
      <c r="AG70" s="109"/>
    </row>
    <row r="71" spans="1:33" ht="13.8" thickBot="1">
      <c r="C71" s="7" t="s">
        <v>58</v>
      </c>
      <c r="D71" s="8" t="s">
        <v>59</v>
      </c>
      <c r="E71" s="8" t="s">
        <v>60</v>
      </c>
      <c r="F71" s="8" t="s">
        <v>61</v>
      </c>
      <c r="G71" s="8" t="s">
        <v>62</v>
      </c>
      <c r="H71" s="8" t="s">
        <v>63</v>
      </c>
      <c r="I71" s="8" t="s">
        <v>64</v>
      </c>
      <c r="J71" s="8" t="s">
        <v>65</v>
      </c>
      <c r="K71" s="8" t="s">
        <v>66</v>
      </c>
      <c r="L71" s="28"/>
      <c r="P71" s="204"/>
      <c r="S71" s="42"/>
      <c r="T71" s="42"/>
      <c r="U71" s="42"/>
      <c r="V71" s="109"/>
      <c r="W71" s="42"/>
      <c r="X71" s="42"/>
      <c r="Y71" s="42"/>
      <c r="Z71" s="42"/>
      <c r="AA71" s="42"/>
      <c r="AB71" s="42"/>
      <c r="AC71" s="42"/>
      <c r="AD71" s="42"/>
      <c r="AE71" s="50"/>
      <c r="AF71" s="109"/>
      <c r="AG71" s="109"/>
    </row>
    <row r="72" spans="1:33">
      <c r="C72" s="10" t="s">
        <v>392</v>
      </c>
      <c r="D72" s="42">
        <f>'ET workings 14-15'!D91+'ET workings 14-15'!D86</f>
        <v>1364.8771391029768</v>
      </c>
      <c r="E72" s="42">
        <f>'ET workings 14-15'!E91+'ET workings 14-15'!E86</f>
        <v>1442.4094780668481</v>
      </c>
      <c r="F72" s="42">
        <f>'ET workings 14-15'!F91+'ET workings 14-15'!F86</f>
        <v>1474.8069384186579</v>
      </c>
      <c r="G72" s="42">
        <f>'ET workings 14-15'!G91+'ET workings 14-15'!G86</f>
        <v>1556.4385291950655</v>
      </c>
      <c r="H72" s="42">
        <f>'ET workings 14-15'!H91+'ET workings 14-15'!H86</f>
        <v>1541.5803660033087</v>
      </c>
      <c r="I72" s="42">
        <f>'ET workings 14-15'!I91+'ET workings 14-15'!I86</f>
        <v>1574.9318791583714</v>
      </c>
      <c r="J72" s="42">
        <f>'ET workings 14-15'!J91+'ET workings 14-15'!J86</f>
        <v>1573.331994601642</v>
      </c>
      <c r="K72" s="42">
        <f>'ET workings 14-15'!K91+'ET workings 14-15'!K86</f>
        <v>1560.6623383935998</v>
      </c>
      <c r="L72" s="28">
        <f t="shared" si="12"/>
        <v>12089.038662940471</v>
      </c>
      <c r="P72" s="42"/>
      <c r="S72" s="42"/>
      <c r="T72" s="42"/>
      <c r="U72" s="42"/>
      <c r="V72" s="109"/>
      <c r="W72" s="42"/>
      <c r="X72" s="42"/>
      <c r="Y72" s="42"/>
      <c r="Z72" s="42"/>
      <c r="AA72" s="42"/>
      <c r="AB72" s="42"/>
      <c r="AC72" s="42"/>
      <c r="AD72" s="42"/>
      <c r="AE72" s="50"/>
      <c r="AF72" s="109"/>
      <c r="AG72" s="109"/>
    </row>
    <row r="73" spans="1:33">
      <c r="C73" s="11" t="s">
        <v>175</v>
      </c>
      <c r="D73" s="43">
        <f>'ET workings 14-15'!D88</f>
        <v>123</v>
      </c>
      <c r="E73" s="43">
        <f>'ET workings 14-15'!E88</f>
        <v>122.8</v>
      </c>
      <c r="F73" s="43">
        <f>'ET workings 14-15'!F88</f>
        <v>129.80000000000001</v>
      </c>
      <c r="G73" s="43">
        <f>'ET workings 14-15'!G88</f>
        <v>125.6</v>
      </c>
      <c r="H73" s="43">
        <f>'ET workings 14-15'!H88</f>
        <v>127.3</v>
      </c>
      <c r="I73" s="43">
        <f>'ET workings 14-15'!I88</f>
        <v>128.6</v>
      </c>
      <c r="J73" s="43">
        <f>'ET workings 14-15'!J88</f>
        <v>130.19999999999999</v>
      </c>
      <c r="K73" s="43">
        <f>'ET workings 14-15'!K88</f>
        <v>131.69999999999999</v>
      </c>
      <c r="L73" s="28">
        <f t="shared" si="12"/>
        <v>1019</v>
      </c>
      <c r="N73" s="132" t="s">
        <v>301</v>
      </c>
      <c r="P73" s="42"/>
      <c r="S73" s="42"/>
      <c r="T73" s="42"/>
      <c r="U73" s="42"/>
      <c r="V73" s="109"/>
      <c r="W73" s="42"/>
      <c r="X73" s="42"/>
      <c r="Y73" s="42"/>
      <c r="Z73" s="42"/>
      <c r="AA73" s="42"/>
      <c r="AB73" s="42"/>
      <c r="AC73" s="42"/>
      <c r="AD73" s="42"/>
      <c r="AE73" s="50"/>
      <c r="AF73" s="109"/>
      <c r="AG73" s="109"/>
    </row>
    <row r="74" spans="1:33" ht="13.8" thickBot="1">
      <c r="C74" s="23" t="s">
        <v>107</v>
      </c>
      <c r="D74" s="44">
        <f t="shared" ref="D74:L74" si="15">D72+D73</f>
        <v>1487.8771391029768</v>
      </c>
      <c r="E74" s="44">
        <f t="shared" si="15"/>
        <v>1565.2094780668481</v>
      </c>
      <c r="F74" s="44">
        <f t="shared" si="15"/>
        <v>1604.6069384186578</v>
      </c>
      <c r="G74" s="44">
        <f t="shared" si="15"/>
        <v>1682.0385291950654</v>
      </c>
      <c r="H74" s="44">
        <f t="shared" si="15"/>
        <v>1668.8803660033086</v>
      </c>
      <c r="I74" s="44">
        <f t="shared" si="15"/>
        <v>1703.5318791583713</v>
      </c>
      <c r="J74" s="44">
        <f t="shared" si="15"/>
        <v>1703.5319946016421</v>
      </c>
      <c r="K74" s="44">
        <f t="shared" si="15"/>
        <v>1692.3623383935999</v>
      </c>
      <c r="L74" s="28">
        <f t="shared" si="15"/>
        <v>13108.038662940471</v>
      </c>
      <c r="N74" s="133">
        <f>(K74/D74)^(1/7)-1</f>
        <v>1.8566688362499306E-2</v>
      </c>
      <c r="P74" s="50"/>
      <c r="S74" s="50"/>
      <c r="T74" s="50"/>
      <c r="U74" s="50"/>
      <c r="V74" s="109"/>
      <c r="W74" s="50"/>
      <c r="X74" s="50"/>
      <c r="Y74" s="50"/>
      <c r="Z74" s="50"/>
      <c r="AA74" s="50"/>
      <c r="AB74" s="50"/>
      <c r="AC74" s="50"/>
      <c r="AD74" s="50"/>
      <c r="AE74" s="50"/>
      <c r="AF74" s="109"/>
      <c r="AG74" s="109"/>
    </row>
    <row r="75" spans="1:33">
      <c r="D75" s="53"/>
      <c r="E75" s="53"/>
      <c r="F75" s="53"/>
      <c r="G75" s="53"/>
      <c r="H75" s="53"/>
      <c r="I75" s="53"/>
      <c r="J75" s="53"/>
      <c r="K75" s="53"/>
      <c r="L75" s="53"/>
      <c r="P75" s="53"/>
      <c r="AE75" s="38"/>
    </row>
    <row r="76" spans="1:33">
      <c r="D76" s="53"/>
      <c r="E76" s="53"/>
      <c r="F76" s="53"/>
      <c r="G76" s="53"/>
      <c r="H76" s="53"/>
      <c r="I76" s="53"/>
      <c r="J76" s="53"/>
      <c r="K76" s="53"/>
      <c r="L76" s="53"/>
      <c r="AE76" s="38"/>
    </row>
    <row r="77" spans="1:33">
      <c r="D77" s="53"/>
      <c r="E77" s="53"/>
      <c r="F77" s="53"/>
      <c r="G77" s="53"/>
      <c r="H77" s="53"/>
      <c r="I77" s="53"/>
      <c r="J77" s="53"/>
      <c r="K77" s="53"/>
      <c r="L77" s="53"/>
      <c r="AE77" s="38"/>
    </row>
    <row r="78" spans="1:33" ht="13.8" thickBot="1"/>
    <row r="79" spans="1:33" ht="13.8" thickBot="1">
      <c r="A79" s="38"/>
      <c r="C79" s="14" t="s">
        <v>58</v>
      </c>
      <c r="D79" s="15" t="s">
        <v>59</v>
      </c>
      <c r="E79" s="15" t="s">
        <v>60</v>
      </c>
      <c r="F79" s="15" t="s">
        <v>61</v>
      </c>
      <c r="G79" s="15" t="s">
        <v>62</v>
      </c>
      <c r="H79" s="15" t="s">
        <v>63</v>
      </c>
      <c r="I79" s="15" t="s">
        <v>64</v>
      </c>
      <c r="J79" s="15" t="s">
        <v>65</v>
      </c>
      <c r="K79" s="15" t="s">
        <v>66</v>
      </c>
      <c r="L79" s="15" t="s">
        <v>118</v>
      </c>
      <c r="P79" s="205"/>
    </row>
    <row r="80" spans="1:33">
      <c r="C80" s="124"/>
      <c r="D80" s="125"/>
      <c r="E80" s="125"/>
      <c r="F80" s="125"/>
      <c r="G80" s="125"/>
      <c r="H80" s="125"/>
      <c r="I80" s="125"/>
      <c r="J80" s="125"/>
      <c r="K80" s="125"/>
      <c r="L80" s="125"/>
      <c r="P80" s="206"/>
    </row>
    <row r="81" spans="1:16">
      <c r="C81" s="17" t="str">
        <f>C3</f>
        <v>TO capex - load-related</v>
      </c>
      <c r="D81" s="165">
        <f>'ET workings 14-15'!D15</f>
        <v>241.91835100747039</v>
      </c>
      <c r="E81" s="165">
        <f>'ET workings 14-15'!E15</f>
        <v>206.22285805015076</v>
      </c>
      <c r="F81" s="165">
        <f>'ET workings 14-15'!F15</f>
        <v>183.4765697039528</v>
      </c>
      <c r="G81" s="165">
        <f>'ET workings 14-15'!G15</f>
        <v>187.40173539185469</v>
      </c>
      <c r="H81" s="165">
        <f>'ET workings 14-15'!H15</f>
        <v>142.92705896695065</v>
      </c>
      <c r="I81" s="165">
        <f>'ET workings 14-15'!I15</f>
        <v>124.46128971626086</v>
      </c>
      <c r="J81" s="165">
        <f>'ET workings 14-15'!J15</f>
        <v>44.072350609794569</v>
      </c>
      <c r="K81" s="165">
        <f>'ET workings 14-15'!K15</f>
        <v>28.383548641119383</v>
      </c>
      <c r="L81" s="165">
        <f>SUM(D81:K81)</f>
        <v>1158.8637620875541</v>
      </c>
      <c r="M81" s="53">
        <f>E3</f>
        <v>1.1588637620875542</v>
      </c>
      <c r="N81" s="53">
        <f>E3-L81/1000</f>
        <v>0</v>
      </c>
      <c r="P81" s="165"/>
    </row>
    <row r="82" spans="1:16">
      <c r="C82" s="17" t="str">
        <f>C4</f>
        <v>TO capex - non-load related</v>
      </c>
      <c r="D82" s="165">
        <f>'ET workings 14-15'!D16</f>
        <v>506.11836500601339</v>
      </c>
      <c r="E82" s="165">
        <f>'ET workings 14-15'!E16</f>
        <v>499.20409814951984</v>
      </c>
      <c r="F82" s="165">
        <f>'ET workings 14-15'!F16</f>
        <v>485.07329761796098</v>
      </c>
      <c r="G82" s="165">
        <f>'ET workings 14-15'!G16</f>
        <v>489.14143160750723</v>
      </c>
      <c r="H82" s="165">
        <f>'ET workings 14-15'!H16</f>
        <v>622.61892466629627</v>
      </c>
      <c r="I82" s="165">
        <f>'ET workings 14-15'!I16</f>
        <v>715.79753719305393</v>
      </c>
      <c r="J82" s="165">
        <f>'ET workings 14-15'!J16</f>
        <v>784.25081046797004</v>
      </c>
      <c r="K82" s="165">
        <f>'ET workings 14-15'!K16</f>
        <v>704.21301595565285</v>
      </c>
      <c r="L82" s="165">
        <f>SUM(D82:K82)</f>
        <v>4806.4174806639749</v>
      </c>
      <c r="M82" s="53">
        <f>E4</f>
        <v>4.806417480663975</v>
      </c>
      <c r="N82" s="53">
        <f>E4-L82/1000</f>
        <v>0</v>
      </c>
      <c r="P82" s="165"/>
    </row>
    <row r="83" spans="1:16">
      <c r="C83" s="18" t="str">
        <f>C5</f>
        <v xml:space="preserve">Uncertainty mechanism capex </v>
      </c>
      <c r="D83" s="166">
        <f>'ET workings 14-15'!D20</f>
        <v>642.4585148217916</v>
      </c>
      <c r="E83" s="166">
        <f>'ET workings 14-15'!E20</f>
        <v>823.44053335877697</v>
      </c>
      <c r="F83" s="166">
        <f>'ET workings 14-15'!F20</f>
        <v>778.73360520529104</v>
      </c>
      <c r="G83" s="166">
        <f>'ET workings 14-15'!G20</f>
        <v>689.31995609864691</v>
      </c>
      <c r="H83" s="166">
        <f>'ET workings 14-15'!H20</f>
        <v>376.36371451971331</v>
      </c>
      <c r="I83" s="166">
        <f>'ET workings 14-15'!I20</f>
        <v>248.55087531826513</v>
      </c>
      <c r="J83" s="166">
        <f>'ET workings 14-15'!J20</f>
        <v>109.74796233462695</v>
      </c>
      <c r="K83" s="166">
        <f>'ET workings 14-15'!K20</f>
        <v>33.43789356079359</v>
      </c>
      <c r="L83" s="166">
        <f t="shared" ref="L83:L90" si="16">SUM(D83:K83)</f>
        <v>3702.0530552179057</v>
      </c>
      <c r="M83" s="53">
        <f>E5</f>
        <v>3.7020530552179056</v>
      </c>
      <c r="N83" s="53">
        <f>E5-L83/1000</f>
        <v>0</v>
      </c>
      <c r="P83" s="165"/>
    </row>
    <row r="84" spans="1:16">
      <c r="C84" s="17" t="str">
        <f>C6</f>
        <v xml:space="preserve">Uncertainty mechanism opex </v>
      </c>
      <c r="D84" s="165">
        <f>'ET workings 14-15'!D21</f>
        <v>0</v>
      </c>
      <c r="E84" s="165">
        <f>'ET workings 14-15'!E21</f>
        <v>0</v>
      </c>
      <c r="F84" s="165">
        <f>'ET workings 14-15'!F21</f>
        <v>0</v>
      </c>
      <c r="G84" s="165">
        <f>'ET workings 14-15'!G21</f>
        <v>0</v>
      </c>
      <c r="H84" s="165">
        <f>'ET workings 14-15'!H21</f>
        <v>0</v>
      </c>
      <c r="I84" s="165">
        <f>'ET workings 14-15'!I21</f>
        <v>0</v>
      </c>
      <c r="J84" s="165">
        <f>'ET workings 14-15'!J21</f>
        <v>0</v>
      </c>
      <c r="K84" s="165">
        <f>'ET workings 14-15'!K21</f>
        <v>0</v>
      </c>
      <c r="L84" s="165">
        <f t="shared" si="16"/>
        <v>0</v>
      </c>
      <c r="M84" s="53">
        <f>E6</f>
        <v>0</v>
      </c>
      <c r="N84" s="53">
        <f>E6-L84/1000</f>
        <v>0</v>
      </c>
      <c r="P84" s="165"/>
    </row>
    <row r="85" spans="1:16">
      <c r="C85" s="18" t="str">
        <f>C7</f>
        <v xml:space="preserve">Controllable opex </v>
      </c>
      <c r="D85" s="158">
        <f>'ET workings 14-15'!D17</f>
        <v>192.21282629439594</v>
      </c>
      <c r="E85" s="158">
        <f>'ET workings 14-15'!E17</f>
        <v>196.41204072355288</v>
      </c>
      <c r="F85" s="158">
        <f>'ET workings 14-15'!F17</f>
        <v>203.04710659109347</v>
      </c>
      <c r="G85" s="158">
        <f>'ET workings 14-15'!G17</f>
        <v>204.35171680440774</v>
      </c>
      <c r="H85" s="158">
        <f>'ET workings 14-15'!H17</f>
        <v>205.72203973741003</v>
      </c>
      <c r="I85" s="158">
        <f>'ET workings 14-15'!I17</f>
        <v>206.0644404839947</v>
      </c>
      <c r="J85" s="158">
        <f>'ET workings 14-15'!J17</f>
        <v>207.83890997781467</v>
      </c>
      <c r="K85" s="158">
        <f>'ET workings 14-15'!K17</f>
        <v>208.20405529640865</v>
      </c>
      <c r="L85" s="158">
        <f t="shared" si="16"/>
        <v>1623.853135909078</v>
      </c>
      <c r="M85" s="53">
        <f>E7</f>
        <v>1.623853135909078</v>
      </c>
      <c r="N85" s="53">
        <f>E7-L85/1000</f>
        <v>0</v>
      </c>
      <c r="P85" s="168"/>
    </row>
    <row r="86" spans="1:16">
      <c r="C86" s="19" t="str">
        <f>C9</f>
        <v xml:space="preserve">TO Totex </v>
      </c>
      <c r="D86" s="167">
        <f t="shared" ref="D86:K86" si="17">SUM(D81:D85)</f>
        <v>1582.7080571296713</v>
      </c>
      <c r="E86" s="167">
        <f t="shared" si="17"/>
        <v>1725.2795302820005</v>
      </c>
      <c r="F86" s="167">
        <f t="shared" si="17"/>
        <v>1650.3305791182984</v>
      </c>
      <c r="G86" s="167">
        <f t="shared" si="17"/>
        <v>1570.2148399024165</v>
      </c>
      <c r="H86" s="167">
        <f t="shared" si="17"/>
        <v>1347.6317378903702</v>
      </c>
      <c r="I86" s="167">
        <f t="shared" si="17"/>
        <v>1294.8741427115747</v>
      </c>
      <c r="J86" s="167">
        <f t="shared" si="17"/>
        <v>1145.9100333902061</v>
      </c>
      <c r="K86" s="167">
        <f t="shared" si="17"/>
        <v>974.23851345397452</v>
      </c>
      <c r="L86" s="167">
        <f t="shared" si="16"/>
        <v>11291.187433878511</v>
      </c>
      <c r="M86" s="53">
        <f>E9</f>
        <v>11.291187433878513</v>
      </c>
      <c r="N86" s="53">
        <f>E9-L86/1000</f>
        <v>0</v>
      </c>
      <c r="P86" s="167"/>
    </row>
    <row r="87" spans="1:16">
      <c r="C87" s="18" t="str">
        <f>C10</f>
        <v xml:space="preserve">Non controllable opex </v>
      </c>
      <c r="D87" s="166">
        <f>'ET workings 14-15'!D26</f>
        <v>94.24723304227993</v>
      </c>
      <c r="E87" s="166">
        <f>'ET workings 14-15'!E26</f>
        <v>87.678224204681584</v>
      </c>
      <c r="F87" s="166">
        <f>'ET workings 14-15'!F26</f>
        <v>87.676243763178761</v>
      </c>
      <c r="G87" s="166">
        <f>'ET workings 14-15'!G26</f>
        <v>87.677481779017953</v>
      </c>
      <c r="H87" s="166">
        <f>'ET workings 14-15'!H26</f>
        <v>87.676244486345595</v>
      </c>
      <c r="I87" s="166">
        <f>'ET workings 14-15'!I26</f>
        <v>87.676244488148086</v>
      </c>
      <c r="J87" s="166">
        <f>'ET workings 14-15'!J26</f>
        <v>87.676244492723825</v>
      </c>
      <c r="K87" s="166">
        <f>'ET workings 14-15'!K26</f>
        <v>87.676244462267519</v>
      </c>
      <c r="L87" s="166">
        <f t="shared" si="16"/>
        <v>707.98416071864324</v>
      </c>
      <c r="M87" s="53">
        <f>E10</f>
        <v>0.70798416071864323</v>
      </c>
      <c r="N87" s="53">
        <f>E10-L87/1000</f>
        <v>0</v>
      </c>
      <c r="P87" s="165"/>
    </row>
    <row r="88" spans="1:16">
      <c r="C88" s="17"/>
      <c r="D88" s="168"/>
      <c r="E88" s="168"/>
      <c r="F88" s="168"/>
      <c r="G88" s="168"/>
      <c r="H88" s="168"/>
      <c r="I88" s="168"/>
      <c r="J88" s="168"/>
      <c r="K88" s="168"/>
      <c r="L88" s="165"/>
      <c r="M88" s="53"/>
      <c r="N88" s="53"/>
      <c r="P88" s="168"/>
    </row>
    <row r="89" spans="1:16">
      <c r="C89" s="18" t="str">
        <f>C12</f>
        <v xml:space="preserve">SO capex </v>
      </c>
      <c r="D89" s="158">
        <f>'ET workings 14-15'!D8</f>
        <v>39.230261993822481</v>
      </c>
      <c r="E89" s="158">
        <f>'ET workings 14-15'!E8</f>
        <v>34.208586772300464</v>
      </c>
      <c r="F89" s="158">
        <f>'ET workings 14-15'!F8</f>
        <v>29.40934615713995</v>
      </c>
      <c r="G89" s="158">
        <f>'ET workings 14-15'!G8</f>
        <v>27.165060319864111</v>
      </c>
      <c r="H89" s="158">
        <f>'ET workings 14-15'!H8</f>
        <v>29.591699211758403</v>
      </c>
      <c r="I89" s="158">
        <f>'ET workings 14-15'!I8</f>
        <v>20.377561078577621</v>
      </c>
      <c r="J89" s="158">
        <f>'ET workings 14-15'!J8</f>
        <v>25.429651204161818</v>
      </c>
      <c r="K89" s="158">
        <f>'ET workings 14-15'!K8</f>
        <v>25.40838563392731</v>
      </c>
      <c r="L89" s="158">
        <f t="shared" si="16"/>
        <v>230.82055237155214</v>
      </c>
      <c r="M89" s="53">
        <f>E12</f>
        <v>0.23082055237155213</v>
      </c>
      <c r="N89" s="53">
        <f>E12-L89/1000</f>
        <v>0</v>
      </c>
      <c r="P89" s="168"/>
    </row>
    <row r="90" spans="1:16">
      <c r="C90" s="17" t="str">
        <f>C13</f>
        <v xml:space="preserve">Controllable opex </v>
      </c>
      <c r="D90" s="165">
        <f>'ET workings 14-15'!D7</f>
        <v>73.775027711210655</v>
      </c>
      <c r="E90" s="165">
        <f>'ET workings 14-15'!E7</f>
        <v>74.857370793520886</v>
      </c>
      <c r="F90" s="165">
        <f>'ET workings 14-15'!F7</f>
        <v>77.005994132717234</v>
      </c>
      <c r="G90" s="165">
        <f>'ET workings 14-15'!G7</f>
        <v>78.582137772280092</v>
      </c>
      <c r="H90" s="165">
        <f>'ET workings 14-15'!H7</f>
        <v>79.36050736397776</v>
      </c>
      <c r="I90" s="165">
        <f>'ET workings 14-15'!I7</f>
        <v>79.998881974263142</v>
      </c>
      <c r="J90" s="165">
        <f>'ET workings 14-15'!J7</f>
        <v>81.754729960219521</v>
      </c>
      <c r="K90" s="165">
        <f>'ET workings 14-15'!K7</f>
        <v>83.672873632490891</v>
      </c>
      <c r="L90" s="165">
        <f t="shared" si="16"/>
        <v>629.00752334068022</v>
      </c>
      <c r="M90" s="53">
        <f>E13</f>
        <v>0.62900752334068022</v>
      </c>
      <c r="N90" s="53">
        <f>E13-L90/1000</f>
        <v>0</v>
      </c>
      <c r="P90" s="165"/>
    </row>
    <row r="91" spans="1:16" ht="13.8" thickBot="1">
      <c r="C91" s="23" t="str">
        <f>C15</f>
        <v xml:space="preserve">SO Totex </v>
      </c>
      <c r="D91" s="44">
        <f>SUM(D89:D90)</f>
        <v>113.00528970503314</v>
      </c>
      <c r="E91" s="44">
        <f t="shared" ref="E91:L91" si="18">SUM(E89:E90)</f>
        <v>109.06595756582135</v>
      </c>
      <c r="F91" s="44">
        <f t="shared" si="18"/>
        <v>106.41534028985718</v>
      </c>
      <c r="G91" s="44">
        <f t="shared" si="18"/>
        <v>105.7471980921442</v>
      </c>
      <c r="H91" s="44">
        <f t="shared" si="18"/>
        <v>108.95220657573617</v>
      </c>
      <c r="I91" s="44">
        <f t="shared" si="18"/>
        <v>100.37644305284076</v>
      </c>
      <c r="J91" s="44">
        <f t="shared" si="18"/>
        <v>107.18438116438134</v>
      </c>
      <c r="K91" s="44">
        <f t="shared" si="18"/>
        <v>109.0812592664182</v>
      </c>
      <c r="L91" s="44">
        <f t="shared" si="18"/>
        <v>859.82807571223236</v>
      </c>
      <c r="M91" s="53">
        <f>E15</f>
        <v>0.8598280757122323</v>
      </c>
      <c r="N91" s="53">
        <f>E15-L91/1000</f>
        <v>0</v>
      </c>
      <c r="P91" s="50"/>
    </row>
    <row r="92" spans="1:16">
      <c r="A92" s="38" t="s">
        <v>378</v>
      </c>
    </row>
    <row r="93" spans="1:16" ht="13.8" thickBot="1">
      <c r="C93" s="38" t="s">
        <v>140</v>
      </c>
    </row>
    <row r="94" spans="1:16" ht="13.8" thickBot="1">
      <c r="C94" s="7" t="s">
        <v>58</v>
      </c>
      <c r="D94" s="8" t="s">
        <v>59</v>
      </c>
      <c r="E94" s="8" t="s">
        <v>60</v>
      </c>
      <c r="F94" s="8" t="s">
        <v>61</v>
      </c>
      <c r="G94" s="8" t="s">
        <v>62</v>
      </c>
      <c r="H94" s="8" t="s">
        <v>63</v>
      </c>
      <c r="I94" s="8" t="s">
        <v>64</v>
      </c>
      <c r="J94" s="8" t="s">
        <v>65</v>
      </c>
      <c r="K94" s="8" t="s">
        <v>66</v>
      </c>
    </row>
    <row r="95" spans="1:16">
      <c r="C95" s="22" t="s">
        <v>91</v>
      </c>
      <c r="D95" s="41">
        <f>'ET workings 14-15'!D130+'ET workings 14-15'!D152</f>
        <v>8865.0145032674482</v>
      </c>
      <c r="E95" s="41">
        <f>'ET workings 14-15'!E130+'ET workings 14-15'!E152</f>
        <v>9506.5647649216589</v>
      </c>
      <c r="F95" s="41">
        <f>'ET workings 14-15'!F130+'ET workings 14-15'!F152</f>
        <v>10382.944740140925</v>
      </c>
      <c r="G95" s="41">
        <f>'ET workings 14-15'!G130+'ET workings 14-15'!G152</f>
        <v>11149.08152442858</v>
      </c>
      <c r="H95" s="41">
        <f>'ET workings 14-15'!H130+'ET workings 14-15'!H152</f>
        <v>11810.558420088877</v>
      </c>
      <c r="I95" s="41">
        <f>'ET workings 14-15'!I130+'ET workings 14-15'!I152</f>
        <v>12252.65731837428</v>
      </c>
      <c r="J95" s="41">
        <f>'ET workings 14-15'!J130+'ET workings 14-15'!J152</f>
        <v>12624.80164828952</v>
      </c>
      <c r="K95" s="41">
        <f>'ET workings 14-15'!K130+'ET workings 14-15'!K152</f>
        <v>12862.197918215694</v>
      </c>
    </row>
    <row r="96" spans="1:16">
      <c r="C96" s="10" t="s">
        <v>86</v>
      </c>
      <c r="D96" s="42">
        <f>'ET workings 14-15'!D131+'ET workings 14-15'!D153</f>
        <v>1226.0545788626962</v>
      </c>
      <c r="E96" s="42">
        <f>'ET workings 14-15'!E131+'ET workings 14-15'!E153</f>
        <v>1496.9170029005643</v>
      </c>
      <c r="F96" s="42">
        <f>'ET workings 14-15'!F131+'ET workings 14-15'!F153</f>
        <v>1432.4708721914237</v>
      </c>
      <c r="G96" s="42">
        <f>'ET workings 14-15'!G131+'ET workings 14-15'!G153</f>
        <v>1364.1860821847624</v>
      </c>
      <c r="H96" s="42">
        <f>'ET workings 14-15'!H131+'ET workings 14-15'!H153</f>
        <v>1175.8846428414452</v>
      </c>
      <c r="I96" s="42">
        <f>'ET workings 14-15'!I131+'ET workings 14-15'!I153</f>
        <v>1128.648048916581</v>
      </c>
      <c r="J96" s="42">
        <f>'ET workings 14-15'!J131+'ET workings 14-15'!J153</f>
        <v>1003.9279707265378</v>
      </c>
      <c r="K96" s="42">
        <f>'ET workings 14-15'!K131+'ET workings 14-15'!K153</f>
        <v>858.53640777120904</v>
      </c>
    </row>
    <row r="97" spans="1:11">
      <c r="C97" s="11" t="s">
        <v>87</v>
      </c>
      <c r="D97" s="43">
        <f>'ET workings 14-15'!D132+'ET workings 14-15'!D154</f>
        <v>-584.50431720848701</v>
      </c>
      <c r="E97" s="43">
        <f>'ET workings 14-15'!E132+'ET workings 14-15'!E154</f>
        <v>-620.53702768129654</v>
      </c>
      <c r="F97" s="43">
        <f>'ET workings 14-15'!F132+'ET workings 14-15'!F154</f>
        <v>-666.33408790376859</v>
      </c>
      <c r="G97" s="43">
        <f>'ET workings 14-15'!G132+'ET workings 14-15'!G154</f>
        <v>-702.70918652446903</v>
      </c>
      <c r="H97" s="43">
        <f>'ET workings 14-15'!H132+'ET workings 14-15'!H154</f>
        <v>-733.78574455604257</v>
      </c>
      <c r="I97" s="43">
        <f>'ET workings 14-15'!I132+'ET workings 14-15'!I154</f>
        <v>-756.50371900133962</v>
      </c>
      <c r="J97" s="43">
        <f>'ET workings 14-15'!J132+'ET workings 14-15'!J154</f>
        <v>-766.53170080036546</v>
      </c>
      <c r="K97" s="43">
        <f>'ET workings 14-15'!K132+'ET workings 14-15'!K154</f>
        <v>-772.58532282983742</v>
      </c>
    </row>
    <row r="98" spans="1:11" ht="13.8" thickBot="1">
      <c r="C98" s="13" t="s">
        <v>94</v>
      </c>
      <c r="D98" s="52">
        <f>'ET workings 14-15'!D133+'ET workings 14-15'!D155</f>
        <v>9506.5647649216589</v>
      </c>
      <c r="E98" s="52">
        <f>'ET workings 14-15'!E133+'ET workings 14-15'!E155</f>
        <v>10382.944740140925</v>
      </c>
      <c r="F98" s="52">
        <f>'ET workings 14-15'!F133+'ET workings 14-15'!F155</f>
        <v>11149.081524428579</v>
      </c>
      <c r="G98" s="52">
        <f>'ET workings 14-15'!G133+'ET workings 14-15'!G155</f>
        <v>11810.558420088875</v>
      </c>
      <c r="H98" s="52">
        <f>'ET workings 14-15'!H133+'ET workings 14-15'!H155</f>
        <v>12252.657318374278</v>
      </c>
      <c r="I98" s="52">
        <f>'ET workings 14-15'!I133+'ET workings 14-15'!I155</f>
        <v>12624.801648289522</v>
      </c>
      <c r="J98" s="52">
        <f>'ET workings 14-15'!J133+'ET workings 14-15'!J155</f>
        <v>12862.197918215692</v>
      </c>
      <c r="K98" s="52">
        <f>'ET workings 14-15'!K133+'ET workings 14-15'!K155</f>
        <v>12948.149003157067</v>
      </c>
    </row>
    <row r="100" spans="1:11" ht="13.8" thickBot="1"/>
    <row r="101" spans="1:11" ht="13.8" thickBot="1">
      <c r="C101" s="7" t="s">
        <v>58</v>
      </c>
      <c r="D101" s="8" t="s">
        <v>59</v>
      </c>
      <c r="E101" s="8" t="s">
        <v>60</v>
      </c>
      <c r="F101" s="8" t="s">
        <v>61</v>
      </c>
      <c r="G101" s="8" t="s">
        <v>62</v>
      </c>
      <c r="H101" s="8" t="s">
        <v>63</v>
      </c>
      <c r="I101" s="8" t="s">
        <v>64</v>
      </c>
      <c r="J101" s="8" t="s">
        <v>65</v>
      </c>
      <c r="K101" s="8" t="s">
        <v>66</v>
      </c>
    </row>
    <row r="102" spans="1:11">
      <c r="C102" s="10" t="s">
        <v>370</v>
      </c>
      <c r="D102" s="169">
        <f>'ET workings 14-15'!D86</f>
        <v>13.751034124367685</v>
      </c>
      <c r="E102" s="169">
        <f>'ET workings 14-15'!E86</f>
        <v>13.274690050778315</v>
      </c>
      <c r="F102" s="169">
        <f>'ET workings 14-15'!F86</f>
        <v>12.798257977175346</v>
      </c>
      <c r="G102" s="169">
        <f>'ET workings 14-15'!G86</f>
        <v>0</v>
      </c>
      <c r="H102" s="169">
        <f>'ET workings 14-15'!H86</f>
        <v>0</v>
      </c>
      <c r="I102" s="169">
        <f>'ET workings 14-15'!I86</f>
        <v>0</v>
      </c>
      <c r="J102" s="169">
        <f>'ET workings 14-15'!J86</f>
        <v>0</v>
      </c>
      <c r="K102" s="169">
        <f>'ET workings 14-15'!K86</f>
        <v>0</v>
      </c>
    </row>
    <row r="103" spans="1:11">
      <c r="C103" s="170" t="s">
        <v>371</v>
      </c>
      <c r="D103" s="171">
        <v>0</v>
      </c>
      <c r="E103" s="171">
        <v>0</v>
      </c>
      <c r="F103" s="171">
        <v>0</v>
      </c>
      <c r="G103" s="171">
        <v>0</v>
      </c>
      <c r="H103" s="171">
        <v>0</v>
      </c>
      <c r="I103" s="171">
        <v>0</v>
      </c>
      <c r="J103" s="171">
        <v>0</v>
      </c>
      <c r="K103" s="171">
        <v>0</v>
      </c>
    </row>
    <row r="104" spans="1:11">
      <c r="C104" s="10"/>
      <c r="D104" s="169"/>
      <c r="E104" s="169"/>
      <c r="F104" s="169"/>
      <c r="G104" s="169"/>
      <c r="H104" s="169"/>
      <c r="I104" s="169"/>
      <c r="J104" s="169"/>
      <c r="K104" s="169"/>
    </row>
    <row r="105" spans="1:11">
      <c r="C105" s="11" t="s">
        <v>372</v>
      </c>
      <c r="D105" s="171">
        <f>'ET workings 14-15'!D88</f>
        <v>123</v>
      </c>
      <c r="E105" s="171">
        <f>'ET workings 14-15'!E88</f>
        <v>122.8</v>
      </c>
      <c r="F105" s="171">
        <f>'ET workings 14-15'!F88</f>
        <v>129.80000000000001</v>
      </c>
      <c r="G105" s="171">
        <f>'ET workings 14-15'!G88</f>
        <v>125.6</v>
      </c>
      <c r="H105" s="171">
        <f>'ET workings 14-15'!H88</f>
        <v>127.3</v>
      </c>
      <c r="I105" s="171">
        <f>'ET workings 14-15'!I88</f>
        <v>128.6</v>
      </c>
      <c r="J105" s="171">
        <f>'ET workings 14-15'!J88</f>
        <v>130.19999999999999</v>
      </c>
      <c r="K105" s="171">
        <f>'ET workings 14-15'!K88</f>
        <v>131.69999999999999</v>
      </c>
    </row>
    <row r="106" spans="1:11">
      <c r="C106" s="10" t="s">
        <v>373</v>
      </c>
      <c r="D106" s="169">
        <f>-D105</f>
        <v>-123</v>
      </c>
      <c r="E106" s="169">
        <f t="shared" ref="E106:K106" si="19">-E105</f>
        <v>-122.8</v>
      </c>
      <c r="F106" s="169">
        <f t="shared" si="19"/>
        <v>-129.80000000000001</v>
      </c>
      <c r="G106" s="169">
        <f t="shared" si="19"/>
        <v>-125.6</v>
      </c>
      <c r="H106" s="169">
        <f t="shared" si="19"/>
        <v>-127.3</v>
      </c>
      <c r="I106" s="169">
        <f t="shared" si="19"/>
        <v>-128.6</v>
      </c>
      <c r="J106" s="169">
        <f t="shared" si="19"/>
        <v>-130.19999999999999</v>
      </c>
      <c r="K106" s="169">
        <f t="shared" si="19"/>
        <v>-131.69999999999999</v>
      </c>
    </row>
    <row r="107" spans="1:11">
      <c r="C107" s="11"/>
      <c r="D107" s="171"/>
      <c r="E107" s="171"/>
      <c r="F107" s="171"/>
      <c r="G107" s="171"/>
      <c r="H107" s="171"/>
      <c r="I107" s="171"/>
      <c r="J107" s="171"/>
      <c r="K107" s="171"/>
    </row>
    <row r="108" spans="1:11" ht="13.8" thickBot="1">
      <c r="C108" s="40" t="s">
        <v>374</v>
      </c>
      <c r="D108" s="46">
        <f>SUM('ET workings 14-15'!D169:D170)</f>
        <v>53.1</v>
      </c>
      <c r="E108" s="46">
        <f>SUM('ET workings 14-15'!E169:E170)</f>
        <v>53.000000000000007</v>
      </c>
      <c r="F108" s="46">
        <f>SUM('ET workings 14-15'!F169:F170)</f>
        <v>50.999999999999993</v>
      </c>
      <c r="G108" s="46">
        <f>SUM('ET workings 14-15'!G169:G170)</f>
        <v>57.5</v>
      </c>
      <c r="H108" s="46">
        <f>SUM('ET workings 14-15'!H169:H170)</f>
        <v>49</v>
      </c>
      <c r="I108" s="46">
        <f>SUM('ET workings 14-15'!I169:I170)</f>
        <v>28.499999999999996</v>
      </c>
      <c r="J108" s="46">
        <f>SUM('ET workings 14-15'!J169:J170)</f>
        <v>3.6999999999999993</v>
      </c>
      <c r="K108" s="46">
        <f>SUM('ET workings 14-15'!K169:K170)</f>
        <v>0</v>
      </c>
    </row>
    <row r="109" spans="1:11">
      <c r="A109" s="38" t="s">
        <v>364</v>
      </c>
    </row>
    <row r="110" spans="1:11" ht="13.8" thickBot="1">
      <c r="C110" s="38" t="s">
        <v>122</v>
      </c>
    </row>
    <row r="111" spans="1:11" ht="13.8" thickBot="1">
      <c r="C111" s="7" t="s">
        <v>58</v>
      </c>
      <c r="D111" s="8" t="s">
        <v>59</v>
      </c>
      <c r="E111" s="8" t="s">
        <v>60</v>
      </c>
      <c r="F111" s="8" t="s">
        <v>61</v>
      </c>
      <c r="G111" s="8" t="s">
        <v>62</v>
      </c>
      <c r="H111" s="8" t="s">
        <v>63</v>
      </c>
      <c r="I111" s="8" t="s">
        <v>64</v>
      </c>
      <c r="J111" s="8" t="s">
        <v>65</v>
      </c>
      <c r="K111" s="8" t="s">
        <v>66</v>
      </c>
    </row>
    <row r="112" spans="1:11">
      <c r="C112" s="22" t="s">
        <v>91</v>
      </c>
      <c r="D112" s="41">
        <f>'ET workings 14-15'!D152</f>
        <v>74.160747515587701</v>
      </c>
      <c r="E112" s="41">
        <f>'ET workings 14-15'!E152</f>
        <v>92.97405064835219</v>
      </c>
      <c r="F112" s="41">
        <f>'ET workings 14-15'!F152</f>
        <v>104.29451746730092</v>
      </c>
      <c r="G112" s="41">
        <f>'ET workings 14-15'!G152</f>
        <v>111.93327979487449</v>
      </c>
      <c r="H112" s="41">
        <f>'ET workings 14-15'!H152</f>
        <v>116.973407432491</v>
      </c>
      <c r="I112" s="41">
        <f>'ET workings 14-15'!I152</f>
        <v>120.15869284978848</v>
      </c>
      <c r="J112" s="41">
        <f>'ET workings 14-15'!J152</f>
        <v>119.11670296235366</v>
      </c>
      <c r="K112" s="41">
        <f>'ET workings 14-15'!K152</f>
        <v>118.82150456556349</v>
      </c>
    </row>
    <row r="113" spans="1:14">
      <c r="C113" s="10" t="s">
        <v>86</v>
      </c>
      <c r="D113" s="42">
        <f>'ET workings 14-15'!D153</f>
        <v>34.458624486128684</v>
      </c>
      <c r="E113" s="42">
        <f>'ET workings 14-15'!E153</f>
        <v>30.429402160864161</v>
      </c>
      <c r="F113" s="42">
        <f>'ET workings 14-15'!F153</f>
        <v>29.689879940870156</v>
      </c>
      <c r="G113" s="42">
        <f>'ET workings 14-15'!G153</f>
        <v>29.503468267708236</v>
      </c>
      <c r="H113" s="42">
        <f>'ET workings 14-15'!H153</f>
        <v>30.397665634630393</v>
      </c>
      <c r="I113" s="42">
        <f>'ET workings 14-15'!I153</f>
        <v>28.005027611742573</v>
      </c>
      <c r="J113" s="42">
        <f>'ET workings 14-15'!J153</f>
        <v>29.904442344862396</v>
      </c>
      <c r="K113" s="42">
        <f>'ET workings 14-15'!K153</f>
        <v>30.433671335330679</v>
      </c>
    </row>
    <row r="114" spans="1:14">
      <c r="C114" s="11" t="s">
        <v>87</v>
      </c>
      <c r="D114" s="43">
        <f>'ET workings 14-15'!D154</f>
        <v>-15.645321353364194</v>
      </c>
      <c r="E114" s="43">
        <f>'ET workings 14-15'!E154</f>
        <v>-19.108935341915426</v>
      </c>
      <c r="F114" s="43">
        <f>'ET workings 14-15'!F154</f>
        <v>-22.051117613296576</v>
      </c>
      <c r="G114" s="43">
        <f>'ET workings 14-15'!G154</f>
        <v>-24.463340630091722</v>
      </c>
      <c r="H114" s="43">
        <f>'ET workings 14-15'!H154</f>
        <v>-27.21238021733291</v>
      </c>
      <c r="I114" s="43">
        <f>'ET workings 14-15'!I154</f>
        <v>-29.047017499177393</v>
      </c>
      <c r="J114" s="43">
        <f>'ET workings 14-15'!J154</f>
        <v>-30.199640741652555</v>
      </c>
      <c r="K114" s="43">
        <f>'ET workings 14-15'!K154</f>
        <v>-30.341215778115224</v>
      </c>
    </row>
    <row r="115" spans="1:14" ht="13.8" thickBot="1">
      <c r="C115" s="13" t="s">
        <v>94</v>
      </c>
      <c r="D115" s="52">
        <f>'ET workings 14-15'!D155</f>
        <v>92.97405064835219</v>
      </c>
      <c r="E115" s="52">
        <f>'ET workings 14-15'!E155</f>
        <v>104.29451746730092</v>
      </c>
      <c r="F115" s="52">
        <f>'ET workings 14-15'!F155</f>
        <v>111.93327979487449</v>
      </c>
      <c r="G115" s="52">
        <f>'ET workings 14-15'!G155</f>
        <v>116.973407432491</v>
      </c>
      <c r="H115" s="52">
        <f>'ET workings 14-15'!H155</f>
        <v>120.15869284978848</v>
      </c>
      <c r="I115" s="52">
        <f>'ET workings 14-15'!I155</f>
        <v>119.11670296235366</v>
      </c>
      <c r="J115" s="52">
        <f>'ET workings 14-15'!J155</f>
        <v>118.82150456556349</v>
      </c>
      <c r="K115" s="52">
        <f>'ET workings 14-15'!K155</f>
        <v>118.91396012277893</v>
      </c>
    </row>
    <row r="117" spans="1:14" ht="13.8" thickBot="1">
      <c r="C117" s="38" t="s">
        <v>395</v>
      </c>
    </row>
    <row r="118" spans="1:14" ht="13.8" thickBot="1">
      <c r="C118" s="14" t="s">
        <v>58</v>
      </c>
      <c r="D118" s="15" t="s">
        <v>59</v>
      </c>
      <c r="E118" s="15" t="s">
        <v>60</v>
      </c>
      <c r="F118" s="15" t="s">
        <v>61</v>
      </c>
      <c r="G118" s="15" t="s">
        <v>62</v>
      </c>
      <c r="H118" s="15" t="s">
        <v>63</v>
      </c>
      <c r="I118" s="15" t="s">
        <v>64</v>
      </c>
      <c r="J118" s="15" t="s">
        <v>65</v>
      </c>
      <c r="K118" s="15" t="s">
        <v>66</v>
      </c>
      <c r="L118" s="15" t="s">
        <v>118</v>
      </c>
    </row>
    <row r="119" spans="1:14">
      <c r="C119" s="16"/>
      <c r="D119" s="26"/>
      <c r="E119" s="26"/>
      <c r="F119" s="26"/>
      <c r="G119" s="26"/>
      <c r="H119" s="26"/>
      <c r="I119" s="26"/>
      <c r="J119" s="26"/>
      <c r="K119" s="26"/>
      <c r="L119" s="26"/>
    </row>
    <row r="120" spans="1:14">
      <c r="A120" t="s">
        <v>338</v>
      </c>
      <c r="C120" s="17" t="s">
        <v>119</v>
      </c>
      <c r="D120" s="27">
        <f>'ET workings 14-15'!D8+'ET workings 14-15'!D12</f>
        <v>39.230261993822481</v>
      </c>
      <c r="E120" s="27">
        <f>'ET workings 14-15'!E8+'ET workings 14-15'!E12</f>
        <v>34.208586772300464</v>
      </c>
      <c r="F120" s="27">
        <f>'ET workings 14-15'!F8+'ET workings 14-15'!F12</f>
        <v>29.40934615713995</v>
      </c>
      <c r="G120" s="27">
        <f>'ET workings 14-15'!G8+'ET workings 14-15'!G12</f>
        <v>27.165060319864111</v>
      </c>
      <c r="H120" s="27">
        <f>'ET workings 14-15'!H8+'ET workings 14-15'!H12</f>
        <v>29.591699211758403</v>
      </c>
      <c r="I120" s="27">
        <f>'ET workings 14-15'!I8+'ET workings 14-15'!I12</f>
        <v>20.377561078577621</v>
      </c>
      <c r="J120" s="27">
        <f>'ET workings 14-15'!J8+'ET workings 14-15'!J12</f>
        <v>25.429651204161818</v>
      </c>
      <c r="K120" s="27">
        <f>'ET workings 14-15'!K8+'ET workings 14-15'!K12</f>
        <v>25.40838563392731</v>
      </c>
      <c r="L120" s="28">
        <f>SUM(D120:K120)</f>
        <v>230.82055237155214</v>
      </c>
      <c r="N120" s="53"/>
    </row>
    <row r="121" spans="1:14">
      <c r="C121" s="18" t="s">
        <v>396</v>
      </c>
      <c r="D121" s="29">
        <f>'ET workings 14-15'!D7+'ET workings 14-15'!D13</f>
        <v>73.775027711210655</v>
      </c>
      <c r="E121" s="29">
        <f>'ET workings 14-15'!E7+'ET workings 14-15'!E13</f>
        <v>74.857370793520886</v>
      </c>
      <c r="F121" s="29">
        <f>'ET workings 14-15'!F7+'ET workings 14-15'!F13</f>
        <v>77.005994132717234</v>
      </c>
      <c r="G121" s="29">
        <f>'ET workings 14-15'!G7+'ET workings 14-15'!G13</f>
        <v>78.582137772280092</v>
      </c>
      <c r="H121" s="29">
        <f>'ET workings 14-15'!H7+'ET workings 14-15'!H13</f>
        <v>79.36050736397776</v>
      </c>
      <c r="I121" s="29">
        <f>'ET workings 14-15'!I7+'ET workings 14-15'!I13</f>
        <v>79.998881974263142</v>
      </c>
      <c r="J121" s="29">
        <f>'ET workings 14-15'!J7+'ET workings 14-15'!J13</f>
        <v>81.754729960219521</v>
      </c>
      <c r="K121" s="29">
        <f>'ET workings 14-15'!K7+'ET workings 14-15'!K13</f>
        <v>83.672873632490891</v>
      </c>
      <c r="L121" s="30">
        <f t="shared" ref="L121:L128" si="20">SUM(D121:K121)</f>
        <v>629.00752334068022</v>
      </c>
      <c r="N121" s="53"/>
    </row>
    <row r="122" spans="1:14">
      <c r="C122" s="19" t="s">
        <v>71</v>
      </c>
      <c r="D122" s="31">
        <f>SUM(D120:D121)</f>
        <v>113.00528970503314</v>
      </c>
      <c r="E122" s="31">
        <f t="shared" ref="E122:K122" si="21">SUM(E120:E121)</f>
        <v>109.06595756582135</v>
      </c>
      <c r="F122" s="31">
        <f t="shared" si="21"/>
        <v>106.41534028985718</v>
      </c>
      <c r="G122" s="31">
        <f t="shared" si="21"/>
        <v>105.7471980921442</v>
      </c>
      <c r="H122" s="31">
        <f t="shared" si="21"/>
        <v>108.95220657573617</v>
      </c>
      <c r="I122" s="31">
        <f t="shared" si="21"/>
        <v>100.37644305284076</v>
      </c>
      <c r="J122" s="31">
        <f t="shared" si="21"/>
        <v>107.18438116438134</v>
      </c>
      <c r="K122" s="31">
        <f t="shared" si="21"/>
        <v>109.0812592664182</v>
      </c>
      <c r="L122" s="28">
        <f t="shared" si="20"/>
        <v>859.82807571223236</v>
      </c>
    </row>
    <row r="123" spans="1:14">
      <c r="A123" t="s">
        <v>346</v>
      </c>
      <c r="C123" s="17" t="s">
        <v>121</v>
      </c>
      <c r="D123" s="27">
        <f>'ET workings 14-15'!D31+'ET workings 14-15'!D35</f>
        <v>39.230261993822481</v>
      </c>
      <c r="E123" s="27">
        <f>'ET workings 14-15'!E31+'ET workings 14-15'!E35</f>
        <v>34.208586772300464</v>
      </c>
      <c r="F123" s="27">
        <f>'ET workings 14-15'!F31+'ET workings 14-15'!F35</f>
        <v>29.40934615713995</v>
      </c>
      <c r="G123" s="27">
        <f>'ET workings 14-15'!G31+'ET workings 14-15'!G35</f>
        <v>27.165060319864111</v>
      </c>
      <c r="H123" s="27">
        <f>'ET workings 14-15'!H31+'ET workings 14-15'!H35</f>
        <v>29.591699211758403</v>
      </c>
      <c r="I123" s="27">
        <f>'ET workings 14-15'!I31+'ET workings 14-15'!I35</f>
        <v>20.377561078577621</v>
      </c>
      <c r="J123" s="27">
        <f>'ET workings 14-15'!J31+'ET workings 14-15'!J35</f>
        <v>25.429651204161818</v>
      </c>
      <c r="K123" s="27">
        <f>'ET workings 14-15'!K31+'ET workings 14-15'!K35</f>
        <v>25.40838563392731</v>
      </c>
      <c r="L123" s="28">
        <f t="shared" si="20"/>
        <v>230.82055237155214</v>
      </c>
      <c r="N123" s="53"/>
    </row>
    <row r="124" spans="1:14">
      <c r="C124" s="18" t="s">
        <v>387</v>
      </c>
      <c r="D124" s="29">
        <f>'ET workings 14-15'!D30+'ET workings 14-15'!D36</f>
        <v>73.775027711210655</v>
      </c>
      <c r="E124" s="29">
        <f>'ET workings 14-15'!E30+'ET workings 14-15'!E36</f>
        <v>74.857370793520886</v>
      </c>
      <c r="F124" s="29">
        <f>'ET workings 14-15'!F30+'ET workings 14-15'!F36</f>
        <v>77.005994132717234</v>
      </c>
      <c r="G124" s="29">
        <f>'ET workings 14-15'!G30+'ET workings 14-15'!G36</f>
        <v>78.582137772280092</v>
      </c>
      <c r="H124" s="29">
        <f>'ET workings 14-15'!H30+'ET workings 14-15'!H36</f>
        <v>79.36050736397776</v>
      </c>
      <c r="I124" s="29">
        <f>'ET workings 14-15'!I30+'ET workings 14-15'!I36</f>
        <v>79.998881974263142</v>
      </c>
      <c r="J124" s="29">
        <f>'ET workings 14-15'!J30+'ET workings 14-15'!J36</f>
        <v>81.754729960219521</v>
      </c>
      <c r="K124" s="29">
        <f>'ET workings 14-15'!K30+'ET workings 14-15'!K36</f>
        <v>83.672873632490891</v>
      </c>
      <c r="L124" s="30">
        <f t="shared" si="20"/>
        <v>629.00752334068022</v>
      </c>
      <c r="N124" s="53"/>
    </row>
    <row r="125" spans="1:14">
      <c r="C125" s="19" t="s">
        <v>77</v>
      </c>
      <c r="D125" s="31">
        <f>SUM(D123:D124)</f>
        <v>113.00528970503314</v>
      </c>
      <c r="E125" s="31">
        <f t="shared" ref="E125:K125" si="22">SUM(E123:E124)</f>
        <v>109.06595756582135</v>
      </c>
      <c r="F125" s="31">
        <f t="shared" si="22"/>
        <v>106.41534028985718</v>
      </c>
      <c r="G125" s="31">
        <f t="shared" si="22"/>
        <v>105.7471980921442</v>
      </c>
      <c r="H125" s="31">
        <f t="shared" si="22"/>
        <v>108.95220657573617</v>
      </c>
      <c r="I125" s="31">
        <f t="shared" si="22"/>
        <v>100.37644305284076</v>
      </c>
      <c r="J125" s="31">
        <f t="shared" si="22"/>
        <v>107.18438116438134</v>
      </c>
      <c r="K125" s="31">
        <f t="shared" si="22"/>
        <v>109.0812592664182</v>
      </c>
      <c r="L125" s="28">
        <f t="shared" si="20"/>
        <v>859.82807571223236</v>
      </c>
    </row>
    <row r="126" spans="1:14">
      <c r="A126" t="s">
        <v>233</v>
      </c>
      <c r="C126" s="17" t="s">
        <v>388</v>
      </c>
      <c r="D126" s="27">
        <f>D120-(D120-D123)*$K$2</f>
        <v>39.230261993822481</v>
      </c>
      <c r="E126" s="27">
        <f t="shared" ref="E126:K127" si="23">E120-(E120-E123)*$K$2</f>
        <v>34.208586772300464</v>
      </c>
      <c r="F126" s="27">
        <f t="shared" si="23"/>
        <v>29.40934615713995</v>
      </c>
      <c r="G126" s="27">
        <f t="shared" si="23"/>
        <v>27.165060319864111</v>
      </c>
      <c r="H126" s="27">
        <f t="shared" si="23"/>
        <v>29.591699211758403</v>
      </c>
      <c r="I126" s="27">
        <f t="shared" si="23"/>
        <v>20.377561078577621</v>
      </c>
      <c r="J126" s="27">
        <f t="shared" si="23"/>
        <v>25.429651204161818</v>
      </c>
      <c r="K126" s="27">
        <f t="shared" si="23"/>
        <v>25.40838563392731</v>
      </c>
      <c r="L126" s="28">
        <f t="shared" si="20"/>
        <v>230.82055237155214</v>
      </c>
      <c r="N126" s="53"/>
    </row>
    <row r="127" spans="1:14">
      <c r="C127" s="18" t="s">
        <v>389</v>
      </c>
      <c r="D127" s="29">
        <f>D121-(D121-D124)*$K$2</f>
        <v>73.775027711210655</v>
      </c>
      <c r="E127" s="29">
        <f t="shared" si="23"/>
        <v>74.857370793520886</v>
      </c>
      <c r="F127" s="29">
        <f t="shared" si="23"/>
        <v>77.005994132717234</v>
      </c>
      <c r="G127" s="29">
        <f t="shared" si="23"/>
        <v>78.582137772280092</v>
      </c>
      <c r="H127" s="29">
        <f t="shared" si="23"/>
        <v>79.36050736397776</v>
      </c>
      <c r="I127" s="29">
        <f t="shared" si="23"/>
        <v>79.998881974263142</v>
      </c>
      <c r="J127" s="29">
        <f t="shared" si="23"/>
        <v>81.754729960219521</v>
      </c>
      <c r="K127" s="29">
        <f t="shared" si="23"/>
        <v>83.672873632490891</v>
      </c>
      <c r="L127" s="30">
        <f t="shared" si="20"/>
        <v>629.00752334068022</v>
      </c>
      <c r="N127" s="53"/>
    </row>
    <row r="128" spans="1:14">
      <c r="C128" s="19" t="s">
        <v>78</v>
      </c>
      <c r="D128" s="31">
        <f>SUM(D126:D127)</f>
        <v>113.00528970503314</v>
      </c>
      <c r="E128" s="31">
        <f t="shared" ref="E128:K128" si="24">SUM(E126:E127)</f>
        <v>109.06595756582135</v>
      </c>
      <c r="F128" s="31">
        <f t="shared" si="24"/>
        <v>106.41534028985718</v>
      </c>
      <c r="G128" s="31">
        <f t="shared" si="24"/>
        <v>105.7471980921442</v>
      </c>
      <c r="H128" s="31">
        <f t="shared" si="24"/>
        <v>108.95220657573617</v>
      </c>
      <c r="I128" s="31">
        <f t="shared" si="24"/>
        <v>100.37644305284076</v>
      </c>
      <c r="J128" s="31">
        <f t="shared" si="24"/>
        <v>107.18438116438134</v>
      </c>
      <c r="K128" s="31">
        <f t="shared" si="24"/>
        <v>109.0812592664182</v>
      </c>
      <c r="L128" s="28">
        <f t="shared" si="20"/>
        <v>859.82807571223236</v>
      </c>
    </row>
    <row r="129" spans="1:12">
      <c r="C129" s="20"/>
      <c r="D129" s="32"/>
      <c r="E129" s="32"/>
      <c r="F129" s="32"/>
      <c r="G129" s="32"/>
      <c r="H129" s="32"/>
      <c r="I129" s="32"/>
      <c r="J129" s="32"/>
      <c r="K129" s="32"/>
      <c r="L129" s="33"/>
    </row>
    <row r="130" spans="1:12">
      <c r="C130" s="17" t="s">
        <v>79</v>
      </c>
      <c r="D130" s="27">
        <f>'ET workings 14-15'!D175</f>
        <v>81.476813877328894</v>
      </c>
      <c r="E130" s="27">
        <f>'ET workings 14-15'!E175</f>
        <v>78.636555404957193</v>
      </c>
      <c r="F130" s="27">
        <f>'ET workings 14-15'!F175</f>
        <v>76.725460348987028</v>
      </c>
      <c r="G130" s="27">
        <f>'ET workings 14-15'!G175</f>
        <v>76.243729824435974</v>
      </c>
      <c r="H130" s="27">
        <f>'ET workings 14-15'!H175</f>
        <v>78.55454094110577</v>
      </c>
      <c r="I130" s="27">
        <f>'ET workings 14-15'!I175</f>
        <v>72.371415441098179</v>
      </c>
      <c r="J130" s="27">
        <f>'ET workings 14-15'!J175</f>
        <v>77.279938819518947</v>
      </c>
      <c r="K130" s="27">
        <f>'ET workings 14-15'!K175</f>
        <v>78.647587931087514</v>
      </c>
      <c r="L130" s="28">
        <f t="shared" ref="L130:L132" si="25">SUM(D130:K130)</f>
        <v>619.93604258851951</v>
      </c>
    </row>
    <row r="131" spans="1:12">
      <c r="C131" s="18" t="s">
        <v>80</v>
      </c>
      <c r="D131" s="29">
        <f>'ET workings 14-15'!D174</f>
        <v>31.528475827704249</v>
      </c>
      <c r="E131" s="29">
        <f>'ET workings 14-15'!E174</f>
        <v>30.429402160864161</v>
      </c>
      <c r="F131" s="29">
        <f>'ET workings 14-15'!F174</f>
        <v>29.689879940870156</v>
      </c>
      <c r="G131" s="29">
        <f>'ET workings 14-15'!G174</f>
        <v>29.503468267708236</v>
      </c>
      <c r="H131" s="29">
        <f>'ET workings 14-15'!H174</f>
        <v>30.397665634630393</v>
      </c>
      <c r="I131" s="29">
        <f>'ET workings 14-15'!I174</f>
        <v>28.005027611742573</v>
      </c>
      <c r="J131" s="29">
        <f>'ET workings 14-15'!J174</f>
        <v>29.904442344862396</v>
      </c>
      <c r="K131" s="29">
        <f>'ET workings 14-15'!K174</f>
        <v>30.433671335330679</v>
      </c>
      <c r="L131" s="30">
        <f t="shared" si="25"/>
        <v>239.89203312371282</v>
      </c>
    </row>
    <row r="132" spans="1:12" ht="13.8" thickBot="1">
      <c r="C132" s="21" t="s">
        <v>390</v>
      </c>
      <c r="D132" s="34">
        <f t="shared" ref="D132:K132" si="26">SUM(D130:D131)</f>
        <v>113.00528970503314</v>
      </c>
      <c r="E132" s="34">
        <f t="shared" si="26"/>
        <v>109.06595756582135</v>
      </c>
      <c r="F132" s="34">
        <f t="shared" si="26"/>
        <v>106.41534028985718</v>
      </c>
      <c r="G132" s="34">
        <f t="shared" si="26"/>
        <v>105.7471980921442</v>
      </c>
      <c r="H132" s="34">
        <f t="shared" si="26"/>
        <v>108.95220657573617</v>
      </c>
      <c r="I132" s="34">
        <f t="shared" si="26"/>
        <v>100.37644305284076</v>
      </c>
      <c r="J132" s="34">
        <f t="shared" si="26"/>
        <v>107.18438116438134</v>
      </c>
      <c r="K132" s="34">
        <f t="shared" si="26"/>
        <v>109.08125926641819</v>
      </c>
      <c r="L132" s="35">
        <f t="shared" si="25"/>
        <v>859.82807571223236</v>
      </c>
    </row>
    <row r="134" spans="1:12" ht="13.8" thickBot="1">
      <c r="A134" s="38" t="s">
        <v>375</v>
      </c>
    </row>
    <row r="135" spans="1:12" ht="13.8" thickBot="1">
      <c r="C135" s="7" t="s">
        <v>58</v>
      </c>
      <c r="D135" s="8" t="s">
        <v>59</v>
      </c>
      <c r="E135" s="8" t="s">
        <v>60</v>
      </c>
      <c r="F135" s="8" t="s">
        <v>61</v>
      </c>
      <c r="G135" s="8" t="s">
        <v>62</v>
      </c>
      <c r="H135" s="8" t="s">
        <v>63</v>
      </c>
      <c r="I135" s="8" t="s">
        <v>64</v>
      </c>
      <c r="J135" s="8" t="s">
        <v>65</v>
      </c>
      <c r="K135" s="8" t="s">
        <v>66</v>
      </c>
    </row>
    <row r="136" spans="1:12">
      <c r="C136" s="22" t="s">
        <v>79</v>
      </c>
      <c r="D136" s="41">
        <f>'ET workings 14-15'!D203</f>
        <v>81.476813877328894</v>
      </c>
      <c r="E136" s="41">
        <f>'ET workings 14-15'!E203</f>
        <v>78.636555404957193</v>
      </c>
      <c r="F136" s="41">
        <f>'ET workings 14-15'!F203</f>
        <v>76.725460348987028</v>
      </c>
      <c r="G136" s="41">
        <f>'ET workings 14-15'!G203</f>
        <v>76.243729824435974</v>
      </c>
      <c r="H136" s="41">
        <f>'ET workings 14-15'!H203</f>
        <v>78.55454094110577</v>
      </c>
      <c r="I136" s="41">
        <f>'ET workings 14-15'!I203</f>
        <v>72.371415441098179</v>
      </c>
      <c r="J136" s="41">
        <f>'ET workings 14-15'!J203</f>
        <v>77.279938819518947</v>
      </c>
      <c r="K136" s="41">
        <f>'ET workings 14-15'!K203</f>
        <v>78.647587931087514</v>
      </c>
      <c r="L136" s="28"/>
    </row>
    <row r="137" spans="1:12">
      <c r="C137" s="10" t="s">
        <v>98</v>
      </c>
      <c r="D137" s="42">
        <f>'ET workings 14-15'!D204</f>
        <v>0</v>
      </c>
      <c r="E137" s="42">
        <f>'ET workings 14-15'!E204</f>
        <v>0</v>
      </c>
      <c r="F137" s="42">
        <f>'ET workings 14-15'!F204</f>
        <v>0</v>
      </c>
      <c r="G137" s="42">
        <f>'ET workings 14-15'!G204</f>
        <v>0</v>
      </c>
      <c r="H137" s="42">
        <f>'ET workings 14-15'!H204</f>
        <v>0</v>
      </c>
      <c r="I137" s="42">
        <f>'ET workings 14-15'!I204</f>
        <v>0</v>
      </c>
      <c r="J137" s="42">
        <f>'ET workings 14-15'!J204</f>
        <v>0</v>
      </c>
      <c r="K137" s="42">
        <f>'ET workings 14-15'!K204</f>
        <v>0</v>
      </c>
      <c r="L137" s="28"/>
    </row>
    <row r="138" spans="1:12">
      <c r="C138" s="11" t="s">
        <v>99</v>
      </c>
      <c r="D138" s="43">
        <f>'ET workings 14-15'!D251</f>
        <v>10.271521977223172</v>
      </c>
      <c r="E138" s="43">
        <f>'ET workings 14-15'!E251</f>
        <v>10.215919391797028</v>
      </c>
      <c r="F138" s="43">
        <f>'ET workings 14-15'!F251</f>
        <v>10.262337776682289</v>
      </c>
      <c r="G138" s="43">
        <f>'ET workings 14-15'!G251</f>
        <v>10.410869126447524</v>
      </c>
      <c r="H138" s="43">
        <f>'ET workings 14-15'!H251</f>
        <v>10.361609623254074</v>
      </c>
      <c r="I138" s="43">
        <f>'ET workings 14-15'!I251</f>
        <v>10.414659827475258</v>
      </c>
      <c r="J138" s="43">
        <f>'ET workings 14-15'!J251</f>
        <v>10.57012487699259</v>
      </c>
      <c r="K138" s="43">
        <f>'ET workings 14-15'!K251</f>
        <v>10.528114695563952</v>
      </c>
      <c r="L138" s="28"/>
    </row>
    <row r="139" spans="1:12">
      <c r="C139" s="10" t="s">
        <v>100</v>
      </c>
      <c r="D139" s="42">
        <f>'ET workings 14-15'!D207</f>
        <v>0</v>
      </c>
      <c r="E139" s="42">
        <f>'ET workings 14-15'!E207</f>
        <v>0</v>
      </c>
      <c r="F139" s="42">
        <f>'ET workings 14-15'!F207</f>
        <v>0</v>
      </c>
      <c r="G139" s="42">
        <f>'ET workings 14-15'!G207</f>
        <v>0</v>
      </c>
      <c r="H139" s="42">
        <f>'ET workings 14-15'!H207</f>
        <v>0</v>
      </c>
      <c r="I139" s="42">
        <f>'ET workings 14-15'!I207</f>
        <v>0</v>
      </c>
      <c r="J139" s="42">
        <f>'ET workings 14-15'!J207</f>
        <v>0</v>
      </c>
      <c r="K139" s="42">
        <f>'ET workings 14-15'!K207</f>
        <v>0</v>
      </c>
      <c r="L139" s="28"/>
    </row>
    <row r="140" spans="1:12">
      <c r="C140" s="11" t="s">
        <v>101</v>
      </c>
      <c r="D140" s="43">
        <f>'ET workings 14-15'!D208</f>
        <v>0.93219394583370041</v>
      </c>
      <c r="E140" s="43">
        <f>'ET workings 14-15'!E208</f>
        <v>0.89969793099769935</v>
      </c>
      <c r="F140" s="43">
        <f>'ET workings 14-15'!F208</f>
        <v>0.87783267686821986</v>
      </c>
      <c r="G140" s="43">
        <f>'ET workings 14-15'!G208</f>
        <v>0.87232109317784745</v>
      </c>
      <c r="H140" s="43">
        <f>'ET workings 14-15'!H208</f>
        <v>0.89875958568159287</v>
      </c>
      <c r="I140" s="43">
        <f>'ET workings 14-15'!I208</f>
        <v>0.82801710222961211</v>
      </c>
      <c r="J140" s="43">
        <f>'ET workings 14-15'!J208</f>
        <v>0.88417658562860901</v>
      </c>
      <c r="K140" s="43">
        <f>'ET workings 14-15'!K208</f>
        <v>0.89982415652833225</v>
      </c>
      <c r="L140" s="28"/>
    </row>
    <row r="141" spans="1:12">
      <c r="C141" s="10" t="s">
        <v>102</v>
      </c>
      <c r="D141" s="42">
        <f>'ET workings 14-15'!D210</f>
        <v>2.0284089844028741</v>
      </c>
      <c r="E141" s="42">
        <f>'ET workings 14-15'!E210</f>
        <v>0.94096461318763769</v>
      </c>
      <c r="F141" s="42">
        <f>'ET workings 14-15'!F210</f>
        <v>0.26747431574957981</v>
      </c>
      <c r="G141" s="42">
        <f>'ET workings 14-15'!G210</f>
        <v>0.23898425165493362</v>
      </c>
      <c r="H141" s="42">
        <f>'ET workings 14-15'!H210</f>
        <v>1.1275945141144126</v>
      </c>
      <c r="I141" s="42">
        <f>'ET workings 14-15'!I210</f>
        <v>3.2231891574056641E-2</v>
      </c>
      <c r="J141" s="42">
        <f>'ET workings 14-15'!J210</f>
        <v>1.1452675810220838</v>
      </c>
      <c r="K141" s="42">
        <f>'ET workings 14-15'!K210</f>
        <v>1.0266463424507131</v>
      </c>
      <c r="L141" s="28"/>
    </row>
    <row r="142" spans="1:12">
      <c r="C142" s="11" t="s">
        <v>103</v>
      </c>
      <c r="D142" s="43">
        <f>'ET workings 14-15'!D205+'ET workings 14-15'!D206</f>
        <v>19.357178755514067</v>
      </c>
      <c r="E142" s="43">
        <f>'ET workings 14-15'!E205+'ET workings 14-15'!E206</f>
        <v>23.382322986866207</v>
      </c>
      <c r="F142" s="43">
        <f>'ET workings 14-15'!F205+'ET workings 14-15'!F206</f>
        <v>26.737457898767879</v>
      </c>
      <c r="G142" s="43">
        <f>'ET workings 14-15'!G205+'ET workings 14-15'!G206</f>
        <v>29.425905126954078</v>
      </c>
      <c r="H142" s="43">
        <f>'ET workings 14-15'!H205+'ET workings 14-15'!H206</f>
        <v>32.354224264430613</v>
      </c>
      <c r="I142" s="43">
        <f>'ET workings 14-15'!I205+'ET workings 14-15'!I206</f>
        <v>34.237336915061476</v>
      </c>
      <c r="J142" s="43">
        <f>'ET workings 14-15'!J205+'ET workings 14-15'!J206</f>
        <v>35.360605684619372</v>
      </c>
      <c r="K142" s="43">
        <f>'ET workings 14-15'!K205+'ET workings 14-15'!K206</f>
        <v>35.497600989887907</v>
      </c>
      <c r="L142" s="28"/>
    </row>
    <row r="143" spans="1:12">
      <c r="C143" s="11" t="s">
        <v>169</v>
      </c>
      <c r="D143" s="43">
        <f>'ET workings 14-15'!D253</f>
        <v>1.4705904546741335</v>
      </c>
      <c r="E143" s="43">
        <f>'ET workings 14-15'!E253</f>
        <v>1.5357670236252909</v>
      </c>
      <c r="F143" s="43">
        <f>'ET workings 14-15'!F253</f>
        <v>1.6038322181123639</v>
      </c>
      <c r="G143" s="43">
        <f>'ET workings 14-15'!G253</f>
        <v>1.6749140620191034</v>
      </c>
      <c r="H143" s="43">
        <f>'ET workings 14-15'!H253</f>
        <v>1.7491462532477902</v>
      </c>
      <c r="I143" s="43">
        <f>'ET workings 14-15'!I253</f>
        <v>1.8266684151917321</v>
      </c>
      <c r="J143" s="43">
        <f>'ET workings 14-15'!J253</f>
        <v>1.9076263593530294</v>
      </c>
      <c r="K143" s="43">
        <f>'ET workings 14-15'!K253</f>
        <v>1.9921723595995553</v>
      </c>
      <c r="L143" s="28"/>
    </row>
    <row r="144" spans="1:12" ht="13.8" thickBot="1">
      <c r="C144" s="13" t="s">
        <v>107</v>
      </c>
      <c r="D144" s="52">
        <f>SUM(D136:D143)</f>
        <v>115.53670799497685</v>
      </c>
      <c r="E144" s="52">
        <f t="shared" ref="E144:K144" si="27">SUM(E136:E143)</f>
        <v>115.61122735143105</v>
      </c>
      <c r="F144" s="52">
        <f t="shared" si="27"/>
        <v>116.47439523516735</v>
      </c>
      <c r="G144" s="52">
        <f t="shared" si="27"/>
        <v>118.86672348468944</v>
      </c>
      <c r="H144" s="52">
        <f t="shared" si="27"/>
        <v>125.04587518183423</v>
      </c>
      <c r="I144" s="52">
        <f t="shared" si="27"/>
        <v>119.71032959263032</v>
      </c>
      <c r="J144" s="52">
        <f t="shared" si="27"/>
        <v>127.14773990713464</v>
      </c>
      <c r="K144" s="52">
        <f t="shared" si="27"/>
        <v>128.59194647511799</v>
      </c>
      <c r="L144" s="28"/>
    </row>
    <row r="145" spans="4:12">
      <c r="D145" s="53"/>
      <c r="E145" s="53"/>
      <c r="F145" s="53"/>
      <c r="G145" s="53"/>
      <c r="H145" s="53"/>
      <c r="I145" s="53"/>
      <c r="J145" s="53"/>
      <c r="K145" s="53"/>
      <c r="L145" s="53"/>
    </row>
  </sheetData>
  <pageMargins left="0.7" right="0.7" top="0.75" bottom="0.75" header="0.3" footer="0.3"/>
  <pageSetup paperSize="9" orientation="portrait"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tint="-0.249977111117893"/>
  </sheetPr>
  <dimension ref="A1:Y257"/>
  <sheetViews>
    <sheetView zoomScale="70" zoomScaleNormal="70" workbookViewId="0">
      <pane xSplit="2" ySplit="4" topLeftCell="C5" activePane="bottomRight" state="frozen"/>
      <selection pane="topRight" activeCell="H35" sqref="H35"/>
      <selection pane="bottomLeft" activeCell="H35" sqref="H35"/>
      <selection pane="bottomRight" activeCell="H35" sqref="H35"/>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339</v>
      </c>
    </row>
    <row r="7" spans="2:22">
      <c r="B7" t="s">
        <v>204</v>
      </c>
      <c r="D7" s="187">
        <v>73.775027711210655</v>
      </c>
      <c r="E7" s="187">
        <v>74.857370793520886</v>
      </c>
      <c r="F7" s="187">
        <v>77.005994132717234</v>
      </c>
      <c r="G7" s="187">
        <v>78.582137772280092</v>
      </c>
      <c r="H7" s="187">
        <v>79.36050736397776</v>
      </c>
      <c r="I7" s="187">
        <v>79.998881974263142</v>
      </c>
      <c r="J7" s="187">
        <v>81.754729960219521</v>
      </c>
      <c r="K7" s="187">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110.28713071633614</v>
      </c>
      <c r="U7" s="53">
        <f t="shared" si="0"/>
        <v>116.13794860189735</v>
      </c>
      <c r="V7" s="53">
        <f>SUM(N7:U7)</f>
        <v>796.80469644730749</v>
      </c>
    </row>
    <row r="8" spans="2:22">
      <c r="B8" t="s">
        <v>206</v>
      </c>
      <c r="D8" s="187">
        <v>39.230261993822481</v>
      </c>
      <c r="E8" s="187">
        <v>34.208586772300464</v>
      </c>
      <c r="F8" s="187">
        <v>29.40934615713995</v>
      </c>
      <c r="G8" s="187">
        <v>27.165060319864111</v>
      </c>
      <c r="H8" s="187">
        <v>29.591699211758403</v>
      </c>
      <c r="I8" s="187">
        <v>20.377561078577621</v>
      </c>
      <c r="J8" s="187">
        <v>25.429651204161818</v>
      </c>
      <c r="K8" s="187">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34.304599474414289</v>
      </c>
      <c r="U8" s="53">
        <f t="shared" si="0"/>
        <v>35.266839259891107</v>
      </c>
      <c r="V8" s="53">
        <f>SUM(N8:U8)</f>
        <v>289.22566338576178</v>
      </c>
    </row>
    <row r="9" spans="2:22">
      <c r="B9" s="38" t="s">
        <v>207</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144.59173019075041</v>
      </c>
      <c r="U9" s="57">
        <f t="shared" si="3"/>
        <v>151.40478786178846</v>
      </c>
      <c r="V9" s="57">
        <f t="shared" si="3"/>
        <v>1086.0303598330693</v>
      </c>
    </row>
    <row r="10" spans="2:22">
      <c r="D10" s="53"/>
      <c r="E10" s="53"/>
      <c r="F10" s="53"/>
      <c r="G10" s="53"/>
      <c r="H10" s="53"/>
      <c r="I10" s="53"/>
      <c r="J10" s="53"/>
      <c r="K10" s="53"/>
      <c r="N10" s="53"/>
      <c r="O10" s="53"/>
      <c r="P10" s="53"/>
      <c r="Q10" s="53"/>
      <c r="R10" s="53"/>
      <c r="S10" s="53"/>
      <c r="T10" s="53"/>
      <c r="U10" s="53"/>
      <c r="V10" s="53"/>
    </row>
    <row r="11" spans="2:22">
      <c r="B11" s="38" t="s">
        <v>340</v>
      </c>
      <c r="D11" s="53"/>
      <c r="E11" s="53"/>
      <c r="F11" s="53"/>
      <c r="G11" s="53"/>
      <c r="H11" s="53"/>
      <c r="I11" s="53"/>
      <c r="J11" s="53"/>
      <c r="K11" s="53"/>
      <c r="N11" s="53"/>
      <c r="O11" s="53"/>
      <c r="P11" s="53"/>
      <c r="Q11" s="53"/>
      <c r="R11" s="53"/>
      <c r="S11" s="53"/>
      <c r="T11" s="53"/>
      <c r="U11" s="53"/>
      <c r="V11" s="53"/>
    </row>
    <row r="12" spans="2:22">
      <c r="B12" t="s">
        <v>210</v>
      </c>
      <c r="D12" s="188">
        <v>0</v>
      </c>
      <c r="E12" s="188">
        <v>0</v>
      </c>
      <c r="F12" s="188">
        <v>0</v>
      </c>
      <c r="G12" s="188">
        <v>0</v>
      </c>
      <c r="H12" s="188">
        <v>0</v>
      </c>
      <c r="I12" s="188">
        <v>0</v>
      </c>
      <c r="J12" s="188">
        <v>0</v>
      </c>
      <c r="K12" s="188">
        <v>0</v>
      </c>
      <c r="L12" s="53">
        <f>SUM(D12:K12)</f>
        <v>0</v>
      </c>
      <c r="N12" s="53">
        <f>D12*N$1</f>
        <v>0</v>
      </c>
      <c r="O12" s="53">
        <f t="shared" ref="O12:U13" si="4">E12*O$1</f>
        <v>0</v>
      </c>
      <c r="P12" s="53">
        <f t="shared" si="4"/>
        <v>0</v>
      </c>
      <c r="Q12" s="53">
        <f t="shared" si="4"/>
        <v>0</v>
      </c>
      <c r="R12" s="53">
        <f t="shared" si="4"/>
        <v>0</v>
      </c>
      <c r="S12" s="53">
        <f t="shared" si="4"/>
        <v>0</v>
      </c>
      <c r="T12" s="53">
        <f t="shared" si="4"/>
        <v>0</v>
      </c>
      <c r="U12" s="53">
        <f t="shared" si="4"/>
        <v>0</v>
      </c>
      <c r="V12" s="53">
        <f>SUM(N12:U12)</f>
        <v>0</v>
      </c>
    </row>
    <row r="13" spans="2:22">
      <c r="B13" t="s">
        <v>212</v>
      </c>
      <c r="D13" s="188">
        <v>0</v>
      </c>
      <c r="E13" s="188">
        <v>0</v>
      </c>
      <c r="F13" s="188">
        <v>0</v>
      </c>
      <c r="G13" s="188">
        <v>0</v>
      </c>
      <c r="H13" s="188">
        <v>0</v>
      </c>
      <c r="I13" s="188">
        <v>0</v>
      </c>
      <c r="J13" s="188">
        <v>0</v>
      </c>
      <c r="K13" s="188">
        <v>0</v>
      </c>
      <c r="L13" s="53">
        <f>SUM(D13:K13)</f>
        <v>0</v>
      </c>
      <c r="N13" s="53">
        <f>D13*N$1</f>
        <v>0</v>
      </c>
      <c r="O13" s="53">
        <f t="shared" si="4"/>
        <v>0</v>
      </c>
      <c r="P13" s="53">
        <f t="shared" si="4"/>
        <v>0</v>
      </c>
      <c r="Q13" s="53">
        <f t="shared" si="4"/>
        <v>0</v>
      </c>
      <c r="R13" s="53">
        <f t="shared" si="4"/>
        <v>0</v>
      </c>
      <c r="S13" s="53">
        <f t="shared" si="4"/>
        <v>0</v>
      </c>
      <c r="T13" s="53">
        <f t="shared" si="4"/>
        <v>0</v>
      </c>
      <c r="U13" s="53">
        <f t="shared" si="4"/>
        <v>0</v>
      </c>
      <c r="V13" s="53">
        <f>SUM(N13:U13)</f>
        <v>0</v>
      </c>
    </row>
    <row r="14" spans="2:22">
      <c r="B14" s="38" t="s">
        <v>341</v>
      </c>
      <c r="N14" s="53"/>
      <c r="O14" s="53"/>
      <c r="P14" s="53"/>
      <c r="Q14" s="53"/>
      <c r="R14" s="53"/>
      <c r="S14" s="53"/>
      <c r="T14" s="53"/>
      <c r="U14" s="53"/>
      <c r="V14" s="53"/>
    </row>
    <row r="15" spans="2:22">
      <c r="B15" t="s">
        <v>342</v>
      </c>
      <c r="D15" s="187">
        <v>241.91835100747039</v>
      </c>
      <c r="E15" s="187">
        <v>206.22285805015076</v>
      </c>
      <c r="F15" s="187">
        <v>183.4765697039528</v>
      </c>
      <c r="G15" s="187">
        <v>187.40173539185469</v>
      </c>
      <c r="H15" s="187">
        <v>142.92705896695065</v>
      </c>
      <c r="I15" s="187">
        <v>124.46128971626086</v>
      </c>
      <c r="J15" s="187">
        <v>44.072350609794569</v>
      </c>
      <c r="K15" s="187">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59.453600972612875</v>
      </c>
      <c r="U15" s="53">
        <f t="shared" si="6"/>
        <v>39.396365513873704</v>
      </c>
      <c r="V15" s="53">
        <f t="shared" ref="V15:V17" si="7">SUM(N15:U15)</f>
        <v>1422.7487975585782</v>
      </c>
    </row>
    <row r="16" spans="2:22">
      <c r="B16" t="s">
        <v>343</v>
      </c>
      <c r="D16" s="187">
        <v>506.11836500601339</v>
      </c>
      <c r="E16" s="187">
        <v>499.20409814951984</v>
      </c>
      <c r="F16" s="187">
        <v>485.07329761796098</v>
      </c>
      <c r="G16" s="187">
        <v>489.14143160750723</v>
      </c>
      <c r="H16" s="187">
        <v>622.61892466629627</v>
      </c>
      <c r="I16" s="187">
        <v>715.79753719305393</v>
      </c>
      <c r="J16" s="187">
        <v>784.25081046797004</v>
      </c>
      <c r="K16" s="187">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1057.9543433212916</v>
      </c>
      <c r="U16" s="53">
        <f t="shared" si="6"/>
        <v>977.44766614644607</v>
      </c>
      <c r="V16" s="53">
        <f t="shared" ref="V16" si="8">SUM(N16:U16)</f>
        <v>6136.8774763378324</v>
      </c>
    </row>
    <row r="17" spans="1:22">
      <c r="B17" t="s">
        <v>204</v>
      </c>
      <c r="D17" s="187">
        <v>192.21282629439594</v>
      </c>
      <c r="E17" s="187">
        <v>196.41204072355288</v>
      </c>
      <c r="F17" s="187">
        <v>203.04710659109347</v>
      </c>
      <c r="G17" s="187">
        <v>204.35171680440774</v>
      </c>
      <c r="H17" s="187">
        <v>205.72203973741003</v>
      </c>
      <c r="I17" s="187">
        <v>206.0644404839947</v>
      </c>
      <c r="J17" s="187">
        <v>207.83890997781467</v>
      </c>
      <c r="K17" s="187">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280.374689560072</v>
      </c>
      <c r="U17" s="53">
        <f t="shared" si="6"/>
        <v>288.98722875141522</v>
      </c>
      <c r="V17" s="53">
        <f t="shared" si="7"/>
        <v>2055.0636343973279</v>
      </c>
    </row>
    <row r="18" spans="1:22">
      <c r="N18" s="53"/>
      <c r="O18" s="53"/>
      <c r="P18" s="53"/>
      <c r="Q18" s="53"/>
      <c r="R18" s="53"/>
      <c r="S18" s="53"/>
      <c r="T18" s="53"/>
      <c r="U18" s="53"/>
      <c r="V18" s="53"/>
    </row>
    <row r="19" spans="1:22">
      <c r="B19" s="38" t="s">
        <v>344</v>
      </c>
      <c r="N19" s="53"/>
      <c r="O19" s="53"/>
      <c r="P19" s="53"/>
      <c r="Q19" s="53"/>
      <c r="R19" s="53"/>
      <c r="S19" s="53"/>
      <c r="T19" s="53"/>
      <c r="U19" s="53"/>
      <c r="V19" s="53"/>
    </row>
    <row r="20" spans="1:22">
      <c r="B20" t="s">
        <v>206</v>
      </c>
      <c r="D20" s="187">
        <v>642.4585148217916</v>
      </c>
      <c r="E20" s="187">
        <v>823.44053335877697</v>
      </c>
      <c r="F20" s="187">
        <v>778.73360520529104</v>
      </c>
      <c r="G20" s="187">
        <v>689.31995609864691</v>
      </c>
      <c r="H20" s="187">
        <v>376.36371451971331</v>
      </c>
      <c r="I20" s="187">
        <v>248.55087531826513</v>
      </c>
      <c r="J20" s="187">
        <v>109.74796233462695</v>
      </c>
      <c r="K20" s="187">
        <v>33.43789356079359</v>
      </c>
      <c r="L20" s="53">
        <f t="shared" ref="L20:L21" si="9">SUM(D20:K20)</f>
        <v>3702.0530552179057</v>
      </c>
      <c r="N20" s="53">
        <f>D20*N$1</f>
        <v>749.74908679703083</v>
      </c>
      <c r="O20" s="53">
        <f t="shared" ref="O20:U21" si="10">E20*O$1</f>
        <v>979.89423469694452</v>
      </c>
      <c r="P20" s="53">
        <f t="shared" si="10"/>
        <v>936.0377934567598</v>
      </c>
      <c r="Q20" s="53">
        <f t="shared" si="10"/>
        <v>846.48490608913835</v>
      </c>
      <c r="R20" s="53">
        <f t="shared" si="10"/>
        <v>479.48737229811479</v>
      </c>
      <c r="S20" s="53">
        <f t="shared" si="10"/>
        <v>326.3472992928821</v>
      </c>
      <c r="T20" s="53">
        <f t="shared" si="10"/>
        <v>148.05000118941174</v>
      </c>
      <c r="U20" s="53">
        <f t="shared" si="10"/>
        <v>46.4117962623815</v>
      </c>
      <c r="V20" s="53">
        <f t="shared" ref="V20:V21" si="11">SUM(N20:U20)</f>
        <v>4512.462490082663</v>
      </c>
    </row>
    <row r="21" spans="1:22">
      <c r="B21" t="s">
        <v>204</v>
      </c>
      <c r="D21" s="187">
        <v>0</v>
      </c>
      <c r="E21" s="187">
        <v>0</v>
      </c>
      <c r="F21" s="187">
        <v>0</v>
      </c>
      <c r="G21" s="187">
        <v>0</v>
      </c>
      <c r="H21" s="187">
        <v>0</v>
      </c>
      <c r="I21" s="187">
        <v>0</v>
      </c>
      <c r="J21" s="187">
        <v>0</v>
      </c>
      <c r="K21" s="187">
        <v>0</v>
      </c>
      <c r="L21" s="53">
        <f t="shared" si="9"/>
        <v>0</v>
      </c>
      <c r="N21" s="53">
        <f>D21*N$1</f>
        <v>0</v>
      </c>
      <c r="O21" s="53">
        <f t="shared" si="10"/>
        <v>0</v>
      </c>
      <c r="P21" s="53">
        <f t="shared" si="10"/>
        <v>0</v>
      </c>
      <c r="Q21" s="53">
        <f t="shared" si="10"/>
        <v>0</v>
      </c>
      <c r="R21" s="53">
        <f t="shared" si="10"/>
        <v>0</v>
      </c>
      <c r="S21" s="53">
        <f t="shared" si="10"/>
        <v>0</v>
      </c>
      <c r="T21" s="53">
        <f t="shared" si="10"/>
        <v>0</v>
      </c>
      <c r="U21" s="53">
        <f t="shared" si="10"/>
        <v>0</v>
      </c>
      <c r="V21" s="53">
        <f t="shared" si="11"/>
        <v>0</v>
      </c>
    </row>
    <row r="22" spans="1:22">
      <c r="N22" s="53"/>
      <c r="O22" s="53"/>
      <c r="P22" s="53"/>
      <c r="Q22" s="53"/>
      <c r="R22" s="53"/>
      <c r="S22" s="53"/>
      <c r="T22" s="53"/>
      <c r="U22" s="53"/>
      <c r="V22" s="53"/>
    </row>
    <row r="23" spans="1:22" ht="15.6">
      <c r="B23" s="59" t="s">
        <v>345</v>
      </c>
      <c r="C23" s="60"/>
      <c r="D23" s="61">
        <f>SUM(D15:D21)</f>
        <v>1582.7080571296713</v>
      </c>
      <c r="E23" s="61">
        <f t="shared" ref="E23:L23" si="12">SUM(E15:E21)</f>
        <v>1725.2795302820005</v>
      </c>
      <c r="F23" s="61">
        <f t="shared" si="12"/>
        <v>1650.3305791182984</v>
      </c>
      <c r="G23" s="61">
        <f t="shared" si="12"/>
        <v>1570.2148399024165</v>
      </c>
      <c r="H23" s="61">
        <f t="shared" si="12"/>
        <v>1347.6317378903702</v>
      </c>
      <c r="I23" s="61">
        <f t="shared" si="12"/>
        <v>1294.8741427115747</v>
      </c>
      <c r="J23" s="61">
        <f t="shared" si="12"/>
        <v>1145.9100333902061</v>
      </c>
      <c r="K23" s="61">
        <f t="shared" si="12"/>
        <v>974.23851345397452</v>
      </c>
      <c r="L23" s="61">
        <f t="shared" si="12"/>
        <v>11291.187433878513</v>
      </c>
      <c r="N23" s="61">
        <f>SUM(N15:N21)</f>
        <v>1847.0203026703266</v>
      </c>
      <c r="O23" s="61">
        <f t="shared" ref="O23:V23" si="13">SUM(O15:O21)</f>
        <v>2053.0826410355803</v>
      </c>
      <c r="P23" s="61">
        <f t="shared" si="13"/>
        <v>1983.6973561001946</v>
      </c>
      <c r="Q23" s="61">
        <f t="shared" si="13"/>
        <v>1928.2238234001675</v>
      </c>
      <c r="R23" s="61">
        <f t="shared" si="13"/>
        <v>1716.8828340723317</v>
      </c>
      <c r="S23" s="61">
        <f t="shared" si="13"/>
        <v>1700.1697493802974</v>
      </c>
      <c r="T23" s="61">
        <f t="shared" si="13"/>
        <v>1545.8326350433881</v>
      </c>
      <c r="U23" s="61">
        <f t="shared" si="13"/>
        <v>1352.2430566741166</v>
      </c>
      <c r="V23" s="61">
        <f t="shared" si="13"/>
        <v>14127.152398376402</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1">
        <v>94.24723304227993</v>
      </c>
      <c r="E26" s="191">
        <v>87.678224204681584</v>
      </c>
      <c r="F26" s="191">
        <v>87.676243763178761</v>
      </c>
      <c r="G26" s="191">
        <v>87.677481779017953</v>
      </c>
      <c r="H26" s="191">
        <v>87.676244486345595</v>
      </c>
      <c r="I26" s="191">
        <v>87.676244488148086</v>
      </c>
      <c r="J26" s="191">
        <v>87.676244492723825</v>
      </c>
      <c r="K26" s="191">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118.27525382068444</v>
      </c>
      <c r="U26" s="58">
        <f t="shared" si="15"/>
        <v>121.69462731362731</v>
      </c>
      <c r="V26" s="58">
        <f t="shared" ref="V26" si="16">SUM(N26:U26)</f>
        <v>894.16672601474102</v>
      </c>
    </row>
    <row r="27" spans="1:22">
      <c r="N27" s="53"/>
      <c r="O27" s="53"/>
      <c r="P27" s="53"/>
      <c r="Q27" s="53"/>
      <c r="R27" s="53"/>
      <c r="S27" s="53"/>
      <c r="T27" s="53"/>
      <c r="U27" s="53"/>
      <c r="V27" s="53"/>
    </row>
    <row r="28" spans="1:22">
      <c r="A28" t="s">
        <v>346</v>
      </c>
      <c r="N28" s="53"/>
      <c r="O28" s="53"/>
      <c r="P28" s="53"/>
      <c r="Q28" s="53"/>
      <c r="R28" s="53"/>
      <c r="S28" s="53"/>
      <c r="T28" s="53"/>
      <c r="U28" s="53"/>
      <c r="V28" s="53"/>
    </row>
    <row r="29" spans="1:22">
      <c r="B29" s="38" t="s">
        <v>339</v>
      </c>
    </row>
    <row r="30" spans="1:22">
      <c r="B30" t="s">
        <v>204</v>
      </c>
      <c r="D30" s="223">
        <v>73.775027711210655</v>
      </c>
      <c r="E30" s="223">
        <v>74.857370793520886</v>
      </c>
      <c r="F30" s="223">
        <v>77.005994132717234</v>
      </c>
      <c r="G30" s="223">
        <v>78.582137772280092</v>
      </c>
      <c r="H30" s="223">
        <v>79.36050736397776</v>
      </c>
      <c r="I30" s="223">
        <v>79.998881974263142</v>
      </c>
      <c r="J30" s="223">
        <v>81.754729960219521</v>
      </c>
      <c r="K30" s="223">
        <v>83.672873632490891</v>
      </c>
      <c r="L30" s="53">
        <f>SUM(D30:K30)</f>
        <v>629.00752334068022</v>
      </c>
      <c r="N30" s="53">
        <f>D30*N$1</f>
        <v>86.09545733898284</v>
      </c>
      <c r="O30" s="53">
        <f t="shared" ref="O30:U31" si="17">E30*O$1</f>
        <v>89.080271244289847</v>
      </c>
      <c r="P30" s="53">
        <f t="shared" si="17"/>
        <v>92.561204947526107</v>
      </c>
      <c r="Q30" s="53">
        <f t="shared" si="17"/>
        <v>96.498865184359957</v>
      </c>
      <c r="R30" s="53">
        <f t="shared" si="17"/>
        <v>101.10528638170767</v>
      </c>
      <c r="S30" s="53">
        <f t="shared" si="17"/>
        <v>105.0385320322075</v>
      </c>
      <c r="T30" s="53">
        <f t="shared" si="17"/>
        <v>110.28713071633614</v>
      </c>
      <c r="U30" s="53">
        <f t="shared" si="17"/>
        <v>116.13794860189735</v>
      </c>
      <c r="V30" s="53">
        <f>SUM(N30:U30)</f>
        <v>796.80469644730749</v>
      </c>
    </row>
    <row r="31" spans="1:22">
      <c r="B31" t="s">
        <v>206</v>
      </c>
      <c r="D31" s="223">
        <v>39.230261993822481</v>
      </c>
      <c r="E31" s="223">
        <v>34.208586772300464</v>
      </c>
      <c r="F31" s="223">
        <v>29.40934615713995</v>
      </c>
      <c r="G31" s="223">
        <v>27.165060319864111</v>
      </c>
      <c r="H31" s="223">
        <v>29.591699211758403</v>
      </c>
      <c r="I31" s="223">
        <v>20.377561078577621</v>
      </c>
      <c r="J31" s="223">
        <v>25.429651204161818</v>
      </c>
      <c r="K31" s="223">
        <v>25.40838563392731</v>
      </c>
      <c r="L31" s="53">
        <f>SUM(D31:K31)</f>
        <v>230.82055237155214</v>
      </c>
      <c r="N31" s="53">
        <f t="shared" ref="N31" si="18">D31*N$1</f>
        <v>45.781715746790837</v>
      </c>
      <c r="O31" s="53">
        <f t="shared" si="17"/>
        <v>40.708218259037551</v>
      </c>
      <c r="P31" s="53">
        <f t="shared" si="17"/>
        <v>35.350034080882217</v>
      </c>
      <c r="Q31" s="53">
        <f t="shared" si="17"/>
        <v>33.358694072793128</v>
      </c>
      <c r="R31" s="53">
        <f t="shared" si="17"/>
        <v>37.699824795780209</v>
      </c>
      <c r="S31" s="53">
        <f t="shared" si="17"/>
        <v>26.755737696172414</v>
      </c>
      <c r="T31" s="53">
        <f t="shared" si="17"/>
        <v>34.304599474414289</v>
      </c>
      <c r="U31" s="53">
        <f t="shared" si="17"/>
        <v>35.266839259891107</v>
      </c>
      <c r="V31" s="53">
        <f>SUM(N31:U31)</f>
        <v>289.22566338576178</v>
      </c>
    </row>
    <row r="32" spans="1:22">
      <c r="B32" s="38" t="s">
        <v>207</v>
      </c>
      <c r="D32" s="57">
        <f>SUM(D30:D31)</f>
        <v>113.00528970503314</v>
      </c>
      <c r="E32" s="57">
        <f t="shared" ref="E32:K32" si="19">SUM(E30:E31)</f>
        <v>109.06595756582135</v>
      </c>
      <c r="F32" s="57">
        <f t="shared" si="19"/>
        <v>106.41534028985718</v>
      </c>
      <c r="G32" s="57">
        <f t="shared" si="19"/>
        <v>105.7471980921442</v>
      </c>
      <c r="H32" s="57">
        <f t="shared" si="19"/>
        <v>108.95220657573617</v>
      </c>
      <c r="I32" s="57">
        <f t="shared" si="19"/>
        <v>100.37644305284076</v>
      </c>
      <c r="J32" s="57">
        <f t="shared" si="19"/>
        <v>107.18438116438134</v>
      </c>
      <c r="K32" s="57">
        <f t="shared" si="19"/>
        <v>109.0812592664182</v>
      </c>
      <c r="L32" s="57">
        <f t="shared" ref="L32" si="20">SUM(L30:L31)</f>
        <v>859.82807571223236</v>
      </c>
      <c r="N32" s="57">
        <f>SUM(N30:N31)</f>
        <v>131.87717308577368</v>
      </c>
      <c r="O32" s="57">
        <f t="shared" ref="O32:V32" si="21">SUM(O30:O31)</f>
        <v>129.78848950332741</v>
      </c>
      <c r="P32" s="57">
        <f t="shared" si="21"/>
        <v>127.91123902840832</v>
      </c>
      <c r="Q32" s="57">
        <f t="shared" si="21"/>
        <v>129.85755925715307</v>
      </c>
      <c r="R32" s="57">
        <f t="shared" si="21"/>
        <v>138.80511117748787</v>
      </c>
      <c r="S32" s="57">
        <f t="shared" si="21"/>
        <v>131.7942697283799</v>
      </c>
      <c r="T32" s="57">
        <f t="shared" si="21"/>
        <v>144.59173019075041</v>
      </c>
      <c r="U32" s="57">
        <f t="shared" si="21"/>
        <v>151.40478786178846</v>
      </c>
      <c r="V32" s="57">
        <f t="shared" si="21"/>
        <v>1086.0303598330693</v>
      </c>
    </row>
    <row r="33" spans="2:22">
      <c r="D33" s="53"/>
      <c r="E33" s="53"/>
      <c r="F33" s="53"/>
      <c r="G33" s="53"/>
      <c r="H33" s="53"/>
      <c r="I33" s="53"/>
      <c r="J33" s="53"/>
      <c r="K33" s="53"/>
      <c r="N33" s="53"/>
      <c r="O33" s="53"/>
      <c r="P33" s="53"/>
      <c r="Q33" s="53"/>
      <c r="R33" s="53"/>
      <c r="S33" s="53"/>
      <c r="T33" s="53"/>
      <c r="U33" s="53"/>
      <c r="V33" s="53"/>
    </row>
    <row r="34" spans="2:22">
      <c r="B34" s="38" t="s">
        <v>340</v>
      </c>
      <c r="D34" s="53"/>
      <c r="E34" s="53"/>
      <c r="F34" s="53"/>
      <c r="G34" s="53"/>
      <c r="H34" s="53"/>
      <c r="I34" s="53"/>
      <c r="J34" s="53"/>
      <c r="K34" s="53"/>
      <c r="N34" s="53"/>
      <c r="O34" s="53"/>
      <c r="P34" s="53"/>
      <c r="Q34" s="53"/>
      <c r="R34" s="53"/>
      <c r="S34" s="53"/>
      <c r="T34" s="53"/>
      <c r="U34" s="53"/>
      <c r="V34" s="53"/>
    </row>
    <row r="35" spans="2:22">
      <c r="B35" t="s">
        <v>210</v>
      </c>
      <c r="D35" s="222">
        <v>0</v>
      </c>
      <c r="E35" s="222">
        <v>0</v>
      </c>
      <c r="F35" s="222">
        <v>0</v>
      </c>
      <c r="G35" s="222">
        <v>0</v>
      </c>
      <c r="H35" s="222">
        <v>0</v>
      </c>
      <c r="I35" s="222">
        <v>0</v>
      </c>
      <c r="J35" s="222">
        <v>0</v>
      </c>
      <c r="K35" s="222">
        <v>0</v>
      </c>
      <c r="L35" s="53">
        <f>SUM(D35:K35)</f>
        <v>0</v>
      </c>
      <c r="N35" s="53">
        <f>D35*N$1</f>
        <v>0</v>
      </c>
      <c r="O35" s="53">
        <f t="shared" ref="O35:U36" si="22">E35*O$1</f>
        <v>0</v>
      </c>
      <c r="P35" s="53">
        <f t="shared" si="22"/>
        <v>0</v>
      </c>
      <c r="Q35" s="53">
        <f t="shared" si="22"/>
        <v>0</v>
      </c>
      <c r="R35" s="53">
        <f t="shared" si="22"/>
        <v>0</v>
      </c>
      <c r="S35" s="53">
        <f t="shared" si="22"/>
        <v>0</v>
      </c>
      <c r="T35" s="53">
        <f t="shared" si="22"/>
        <v>0</v>
      </c>
      <c r="U35" s="53">
        <f t="shared" si="22"/>
        <v>0</v>
      </c>
      <c r="V35" s="53">
        <f>SUM(N35:U35)</f>
        <v>0</v>
      </c>
    </row>
    <row r="36" spans="2:22">
      <c r="B36" t="s">
        <v>212</v>
      </c>
      <c r="D36" s="222">
        <v>0</v>
      </c>
      <c r="E36" s="222">
        <v>0</v>
      </c>
      <c r="F36" s="222">
        <v>0</v>
      </c>
      <c r="G36" s="222">
        <v>0</v>
      </c>
      <c r="H36" s="222">
        <v>0</v>
      </c>
      <c r="I36" s="222">
        <v>0</v>
      </c>
      <c r="J36" s="222">
        <v>0</v>
      </c>
      <c r="K36" s="222">
        <v>0</v>
      </c>
      <c r="L36" s="53">
        <f>SUM(D36:K36)</f>
        <v>0</v>
      </c>
      <c r="N36" s="53">
        <f>D36*N$1</f>
        <v>0</v>
      </c>
      <c r="O36" s="53">
        <f t="shared" si="22"/>
        <v>0</v>
      </c>
      <c r="P36" s="53">
        <f t="shared" si="22"/>
        <v>0</v>
      </c>
      <c r="Q36" s="53">
        <f t="shared" si="22"/>
        <v>0</v>
      </c>
      <c r="R36" s="53">
        <f t="shared" si="22"/>
        <v>0</v>
      </c>
      <c r="S36" s="53">
        <f t="shared" si="22"/>
        <v>0</v>
      </c>
      <c r="T36" s="53">
        <f t="shared" si="22"/>
        <v>0</v>
      </c>
      <c r="U36" s="53">
        <f t="shared" si="22"/>
        <v>0</v>
      </c>
      <c r="V36" s="53">
        <f>SUM(N36:U36)</f>
        <v>0</v>
      </c>
    </row>
    <row r="37" spans="2:22">
      <c r="B37" s="38" t="s">
        <v>341</v>
      </c>
      <c r="N37" s="53"/>
      <c r="O37" s="53"/>
      <c r="P37" s="53"/>
      <c r="Q37" s="53"/>
      <c r="R37" s="53"/>
      <c r="S37" s="53"/>
      <c r="T37" s="53"/>
      <c r="U37" s="53"/>
      <c r="V37" s="53"/>
    </row>
    <row r="38" spans="2:22">
      <c r="B38" t="s">
        <v>342</v>
      </c>
      <c r="D38" s="223">
        <v>884.37686582926199</v>
      </c>
      <c r="E38" s="223">
        <v>1029.6633914089277</v>
      </c>
      <c r="F38" s="223">
        <v>962.21017490924385</v>
      </c>
      <c r="G38" s="223">
        <v>876.7216914905016</v>
      </c>
      <c r="H38" s="223">
        <v>519.29077348666397</v>
      </c>
      <c r="I38" s="223">
        <v>373.01216503452599</v>
      </c>
      <c r="J38" s="223">
        <v>153.82031294442152</v>
      </c>
      <c r="K38" s="223">
        <v>61.821442201912973</v>
      </c>
      <c r="L38" s="53">
        <f t="shared" ref="L38:L40" si="23">SUM(D38:K38)</f>
        <v>4860.9168173054604</v>
      </c>
      <c r="N38" s="53">
        <f>D38*N$1</f>
        <v>1032.0678024227489</v>
      </c>
      <c r="O38" s="53">
        <f t="shared" ref="O38:U40" si="24">E38*O$1</f>
        <v>1225.299435776624</v>
      </c>
      <c r="P38" s="53">
        <f t="shared" si="24"/>
        <v>1156.5766302409111</v>
      </c>
      <c r="Q38" s="53">
        <f t="shared" si="24"/>
        <v>1076.6142371503358</v>
      </c>
      <c r="R38" s="53">
        <f t="shared" si="24"/>
        <v>661.5764454220099</v>
      </c>
      <c r="S38" s="53">
        <f t="shared" si="24"/>
        <v>489.76497269033263</v>
      </c>
      <c r="T38" s="53">
        <f t="shared" si="24"/>
        <v>207.50360216202463</v>
      </c>
      <c r="U38" s="53">
        <f t="shared" si="24"/>
        <v>85.808161776255204</v>
      </c>
      <c r="V38" s="53">
        <f t="shared" ref="V38" si="25">SUM(N38:U38)</f>
        <v>5935.2112876412421</v>
      </c>
    </row>
    <row r="39" spans="2:22">
      <c r="B39" t="s">
        <v>343</v>
      </c>
      <c r="D39" s="223">
        <v>506.11836500601339</v>
      </c>
      <c r="E39" s="223">
        <v>499.20409814951984</v>
      </c>
      <c r="F39" s="223">
        <v>485.07329761796098</v>
      </c>
      <c r="G39" s="223">
        <v>489.14143160750723</v>
      </c>
      <c r="H39" s="223">
        <v>622.61892466629627</v>
      </c>
      <c r="I39" s="223">
        <v>715.79753719305393</v>
      </c>
      <c r="J39" s="223">
        <v>784.25081046797004</v>
      </c>
      <c r="K39" s="223">
        <v>704.21301595565285</v>
      </c>
      <c r="L39" s="53">
        <f t="shared" si="23"/>
        <v>4806.4174806639749</v>
      </c>
      <c r="N39" s="53">
        <f>D39*N$1</f>
        <v>590.64013196201768</v>
      </c>
      <c r="O39" s="53">
        <f t="shared" si="24"/>
        <v>594.05287679792855</v>
      </c>
      <c r="P39" s="53">
        <f t="shared" si="24"/>
        <v>583.05810373678912</v>
      </c>
      <c r="Q39" s="53">
        <f t="shared" si="24"/>
        <v>600.66567801401891</v>
      </c>
      <c r="R39" s="53">
        <f t="shared" si="24"/>
        <v>793.21651002486146</v>
      </c>
      <c r="S39" s="53">
        <f t="shared" si="24"/>
        <v>939.84216633447977</v>
      </c>
      <c r="T39" s="53">
        <f t="shared" si="24"/>
        <v>1057.9543433212916</v>
      </c>
      <c r="U39" s="53">
        <f t="shared" si="24"/>
        <v>977.44766614644607</v>
      </c>
      <c r="V39" s="53">
        <f t="shared" ref="V39" si="26">SUM(N39:U39)</f>
        <v>6136.8774763378324</v>
      </c>
    </row>
    <row r="40" spans="2:22">
      <c r="B40" t="s">
        <v>204</v>
      </c>
      <c r="D40" s="223">
        <v>192.21282629439594</v>
      </c>
      <c r="E40" s="223">
        <v>196.41204072355288</v>
      </c>
      <c r="F40" s="223">
        <v>203.04710659109347</v>
      </c>
      <c r="G40" s="223">
        <v>204.35171680440774</v>
      </c>
      <c r="H40" s="223">
        <v>205.72203973741003</v>
      </c>
      <c r="I40" s="223">
        <v>206.0644404839947</v>
      </c>
      <c r="J40" s="223">
        <v>207.83890997781467</v>
      </c>
      <c r="K40" s="223">
        <v>208.20405529640865</v>
      </c>
      <c r="L40" s="53">
        <f t="shared" si="23"/>
        <v>1623.853135909078</v>
      </c>
      <c r="N40" s="53">
        <f>D40*N$1</f>
        <v>224.31236828556007</v>
      </c>
      <c r="O40" s="53">
        <f t="shared" si="24"/>
        <v>233.73032846102791</v>
      </c>
      <c r="P40" s="53">
        <f t="shared" si="24"/>
        <v>244.06262212249433</v>
      </c>
      <c r="Q40" s="53">
        <f t="shared" si="24"/>
        <v>250.9439082358127</v>
      </c>
      <c r="R40" s="53">
        <f t="shared" si="24"/>
        <v>262.08987862546036</v>
      </c>
      <c r="S40" s="53">
        <f t="shared" si="24"/>
        <v>270.56261035548505</v>
      </c>
      <c r="T40" s="53">
        <f t="shared" si="24"/>
        <v>280.374689560072</v>
      </c>
      <c r="U40" s="53">
        <f t="shared" si="24"/>
        <v>288.98722875141522</v>
      </c>
      <c r="V40" s="53">
        <f t="shared" ref="V40" si="27">SUM(N40:U40)</f>
        <v>2055.0636343973279</v>
      </c>
    </row>
    <row r="41" spans="2:22">
      <c r="N41" s="53"/>
      <c r="O41" s="53"/>
      <c r="P41" s="53"/>
      <c r="Q41" s="53"/>
      <c r="R41" s="53"/>
      <c r="S41" s="53"/>
      <c r="T41" s="53"/>
      <c r="U41" s="53"/>
      <c r="V41" s="53"/>
    </row>
    <row r="42" spans="2:22">
      <c r="B42" s="38" t="s">
        <v>344</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 t="shared" ref="L43:L44" si="28">SUM(D43:K43)</f>
        <v>0</v>
      </c>
      <c r="N43" s="53">
        <f>D43*N$1</f>
        <v>0</v>
      </c>
      <c r="O43" s="53">
        <f t="shared" ref="O43:U44" si="29">E43*O$1</f>
        <v>0</v>
      </c>
      <c r="P43" s="53">
        <f t="shared" si="29"/>
        <v>0</v>
      </c>
      <c r="Q43" s="53">
        <f t="shared" si="29"/>
        <v>0</v>
      </c>
      <c r="R43" s="53">
        <f t="shared" si="29"/>
        <v>0</v>
      </c>
      <c r="S43" s="53">
        <f t="shared" si="29"/>
        <v>0</v>
      </c>
      <c r="T43" s="53">
        <f t="shared" si="29"/>
        <v>0</v>
      </c>
      <c r="U43" s="53">
        <f t="shared" si="29"/>
        <v>0</v>
      </c>
      <c r="V43" s="53">
        <f t="shared" ref="V43:V44" si="30">SUM(N43:U43)</f>
        <v>0</v>
      </c>
    </row>
    <row r="44" spans="2:22">
      <c r="B44" t="s">
        <v>204</v>
      </c>
      <c r="D44" s="223">
        <v>0</v>
      </c>
      <c r="E44" s="223">
        <v>0</v>
      </c>
      <c r="F44" s="223">
        <v>0</v>
      </c>
      <c r="G44" s="223">
        <v>0</v>
      </c>
      <c r="H44" s="223">
        <v>0</v>
      </c>
      <c r="I44" s="223">
        <v>0</v>
      </c>
      <c r="J44" s="223">
        <v>0</v>
      </c>
      <c r="K44" s="223">
        <v>0</v>
      </c>
      <c r="L44" s="53">
        <f t="shared" si="28"/>
        <v>0</v>
      </c>
      <c r="N44" s="53">
        <f>D44*N$1</f>
        <v>0</v>
      </c>
      <c r="O44" s="53">
        <f t="shared" si="29"/>
        <v>0</v>
      </c>
      <c r="P44" s="53">
        <f t="shared" si="29"/>
        <v>0</v>
      </c>
      <c r="Q44" s="53">
        <f t="shared" si="29"/>
        <v>0</v>
      </c>
      <c r="R44" s="53">
        <f t="shared" si="29"/>
        <v>0</v>
      </c>
      <c r="S44" s="53">
        <f t="shared" si="29"/>
        <v>0</v>
      </c>
      <c r="T44" s="53">
        <f t="shared" si="29"/>
        <v>0</v>
      </c>
      <c r="U44" s="53">
        <f t="shared" si="29"/>
        <v>0</v>
      </c>
      <c r="V44" s="53">
        <f t="shared" si="30"/>
        <v>0</v>
      </c>
    </row>
    <row r="45" spans="2:22">
      <c r="N45" s="53"/>
      <c r="O45" s="53"/>
      <c r="P45" s="53"/>
      <c r="Q45" s="53"/>
      <c r="R45" s="53"/>
      <c r="S45" s="53"/>
      <c r="T45" s="53"/>
      <c r="U45" s="53"/>
      <c r="V45" s="53"/>
    </row>
    <row r="46" spans="2:22" ht="15.6">
      <c r="B46" s="59" t="s">
        <v>345</v>
      </c>
      <c r="C46" s="60"/>
      <c r="D46" s="61">
        <f>SUM(D38:D44)</f>
        <v>1582.7080571296713</v>
      </c>
      <c r="E46" s="61">
        <f t="shared" ref="E46:L46" si="31">SUM(E38:E44)</f>
        <v>1725.2795302820005</v>
      </c>
      <c r="F46" s="61">
        <f t="shared" si="31"/>
        <v>1650.3305791182984</v>
      </c>
      <c r="G46" s="61">
        <f t="shared" si="31"/>
        <v>1570.2148399024165</v>
      </c>
      <c r="H46" s="61">
        <f t="shared" si="31"/>
        <v>1347.6317378903702</v>
      </c>
      <c r="I46" s="61">
        <f t="shared" si="31"/>
        <v>1294.8741427115747</v>
      </c>
      <c r="J46" s="61">
        <f t="shared" si="31"/>
        <v>1145.9100333902063</v>
      </c>
      <c r="K46" s="61">
        <f t="shared" si="31"/>
        <v>974.23851345397452</v>
      </c>
      <c r="L46" s="61">
        <f t="shared" si="31"/>
        <v>11291.187433878513</v>
      </c>
      <c r="N46" s="61">
        <f>SUM(N38:N44)</f>
        <v>1847.0203026703266</v>
      </c>
      <c r="O46" s="61">
        <f t="shared" ref="O46:V46" si="32">SUM(O38:O44)</f>
        <v>2053.0826410355803</v>
      </c>
      <c r="P46" s="61">
        <f t="shared" si="32"/>
        <v>1983.6973561001946</v>
      </c>
      <c r="Q46" s="61">
        <f t="shared" si="32"/>
        <v>1928.2238234001675</v>
      </c>
      <c r="R46" s="61">
        <f t="shared" si="32"/>
        <v>1716.8828340723319</v>
      </c>
      <c r="S46" s="61">
        <f t="shared" si="32"/>
        <v>1700.1697493802974</v>
      </c>
      <c r="T46" s="61">
        <f t="shared" si="32"/>
        <v>1545.8326350433883</v>
      </c>
      <c r="U46" s="61">
        <f t="shared" si="32"/>
        <v>1352.2430566741164</v>
      </c>
      <c r="V46" s="61">
        <f t="shared" si="32"/>
        <v>14127.152398376402</v>
      </c>
    </row>
    <row r="47" spans="2:22">
      <c r="N47" s="53"/>
      <c r="O47" s="53"/>
      <c r="P47" s="53"/>
      <c r="Q47" s="53"/>
      <c r="R47" s="53"/>
      <c r="S47" s="53"/>
      <c r="T47" s="53"/>
      <c r="U47" s="53"/>
      <c r="V47" s="53"/>
    </row>
    <row r="49" spans="1:12" s="188" customFormat="1"/>
    <row r="50" spans="1:12" ht="13.8" thickBot="1"/>
    <row r="51" spans="1:12" ht="16.8">
      <c r="A51" s="68"/>
      <c r="B51" s="69" t="s">
        <v>237</v>
      </c>
      <c r="D51" s="70">
        <v>41729</v>
      </c>
      <c r="E51" s="71">
        <v>42094</v>
      </c>
      <c r="F51" s="71">
        <v>42460</v>
      </c>
      <c r="G51" s="71">
        <v>42825</v>
      </c>
      <c r="H51" s="71">
        <v>43190</v>
      </c>
      <c r="I51" s="71">
        <v>43555</v>
      </c>
      <c r="J51" s="71">
        <v>43921</v>
      </c>
      <c r="K51" s="72">
        <v>44286</v>
      </c>
      <c r="L51" s="73" t="s">
        <v>238</v>
      </c>
    </row>
    <row r="52" spans="1:12" ht="16.8">
      <c r="A52" s="74"/>
      <c r="B52" s="75" t="s">
        <v>239</v>
      </c>
      <c r="D52" s="76" t="s">
        <v>240</v>
      </c>
      <c r="E52" s="77" t="s">
        <v>240</v>
      </c>
      <c r="F52" s="77" t="s">
        <v>240</v>
      </c>
      <c r="G52" s="77" t="s">
        <v>240</v>
      </c>
      <c r="H52" s="77" t="s">
        <v>240</v>
      </c>
      <c r="I52" s="77" t="s">
        <v>240</v>
      </c>
      <c r="J52" s="77" t="s">
        <v>240</v>
      </c>
      <c r="K52" s="78" t="s">
        <v>240</v>
      </c>
      <c r="L52" s="79" t="s">
        <v>240</v>
      </c>
    </row>
    <row r="53" spans="1:12" ht="16.8">
      <c r="A53" s="80"/>
      <c r="B53" s="81" t="s">
        <v>207</v>
      </c>
      <c r="D53" s="82"/>
      <c r="E53" s="83"/>
      <c r="F53" s="83"/>
      <c r="G53" s="83"/>
      <c r="H53" s="83"/>
      <c r="I53" s="83"/>
      <c r="J53" s="83"/>
      <c r="K53" s="84"/>
      <c r="L53" s="85"/>
    </row>
    <row r="54" spans="1:12" ht="16.8">
      <c r="A54" s="86">
        <v>1</v>
      </c>
      <c r="B54" s="75" t="s">
        <v>241</v>
      </c>
      <c r="D54" s="87">
        <v>1345.3018485602204</v>
      </c>
      <c r="E54" s="88">
        <v>1466.4876007397002</v>
      </c>
      <c r="F54" s="88">
        <v>1402.7809922505535</v>
      </c>
      <c r="G54" s="88">
        <v>1334.6826139170541</v>
      </c>
      <c r="H54" s="88">
        <v>1145.4869772068148</v>
      </c>
      <c r="I54" s="88">
        <v>1100.6430213048384</v>
      </c>
      <c r="J54" s="88">
        <v>974.02352838167531</v>
      </c>
      <c r="K54" s="89">
        <v>828.10273643587834</v>
      </c>
      <c r="L54" s="90">
        <v>9597.5093187967341</v>
      </c>
    </row>
    <row r="55" spans="1:12" ht="16.8">
      <c r="A55" s="86">
        <v>2</v>
      </c>
      <c r="B55" s="75" t="s">
        <v>242</v>
      </c>
      <c r="D55" s="87">
        <v>237.40620856945091</v>
      </c>
      <c r="E55" s="88">
        <v>258.79192954230029</v>
      </c>
      <c r="F55" s="88">
        <v>247.54958686774498</v>
      </c>
      <c r="G55" s="88">
        <v>235.53222598536234</v>
      </c>
      <c r="H55" s="88">
        <v>202.1447606835556</v>
      </c>
      <c r="I55" s="88">
        <v>194.23112140673624</v>
      </c>
      <c r="J55" s="88">
        <v>171.88650500853097</v>
      </c>
      <c r="K55" s="89">
        <v>146.13577701809621</v>
      </c>
      <c r="L55" s="90">
        <v>1693.6781150817776</v>
      </c>
    </row>
    <row r="56" spans="1:12" ht="16.8">
      <c r="A56" s="86">
        <v>3</v>
      </c>
      <c r="B56" s="75" t="s">
        <v>243</v>
      </c>
      <c r="D56" s="87">
        <v>1582.7080571296713</v>
      </c>
      <c r="E56" s="88">
        <v>1725.2795302820005</v>
      </c>
      <c r="F56" s="88">
        <v>1650.3305791182984</v>
      </c>
      <c r="G56" s="88">
        <v>1570.2148399024165</v>
      </c>
      <c r="H56" s="88">
        <v>1347.6317378903705</v>
      </c>
      <c r="I56" s="88">
        <v>1294.8741427115747</v>
      </c>
      <c r="J56" s="88">
        <v>1145.9100333902063</v>
      </c>
      <c r="K56" s="89">
        <v>974.23851345397452</v>
      </c>
      <c r="L56" s="90">
        <v>11291.187433878511</v>
      </c>
    </row>
    <row r="57" spans="1:12" ht="16.8">
      <c r="A57" s="80"/>
      <c r="B57" s="81" t="s">
        <v>244</v>
      </c>
      <c r="D57" s="82">
        <v>0</v>
      </c>
      <c r="E57" s="83">
        <v>0</v>
      </c>
      <c r="F57" s="83">
        <v>0</v>
      </c>
      <c r="G57" s="83">
        <v>0</v>
      </c>
      <c r="H57" s="83">
        <v>0</v>
      </c>
      <c r="I57" s="83">
        <v>0</v>
      </c>
      <c r="J57" s="83">
        <v>0</v>
      </c>
      <c r="K57" s="84">
        <v>0</v>
      </c>
      <c r="L57" s="85">
        <v>0</v>
      </c>
    </row>
    <row r="58" spans="1:12" ht="16.8">
      <c r="A58" s="86">
        <v>4</v>
      </c>
      <c r="B58" s="75" t="s">
        <v>245</v>
      </c>
      <c r="D58" s="87">
        <v>8691.0913006079008</v>
      </c>
      <c r="E58" s="88">
        <v>9318.9401894571911</v>
      </c>
      <c r="F58" s="88">
        <v>10190.13064602857</v>
      </c>
      <c r="G58" s="88">
        <v>10954.759616159714</v>
      </c>
      <c r="H58" s="88">
        <v>11693.585012656386</v>
      </c>
      <c r="I58" s="88">
        <v>12132.498625524491</v>
      </c>
      <c r="J58" s="88">
        <v>12505.684945327166</v>
      </c>
      <c r="K58" s="89">
        <v>12743.37641365013</v>
      </c>
      <c r="L58" s="90">
        <v>0</v>
      </c>
    </row>
    <row r="59" spans="1:12" ht="16.8">
      <c r="A59" s="86">
        <v>5</v>
      </c>
      <c r="B59" s="75" t="s">
        <v>246</v>
      </c>
      <c r="D59" s="87">
        <v>0</v>
      </c>
      <c r="E59" s="88">
        <v>0</v>
      </c>
      <c r="F59" s="88">
        <v>0</v>
      </c>
      <c r="G59" s="88">
        <v>82.388628473992952</v>
      </c>
      <c r="H59" s="88">
        <v>0</v>
      </c>
      <c r="I59" s="88">
        <v>0</v>
      </c>
      <c r="J59" s="88">
        <v>0</v>
      </c>
      <c r="K59" s="89">
        <v>0</v>
      </c>
      <c r="L59" s="90">
        <v>82.388628473992952</v>
      </c>
    </row>
    <row r="60" spans="1:12" ht="16.8">
      <c r="A60" s="86">
        <v>6</v>
      </c>
      <c r="B60" s="75" t="s">
        <v>247</v>
      </c>
      <c r="D60" s="87">
        <v>8691.0913006079008</v>
      </c>
      <c r="E60" s="88">
        <v>9318.9401894571911</v>
      </c>
      <c r="F60" s="88">
        <v>10190.13064602857</v>
      </c>
      <c r="G60" s="88">
        <v>11037.148244633707</v>
      </c>
      <c r="H60" s="88">
        <v>11693.585012656386</v>
      </c>
      <c r="I60" s="88">
        <v>12132.498625524491</v>
      </c>
      <c r="J60" s="88">
        <v>12505.684945327166</v>
      </c>
      <c r="K60" s="89">
        <v>12743.37641365013</v>
      </c>
      <c r="L60" s="90">
        <v>0</v>
      </c>
    </row>
    <row r="61" spans="1:12" ht="16.8">
      <c r="A61" s="86">
        <v>7</v>
      </c>
      <c r="B61" s="75" t="s">
        <v>248</v>
      </c>
      <c r="D61" s="87">
        <v>1191.5959543765675</v>
      </c>
      <c r="E61" s="88">
        <v>1466.4876007397002</v>
      </c>
      <c r="F61" s="88">
        <v>1402.7809922505535</v>
      </c>
      <c r="G61" s="88">
        <v>1334.6826139170541</v>
      </c>
      <c r="H61" s="88">
        <v>1145.4869772068148</v>
      </c>
      <c r="I61" s="88">
        <v>1100.6430213048384</v>
      </c>
      <c r="J61" s="88">
        <v>974.02352838167531</v>
      </c>
      <c r="K61" s="89">
        <v>828.10273643587834</v>
      </c>
      <c r="L61" s="90">
        <v>9443.803424613081</v>
      </c>
    </row>
    <row r="62" spans="1:12" ht="16.8">
      <c r="A62" s="86">
        <v>8</v>
      </c>
      <c r="B62" s="75" t="s">
        <v>249</v>
      </c>
      <c r="D62" s="87">
        <v>-563.74706552727753</v>
      </c>
      <c r="E62" s="88">
        <v>-595.29714416831962</v>
      </c>
      <c r="F62" s="88">
        <v>-638.1520221194105</v>
      </c>
      <c r="G62" s="88">
        <v>-678.24584589437734</v>
      </c>
      <c r="H62" s="88">
        <v>-706.57336433870967</v>
      </c>
      <c r="I62" s="88">
        <v>-727.45670150216222</v>
      </c>
      <c r="J62" s="88">
        <v>-736.33206005871295</v>
      </c>
      <c r="K62" s="89">
        <v>-742.24410705172215</v>
      </c>
      <c r="L62" s="90">
        <v>-5388.0483106606926</v>
      </c>
    </row>
    <row r="63" spans="1:12" ht="16.8">
      <c r="A63" s="86">
        <v>9</v>
      </c>
      <c r="B63" s="75" t="s">
        <v>250</v>
      </c>
      <c r="D63" s="87">
        <v>9318.9401894571911</v>
      </c>
      <c r="E63" s="88">
        <v>10190.13064602857</v>
      </c>
      <c r="F63" s="88">
        <v>10954.759616159714</v>
      </c>
      <c r="G63" s="88">
        <v>11693.585012656384</v>
      </c>
      <c r="H63" s="88">
        <v>12132.498625524489</v>
      </c>
      <c r="I63" s="88">
        <v>12505.684945327168</v>
      </c>
      <c r="J63" s="88">
        <v>12743.376413650129</v>
      </c>
      <c r="K63" s="89">
        <v>12829.235043034287</v>
      </c>
      <c r="L63" s="90">
        <v>0</v>
      </c>
    </row>
    <row r="64" spans="1:12" ht="16.8">
      <c r="A64" s="80"/>
      <c r="B64" s="81" t="s">
        <v>251</v>
      </c>
      <c r="D64" s="91">
        <v>0</v>
      </c>
      <c r="E64" s="92">
        <v>0</v>
      </c>
      <c r="F64" s="92">
        <v>0</v>
      </c>
      <c r="G64" s="92">
        <v>0</v>
      </c>
      <c r="H64" s="92">
        <v>0</v>
      </c>
      <c r="I64" s="92">
        <v>0</v>
      </c>
      <c r="J64" s="92">
        <v>0</v>
      </c>
      <c r="K64" s="93">
        <v>0</v>
      </c>
      <c r="L64" s="94">
        <v>0</v>
      </c>
    </row>
    <row r="65" spans="1:12" ht="16.8">
      <c r="A65" s="86">
        <v>10</v>
      </c>
      <c r="B65" s="75" t="s">
        <v>252</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253</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254</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255</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256</v>
      </c>
      <c r="D69" s="87">
        <v>0</v>
      </c>
      <c r="E69" s="88">
        <v>16.036529091209541</v>
      </c>
      <c r="F69" s="88">
        <v>0</v>
      </c>
      <c r="G69" s="88">
        <v>22.217944632295964</v>
      </c>
      <c r="H69" s="88">
        <v>0</v>
      </c>
      <c r="I69" s="88">
        <v>0</v>
      </c>
      <c r="J69" s="88">
        <v>0</v>
      </c>
      <c r="K69" s="89">
        <v>0</v>
      </c>
      <c r="L69" s="90">
        <v>38.254473723505505</v>
      </c>
    </row>
    <row r="70" spans="1:12" ht="16.8">
      <c r="A70" s="86">
        <v>15</v>
      </c>
      <c r="B70" s="75" t="s">
        <v>257</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258</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259</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8">
      <c r="A73" s="80"/>
      <c r="B73" s="81" t="s">
        <v>260</v>
      </c>
      <c r="D73" s="91">
        <v>0</v>
      </c>
      <c r="E73" s="92">
        <v>0</v>
      </c>
      <c r="F73" s="92">
        <v>0</v>
      </c>
      <c r="G73" s="92">
        <v>0</v>
      </c>
      <c r="H73" s="92">
        <v>0</v>
      </c>
      <c r="I73" s="92">
        <v>0</v>
      </c>
      <c r="J73" s="92">
        <v>0</v>
      </c>
      <c r="K73" s="93">
        <v>0</v>
      </c>
      <c r="L73" s="94">
        <v>0</v>
      </c>
    </row>
    <row r="74" spans="1:12" ht="16.8">
      <c r="A74" s="86">
        <v>18</v>
      </c>
      <c r="B74" s="75" t="s">
        <v>252</v>
      </c>
      <c r="D74" s="87">
        <v>237.40620856945091</v>
      </c>
      <c r="E74" s="88">
        <v>258.79192954230029</v>
      </c>
      <c r="F74" s="88">
        <v>247.54958686774498</v>
      </c>
      <c r="G74" s="88">
        <v>235.53222598536234</v>
      </c>
      <c r="H74" s="88">
        <v>202.1447606835556</v>
      </c>
      <c r="I74" s="88">
        <v>194.23112140673624</v>
      </c>
      <c r="J74" s="88">
        <v>171.88650500853097</v>
      </c>
      <c r="K74" s="89">
        <v>146.13577701809621</v>
      </c>
      <c r="L74" s="90">
        <v>1693.6781150817776</v>
      </c>
    </row>
    <row r="75" spans="1:12" ht="16.8">
      <c r="A75" s="86">
        <v>19</v>
      </c>
      <c r="B75" s="75" t="s">
        <v>253</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254</v>
      </c>
      <c r="D76" s="87">
        <v>563.74706552727753</v>
      </c>
      <c r="E76" s="88">
        <v>595.29714416831962</v>
      </c>
      <c r="F76" s="88">
        <v>638.1520221194105</v>
      </c>
      <c r="G76" s="88">
        <v>678.24584589437734</v>
      </c>
      <c r="H76" s="88">
        <v>706.57336433870967</v>
      </c>
      <c r="I76" s="88">
        <v>727.45670150216222</v>
      </c>
      <c r="J76" s="88">
        <v>736.33206005871295</v>
      </c>
      <c r="K76" s="89">
        <v>742.24410705172215</v>
      </c>
      <c r="L76" s="90">
        <v>5388.0483106606926</v>
      </c>
    </row>
    <row r="77" spans="1:12" ht="16.8">
      <c r="A77" s="86">
        <v>21</v>
      </c>
      <c r="B77" s="75" t="s">
        <v>255</v>
      </c>
      <c r="D77" s="87">
        <v>400.67391654652721</v>
      </c>
      <c r="E77" s="88">
        <v>422.73769689880908</v>
      </c>
      <c r="F77" s="88">
        <v>458.26835974570366</v>
      </c>
      <c r="G77" s="88">
        <v>492.71581185041794</v>
      </c>
      <c r="H77" s="88">
        <v>516.57599979208521</v>
      </c>
      <c r="I77" s="88">
        <v>534.22117106266046</v>
      </c>
      <c r="J77" s="88">
        <v>547.53468580235278</v>
      </c>
      <c r="K77" s="89">
        <v>554.62381018204826</v>
      </c>
      <c r="L77" s="90">
        <v>3927.3514518806046</v>
      </c>
    </row>
    <row r="78" spans="1:12" ht="16.8">
      <c r="A78" s="86">
        <v>22</v>
      </c>
      <c r="B78" s="75" t="s">
        <v>256</v>
      </c>
      <c r="D78" s="87">
        <v>0</v>
      </c>
      <c r="E78" s="88">
        <v>15.302083324179691</v>
      </c>
      <c r="F78" s="88">
        <v>0</v>
      </c>
      <c r="G78" s="88">
        <v>21.350851138829352</v>
      </c>
      <c r="H78" s="88">
        <v>0</v>
      </c>
      <c r="I78" s="88">
        <v>0</v>
      </c>
      <c r="J78" s="88">
        <v>0</v>
      </c>
      <c r="K78" s="89">
        <v>0</v>
      </c>
      <c r="L78" s="90">
        <v>36.652934463009046</v>
      </c>
    </row>
    <row r="79" spans="1:12" ht="16.8">
      <c r="A79" s="86">
        <v>23</v>
      </c>
      <c r="B79" s="75" t="s">
        <v>257</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258</v>
      </c>
      <c r="D80" s="87">
        <v>-45.366985364791489</v>
      </c>
      <c r="E80" s="88">
        <v>-44.701345810549839</v>
      </c>
      <c r="F80" s="88">
        <v>-50.4774854144909</v>
      </c>
      <c r="G80" s="88">
        <v>-46.321735955079362</v>
      </c>
      <c r="H80" s="88">
        <v>-46.169263516452233</v>
      </c>
      <c r="I80" s="88">
        <v>-45.529061002880482</v>
      </c>
      <c r="J80" s="88">
        <v>-44.753940315009984</v>
      </c>
      <c r="K80" s="89">
        <v>-44.176524172596373</v>
      </c>
      <c r="L80" s="90">
        <v>-367.49634155185066</v>
      </c>
    </row>
    <row r="81" spans="1:12" ht="16.8">
      <c r="A81" s="86">
        <v>25</v>
      </c>
      <c r="B81" s="75" t="s">
        <v>259</v>
      </c>
      <c r="D81" s="87">
        <v>85.250420369347012</v>
      </c>
      <c r="E81" s="88">
        <v>77.753945682356559</v>
      </c>
      <c r="F81" s="88">
        <v>65.225250455457726</v>
      </c>
      <c r="G81" s="88">
        <v>72.326374142402827</v>
      </c>
      <c r="H81" s="88">
        <v>61.745844461211234</v>
      </c>
      <c r="I81" s="88">
        <v>64.319633935715046</v>
      </c>
      <c r="J81" s="88">
        <v>63.371338647991386</v>
      </c>
      <c r="K81" s="89">
        <v>64.332105910113654</v>
      </c>
      <c r="L81" s="90">
        <v>554.32491360459539</v>
      </c>
    </row>
    <row r="82" spans="1:12" ht="16.8">
      <c r="A82" s="80"/>
      <c r="B82" s="81" t="s">
        <v>261</v>
      </c>
      <c r="D82" s="91">
        <v>0</v>
      </c>
      <c r="E82" s="92">
        <v>0</v>
      </c>
      <c r="F82" s="92">
        <v>0</v>
      </c>
      <c r="G82" s="92">
        <v>0</v>
      </c>
      <c r="H82" s="92">
        <v>0</v>
      </c>
      <c r="I82" s="92">
        <v>0</v>
      </c>
      <c r="J82" s="92">
        <v>0</v>
      </c>
      <c r="K82" s="93">
        <v>0</v>
      </c>
      <c r="L82" s="95">
        <v>0</v>
      </c>
    </row>
    <row r="83" spans="1:12" ht="16.8">
      <c r="A83" s="86">
        <v>26</v>
      </c>
      <c r="B83" s="75" t="s">
        <v>262</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8">
      <c r="A84" s="86">
        <v>27</v>
      </c>
      <c r="B84" s="75" t="s">
        <v>263</v>
      </c>
      <c r="D84" s="87">
        <v>0</v>
      </c>
      <c r="E84" s="88">
        <v>-5.4472436134815325</v>
      </c>
      <c r="F84" s="88">
        <v>0</v>
      </c>
      <c r="G84" s="88">
        <v>0</v>
      </c>
      <c r="H84" s="88">
        <v>0</v>
      </c>
      <c r="I84" s="88">
        <v>0</v>
      </c>
      <c r="J84" s="88">
        <v>0</v>
      </c>
      <c r="K84" s="89">
        <v>0</v>
      </c>
      <c r="L84" s="90">
        <v>-5.4472436134815325</v>
      </c>
    </row>
    <row r="85" spans="1:12" ht="16.8">
      <c r="A85" s="86">
        <v>28</v>
      </c>
      <c r="B85" s="75" t="s">
        <v>264</v>
      </c>
      <c r="D85" s="96">
        <v>1342.2812908140818</v>
      </c>
      <c r="E85" s="88">
        <v>1438.3822181213663</v>
      </c>
      <c r="F85" s="88">
        <v>1475.5925732296025</v>
      </c>
      <c r="G85" s="88">
        <v>1571.3868096928727</v>
      </c>
      <c r="H85" s="88">
        <v>1554.9421422395978</v>
      </c>
      <c r="I85" s="88">
        <v>1587.6274208238706</v>
      </c>
      <c r="J85" s="88">
        <v>1585.2281224827718</v>
      </c>
      <c r="K85" s="89">
        <v>1571.5841090397205</v>
      </c>
      <c r="L85" s="90">
        <v>12127.024686443883</v>
      </c>
    </row>
    <row r="86" spans="1:12" ht="16.8">
      <c r="A86" s="86">
        <v>29</v>
      </c>
      <c r="B86" s="75" t="s">
        <v>168</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265</v>
      </c>
      <c r="D87" s="96">
        <v>0</v>
      </c>
      <c r="E87" s="88">
        <v>0</v>
      </c>
      <c r="F87" s="88">
        <v>0</v>
      </c>
      <c r="G87" s="88">
        <v>0</v>
      </c>
      <c r="H87" s="88">
        <v>0</v>
      </c>
      <c r="I87" s="88">
        <v>0</v>
      </c>
      <c r="J87" s="88">
        <v>0</v>
      </c>
      <c r="K87" s="89">
        <v>0</v>
      </c>
      <c r="L87" s="90">
        <v>0</v>
      </c>
    </row>
    <row r="88" spans="1:12" ht="16.8">
      <c r="A88" s="86">
        <v>31</v>
      </c>
      <c r="B88" s="75" t="s">
        <v>266</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267</v>
      </c>
      <c r="D89" s="96">
        <v>1479.0323249384494</v>
      </c>
      <c r="E89" s="88">
        <v>1574.4569081721447</v>
      </c>
      <c r="F89" s="88">
        <v>1618.1908312067778</v>
      </c>
      <c r="G89" s="88">
        <v>1696.9868096928726</v>
      </c>
      <c r="H89" s="88">
        <v>1682.2421422395978</v>
      </c>
      <c r="I89" s="88">
        <v>1716.2274208238705</v>
      </c>
      <c r="J89" s="88">
        <v>1715.4281224827719</v>
      </c>
      <c r="K89" s="89">
        <v>1703.2841090397205</v>
      </c>
      <c r="L89" s="90">
        <v>13185.848668596205</v>
      </c>
    </row>
    <row r="90" spans="1:12" ht="16.8">
      <c r="A90" s="80"/>
      <c r="B90" s="81" t="s">
        <v>268</v>
      </c>
      <c r="D90" s="91">
        <v>0</v>
      </c>
      <c r="E90" s="92">
        <v>0</v>
      </c>
      <c r="F90" s="92">
        <v>0</v>
      </c>
      <c r="G90" s="92">
        <v>0</v>
      </c>
      <c r="H90" s="92">
        <v>0</v>
      </c>
      <c r="I90" s="97">
        <v>0</v>
      </c>
      <c r="J90" s="92">
        <v>0</v>
      </c>
      <c r="K90" s="93">
        <v>0</v>
      </c>
      <c r="L90" s="95">
        <v>0</v>
      </c>
    </row>
    <row r="91" spans="1:12" ht="16.8">
      <c r="A91" s="86">
        <v>33</v>
      </c>
      <c r="B91" s="75" t="s">
        <v>268</v>
      </c>
      <c r="D91" s="87">
        <v>1351.1261049786092</v>
      </c>
      <c r="E91" s="88">
        <v>1429.1347880160697</v>
      </c>
      <c r="F91" s="88">
        <v>1462.0086804414825</v>
      </c>
      <c r="G91" s="88">
        <v>1556.4385291950655</v>
      </c>
      <c r="H91" s="88">
        <v>1541.5803660033087</v>
      </c>
      <c r="I91" s="88">
        <v>1574.9318791583714</v>
      </c>
      <c r="J91" s="88">
        <v>1573.331994601642</v>
      </c>
      <c r="K91" s="89">
        <v>1560.6623383935998</v>
      </c>
      <c r="L91" s="90">
        <v>12049.214680788149</v>
      </c>
    </row>
    <row r="92" spans="1:12" ht="16.8">
      <c r="A92" s="86">
        <v>34</v>
      </c>
      <c r="B92" s="75" t="s">
        <v>269</v>
      </c>
      <c r="D92" s="87">
        <v>1342.2812908140818</v>
      </c>
      <c r="E92" s="88">
        <v>1443.8294617348479</v>
      </c>
      <c r="F92" s="88">
        <v>1475.5925732296025</v>
      </c>
      <c r="G92" s="88">
        <v>1571.3868096928727</v>
      </c>
      <c r="H92" s="88">
        <v>1554.9421422395978</v>
      </c>
      <c r="I92" s="88">
        <v>1587.6274208238706</v>
      </c>
      <c r="J92" s="88">
        <v>1585.2281224827718</v>
      </c>
      <c r="K92" s="89">
        <v>1571.5841090397205</v>
      </c>
      <c r="L92" s="90">
        <v>12132.471930057365</v>
      </c>
    </row>
    <row r="93" spans="1:12" ht="16.8">
      <c r="A93" s="80"/>
      <c r="B93" s="81" t="s">
        <v>270</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8">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8">
      <c r="A96" s="86">
        <v>37</v>
      </c>
      <c r="B96" s="98">
        <v>42460</v>
      </c>
      <c r="D96" s="96">
        <v>0</v>
      </c>
      <c r="E96" s="88">
        <v>0</v>
      </c>
      <c r="F96" s="88">
        <v>0</v>
      </c>
      <c r="G96" s="88">
        <v>0</v>
      </c>
      <c r="H96" s="88">
        <v>0</v>
      </c>
      <c r="I96" s="88">
        <v>0</v>
      </c>
      <c r="J96" s="88">
        <v>0</v>
      </c>
      <c r="K96" s="89">
        <v>0</v>
      </c>
      <c r="L96" s="90">
        <v>0</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271</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-5.4472436134815325</v>
      </c>
      <c r="F104" s="88">
        <v>0</v>
      </c>
      <c r="G104" s="88">
        <v>0</v>
      </c>
      <c r="H104" s="88">
        <v>0</v>
      </c>
      <c r="I104" s="88">
        <v>0</v>
      </c>
      <c r="J104" s="88">
        <v>0</v>
      </c>
      <c r="K104" s="89">
        <v>0</v>
      </c>
      <c r="L104" s="90">
        <v>-5.4472436134815325</v>
      </c>
    </row>
    <row r="105" spans="1:12" ht="16.8">
      <c r="A105" s="86">
        <v>45</v>
      </c>
      <c r="B105" s="98">
        <v>42460</v>
      </c>
      <c r="D105" s="96">
        <v>0</v>
      </c>
      <c r="E105" s="88">
        <v>0</v>
      </c>
      <c r="F105" s="88">
        <v>0</v>
      </c>
      <c r="G105" s="88">
        <v>0</v>
      </c>
      <c r="H105" s="88">
        <v>0</v>
      </c>
      <c r="I105" s="88">
        <v>0</v>
      </c>
      <c r="J105" s="88">
        <v>0</v>
      </c>
      <c r="K105" s="89">
        <v>0</v>
      </c>
      <c r="L105" s="90">
        <v>0</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272</v>
      </c>
      <c r="D111" s="91">
        <v>0</v>
      </c>
      <c r="E111" s="92">
        <v>0</v>
      </c>
      <c r="F111" s="92">
        <v>0</v>
      </c>
      <c r="G111" s="92">
        <v>0</v>
      </c>
      <c r="H111" s="92">
        <v>0</v>
      </c>
      <c r="I111" s="97">
        <v>0</v>
      </c>
      <c r="J111" s="92">
        <v>0</v>
      </c>
      <c r="K111" s="93">
        <v>0</v>
      </c>
      <c r="L111" s="95">
        <v>0</v>
      </c>
    </row>
    <row r="112" spans="1:12" ht="16.8">
      <c r="A112" s="86">
        <v>51</v>
      </c>
      <c r="B112" s="75" t="s">
        <v>273</v>
      </c>
      <c r="D112" s="87">
        <v>8802.1510664878551</v>
      </c>
      <c r="E112" s="88">
        <v>9538.3054354424421</v>
      </c>
      <c r="F112" s="88">
        <v>10339.990066464432</v>
      </c>
      <c r="G112" s="88">
        <v>11117.234021895711</v>
      </c>
      <c r="H112" s="88">
        <v>11655.595663178818</v>
      </c>
      <c r="I112" s="88">
        <v>12053.726783904793</v>
      </c>
      <c r="J112" s="88">
        <v>12354.121972074745</v>
      </c>
      <c r="K112" s="89">
        <v>12514.075139486647</v>
      </c>
      <c r="L112" s="90">
        <v>88375.200148935444</v>
      </c>
    </row>
    <row r="113" spans="1:12" ht="16.8">
      <c r="A113" s="86">
        <v>52</v>
      </c>
      <c r="B113" s="75" t="s">
        <v>26</v>
      </c>
      <c r="D113" s="99">
        <v>0.6</v>
      </c>
      <c r="E113" s="100">
        <v>0.6</v>
      </c>
      <c r="F113" s="100">
        <v>0.6</v>
      </c>
      <c r="G113" s="100">
        <v>0.6</v>
      </c>
      <c r="H113" s="100">
        <v>0.6</v>
      </c>
      <c r="I113" s="100">
        <v>0.6</v>
      </c>
      <c r="J113" s="100">
        <v>0.6</v>
      </c>
      <c r="K113" s="101">
        <v>0.6</v>
      </c>
      <c r="L113" s="102">
        <v>0.60000000000000009</v>
      </c>
    </row>
    <row r="114" spans="1:12" ht="16.8">
      <c r="A114" s="86">
        <v>53</v>
      </c>
      <c r="B114" s="75" t="s">
        <v>274</v>
      </c>
      <c r="D114" s="87">
        <v>3520.8604265951421</v>
      </c>
      <c r="E114" s="88">
        <v>3815.3221741769771</v>
      </c>
      <c r="F114" s="88">
        <v>4135.9960265857726</v>
      </c>
      <c r="G114" s="88">
        <v>4446.8936087582842</v>
      </c>
      <c r="H114" s="88">
        <v>4662.2382652715269</v>
      </c>
      <c r="I114" s="88">
        <v>4821.4907135619169</v>
      </c>
      <c r="J114" s="88">
        <v>4941.648788829898</v>
      </c>
      <c r="K114" s="89">
        <v>5005.6300557946597</v>
      </c>
      <c r="L114" s="90">
        <v>35350.080059574175</v>
      </c>
    </row>
    <row r="115" spans="1:12" ht="16.8">
      <c r="A115" s="86">
        <v>54</v>
      </c>
      <c r="B115" s="75" t="s">
        <v>275</v>
      </c>
      <c r="D115" s="87">
        <v>154.21368668486721</v>
      </c>
      <c r="E115" s="88">
        <v>155.66514470642068</v>
      </c>
      <c r="F115" s="88">
        <v>168.74863788469955</v>
      </c>
      <c r="G115" s="88">
        <v>181.43325923733801</v>
      </c>
      <c r="H115" s="88">
        <v>190.21932122307831</v>
      </c>
      <c r="I115" s="88">
        <v>196.71682111332623</v>
      </c>
      <c r="J115" s="88">
        <v>201.61927058425985</v>
      </c>
      <c r="K115" s="89">
        <v>204.22970627642209</v>
      </c>
      <c r="L115" s="90">
        <v>1452.8458477104118</v>
      </c>
    </row>
    <row r="116" spans="1:12" ht="17.399999999999999" thickBot="1">
      <c r="A116" s="103">
        <v>55</v>
      </c>
      <c r="B116" s="104" t="s">
        <v>276</v>
      </c>
      <c r="D116" s="105">
        <v>246.46022986166</v>
      </c>
      <c r="E116" s="106">
        <v>267.0725521923884</v>
      </c>
      <c r="F116" s="106">
        <v>289.51972186100409</v>
      </c>
      <c r="G116" s="106">
        <v>311.28255261307993</v>
      </c>
      <c r="H116" s="106">
        <v>326.35667856900693</v>
      </c>
      <c r="I116" s="106">
        <v>337.50434994933426</v>
      </c>
      <c r="J116" s="106">
        <v>345.9154152180929</v>
      </c>
      <c r="K116" s="107">
        <v>350.39410390562614</v>
      </c>
      <c r="L116" s="108">
        <v>2474.5056041701928</v>
      </c>
    </row>
    <row r="120" spans="1:12">
      <c r="B120" t="s">
        <v>348</v>
      </c>
      <c r="D120" s="53">
        <v>-153.70589418365282</v>
      </c>
    </row>
    <row r="123" spans="1:12">
      <c r="D123" s="53"/>
      <c r="E123" s="53"/>
    </row>
    <row r="124" spans="1:12">
      <c r="D124" s="53">
        <f>D131+D128-D127</f>
        <v>1286.2464791926836</v>
      </c>
      <c r="E124" s="53">
        <f t="shared" ref="E124:K124" si="33">E131+E128-E127</f>
        <v>1555.0071773847544</v>
      </c>
      <c r="F124" s="53">
        <f t="shared" si="33"/>
        <v>1485.1696207245463</v>
      </c>
      <c r="G124" s="53">
        <f t="shared" si="33"/>
        <v>1334.6826139170541</v>
      </c>
      <c r="H124" s="53">
        <f t="shared" si="33"/>
        <v>1145.4869772068148</v>
      </c>
      <c r="I124" s="53">
        <f t="shared" si="33"/>
        <v>1100.6430213048384</v>
      </c>
      <c r="J124" s="53">
        <f t="shared" si="33"/>
        <v>974.02352838167531</v>
      </c>
      <c r="K124" s="53">
        <f t="shared" si="33"/>
        <v>828.10273643587834</v>
      </c>
    </row>
    <row r="127" spans="1:12" ht="16.8">
      <c r="B127" s="110" t="s">
        <v>287</v>
      </c>
      <c r="D127" s="187">
        <v>5.1119303278452115</v>
      </c>
      <c r="E127" s="187">
        <v>6.1309481710615064</v>
      </c>
      <c r="F127" s="187">
        <v>6.1309481710615064</v>
      </c>
      <c r="G127" s="187">
        <v>0</v>
      </c>
      <c r="H127" s="187">
        <v>0</v>
      </c>
      <c r="I127" s="187">
        <v>0</v>
      </c>
      <c r="J127" s="187">
        <v>0</v>
      </c>
      <c r="K127" s="187">
        <v>0</v>
      </c>
    </row>
    <row r="128" spans="1:12" ht="16.8">
      <c r="B128" s="110" t="s">
        <v>288</v>
      </c>
      <c r="D128" s="187">
        <v>99.762455143961176</v>
      </c>
      <c r="E128" s="187">
        <v>94.650524816115961</v>
      </c>
      <c r="F128" s="187">
        <v>88.519576645054457</v>
      </c>
      <c r="G128" s="187">
        <v>0</v>
      </c>
      <c r="H128" s="187">
        <v>0</v>
      </c>
      <c r="I128" s="187">
        <v>0</v>
      </c>
      <c r="J128" s="187">
        <v>0</v>
      </c>
      <c r="K128" s="187">
        <v>0</v>
      </c>
    </row>
    <row r="129" spans="2:25">
      <c r="D129" s="53"/>
      <c r="E129" s="53"/>
      <c r="F129" s="53"/>
      <c r="G129" s="53"/>
      <c r="H129" s="53"/>
      <c r="I129" s="53"/>
      <c r="J129" s="53"/>
      <c r="K129" s="53"/>
    </row>
    <row r="130" spans="2:25">
      <c r="B130" t="s">
        <v>289</v>
      </c>
      <c r="D130" s="53">
        <f>D128+D60</f>
        <v>8790.8537557518612</v>
      </c>
      <c r="E130" s="53">
        <f t="shared" ref="E130:K130" si="34">E128+E60</f>
        <v>9413.5907142733067</v>
      </c>
      <c r="F130" s="53">
        <f t="shared" si="34"/>
        <v>10278.650222673625</v>
      </c>
      <c r="G130" s="53">
        <f t="shared" si="34"/>
        <v>11037.148244633707</v>
      </c>
      <c r="H130" s="53">
        <f t="shared" si="34"/>
        <v>11693.585012656386</v>
      </c>
      <c r="I130" s="53">
        <f t="shared" si="34"/>
        <v>12132.498625524491</v>
      </c>
      <c r="J130" s="53">
        <f t="shared" si="34"/>
        <v>12505.684945327166</v>
      </c>
      <c r="K130" s="53">
        <f t="shared" si="34"/>
        <v>12743.37641365013</v>
      </c>
      <c r="L130" s="53"/>
      <c r="N130" s="53">
        <f>D130*N$1</f>
        <v>10258.926332962423</v>
      </c>
      <c r="O130" s="53">
        <f t="shared" ref="O130:U130" si="35">E130*O$1</f>
        <v>11202.172949985235</v>
      </c>
      <c r="P130" s="53">
        <f t="shared" si="35"/>
        <v>12354.937567653697</v>
      </c>
      <c r="Q130" s="53">
        <f t="shared" si="35"/>
        <v>13553.618044410192</v>
      </c>
      <c r="R130" s="53">
        <f t="shared" si="35"/>
        <v>14897.627306124235</v>
      </c>
      <c r="S130" s="53">
        <f t="shared" si="35"/>
        <v>15929.970695313656</v>
      </c>
      <c r="T130" s="53">
        <f t="shared" si="35"/>
        <v>16870.168991246348</v>
      </c>
      <c r="U130" s="53">
        <f t="shared" si="35"/>
        <v>17687.806462146378</v>
      </c>
    </row>
    <row r="131" spans="2:25">
      <c r="B131" t="str">
        <f>B61</f>
        <v>RAV additions (after disposals)</v>
      </c>
      <c r="D131" s="53">
        <f>D61</f>
        <v>1191.5959543765675</v>
      </c>
      <c r="E131" s="53">
        <f t="shared" ref="E131:K131" si="36">E61</f>
        <v>1466.4876007397002</v>
      </c>
      <c r="F131" s="53">
        <f t="shared" si="36"/>
        <v>1402.7809922505535</v>
      </c>
      <c r="G131" s="53">
        <f t="shared" si="36"/>
        <v>1334.6826139170541</v>
      </c>
      <c r="H131" s="53">
        <f t="shared" si="36"/>
        <v>1145.4869772068148</v>
      </c>
      <c r="I131" s="53">
        <f t="shared" si="36"/>
        <v>1100.6430213048384</v>
      </c>
      <c r="J131" s="53">
        <f t="shared" si="36"/>
        <v>974.02352838167531</v>
      </c>
      <c r="K131" s="53">
        <f t="shared" si="36"/>
        <v>828.10273643587834</v>
      </c>
    </row>
    <row r="132" spans="2:25">
      <c r="B132" t="str">
        <f t="shared" ref="B132:B133" si="37">B62</f>
        <v>Depreciation</v>
      </c>
      <c r="D132" s="53">
        <f>D62-D127</f>
        <v>-568.85899585512277</v>
      </c>
      <c r="E132" s="53">
        <f t="shared" ref="E132:K132" si="38">E62-E127</f>
        <v>-601.42809233938112</v>
      </c>
      <c r="F132" s="53">
        <f t="shared" si="38"/>
        <v>-644.28297029047201</v>
      </c>
      <c r="G132" s="53">
        <f t="shared" si="38"/>
        <v>-678.24584589437734</v>
      </c>
      <c r="H132" s="53">
        <f t="shared" si="38"/>
        <v>-706.57336433870967</v>
      </c>
      <c r="I132" s="53">
        <f t="shared" si="38"/>
        <v>-727.45670150216222</v>
      </c>
      <c r="J132" s="53">
        <f t="shared" si="38"/>
        <v>-736.33206005871295</v>
      </c>
      <c r="K132" s="53">
        <f t="shared" si="38"/>
        <v>-742.24410705172215</v>
      </c>
    </row>
    <row r="133" spans="2:25">
      <c r="B133" t="str">
        <f t="shared" si="37"/>
        <v>Closing asset value</v>
      </c>
      <c r="D133" s="53">
        <f>SUM(D130:D132)</f>
        <v>9413.5907142733067</v>
      </c>
      <c r="E133" s="53">
        <f t="shared" ref="E133:K133" si="39">SUM(E130:E132)</f>
        <v>10278.650222673625</v>
      </c>
      <c r="F133" s="53">
        <f t="shared" si="39"/>
        <v>11037.148244633705</v>
      </c>
      <c r="G133" s="53">
        <f t="shared" si="39"/>
        <v>11693.585012656384</v>
      </c>
      <c r="H133" s="53">
        <f t="shared" si="39"/>
        <v>12132.498625524489</v>
      </c>
      <c r="I133" s="53">
        <f t="shared" si="39"/>
        <v>12505.684945327168</v>
      </c>
      <c r="J133" s="53">
        <f t="shared" si="39"/>
        <v>12743.376413650129</v>
      </c>
      <c r="K133" s="53">
        <f t="shared" si="39"/>
        <v>12829.235043034287</v>
      </c>
      <c r="N133" s="53">
        <f>D133*N$1</f>
        <v>10985.66036355695</v>
      </c>
      <c r="O133" s="53">
        <f t="shared" ref="O133:U133" si="40">E133*O$1</f>
        <v>12231.593764981613</v>
      </c>
      <c r="P133" s="53">
        <f t="shared" si="40"/>
        <v>13266.652190049714</v>
      </c>
      <c r="Q133" s="53">
        <f t="shared" si="40"/>
        <v>14359.72239554204</v>
      </c>
      <c r="R133" s="53">
        <f t="shared" si="40"/>
        <v>15456.803248918201</v>
      </c>
      <c r="S133" s="53">
        <f t="shared" si="40"/>
        <v>16419.964333214572</v>
      </c>
      <c r="T133" s="53">
        <f t="shared" si="40"/>
        <v>17190.814782014022</v>
      </c>
      <c r="U133" s="53">
        <f t="shared" si="40"/>
        <v>17806.97823973159</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290</v>
      </c>
      <c r="D136" s="187">
        <v>1.5</v>
      </c>
      <c r="E136" s="187">
        <v>1.3</v>
      </c>
      <c r="F136" s="187">
        <v>1.3</v>
      </c>
      <c r="G136" s="187">
        <v>1.5</v>
      </c>
      <c r="H136" s="187">
        <v>1.3</v>
      </c>
      <c r="I136" s="187">
        <v>1.3</v>
      </c>
      <c r="J136" s="187">
        <v>1.5</v>
      </c>
      <c r="K136" s="187">
        <v>1.3</v>
      </c>
    </row>
    <row r="137" spans="2:25">
      <c r="B137" t="s">
        <v>291</v>
      </c>
      <c r="D137" s="187">
        <v>28.929052554944597</v>
      </c>
      <c r="E137" s="187">
        <v>28.929052554944597</v>
      </c>
      <c r="F137" s="187">
        <v>28.929052554944597</v>
      </c>
      <c r="G137" s="187">
        <v>28.929052554944597</v>
      </c>
      <c r="H137" s="187">
        <v>28.929052554944597</v>
      </c>
      <c r="I137" s="187">
        <v>28.929052554944597</v>
      </c>
      <c r="J137" s="187">
        <v>28.929052554944597</v>
      </c>
      <c r="K137" s="187">
        <v>28.929052554944597</v>
      </c>
    </row>
    <row r="138" spans="2:25">
      <c r="B138" t="s">
        <v>292</v>
      </c>
      <c r="D138" s="187">
        <v>30.429052554944597</v>
      </c>
      <c r="E138" s="187">
        <v>30.229052554944598</v>
      </c>
      <c r="F138" s="187">
        <v>30.229052554944598</v>
      </c>
      <c r="G138" s="187">
        <v>30.429052554944597</v>
      </c>
      <c r="H138" s="187">
        <v>30.229052554944598</v>
      </c>
      <c r="I138" s="187">
        <v>30.229052554944598</v>
      </c>
      <c r="J138" s="187">
        <v>30.429052554944597</v>
      </c>
      <c r="K138" s="187">
        <v>30.229052554944598</v>
      </c>
    </row>
    <row r="139" spans="2:25">
      <c r="B139" t="s">
        <v>293</v>
      </c>
      <c r="D139" s="187">
        <v>1.6281727480620216</v>
      </c>
      <c r="E139" s="187">
        <v>1.7022871715538046</v>
      </c>
      <c r="F139" s="187">
        <v>1.7797752836029339</v>
      </c>
      <c r="G139" s="187">
        <v>1.8607906545125394</v>
      </c>
      <c r="H139" s="187">
        <v>1.94549384510595</v>
      </c>
      <c r="I139" s="187">
        <v>2.0340527249351732</v>
      </c>
      <c r="J139" s="187">
        <v>2.1266428049742219</v>
      </c>
      <c r="K139" s="187">
        <v>2.2234475854566487</v>
      </c>
    </row>
    <row r="140" spans="2:25">
      <c r="B140" s="38" t="s">
        <v>294</v>
      </c>
      <c r="C140" s="38"/>
      <c r="D140" s="58">
        <f>D138+D139</f>
        <v>32.057225303006618</v>
      </c>
      <c r="E140" s="58">
        <f t="shared" ref="E140:K140" si="41">E138+E139</f>
        <v>31.931339726498404</v>
      </c>
      <c r="F140" s="58">
        <f t="shared" si="41"/>
        <v>32.008827838547532</v>
      </c>
      <c r="G140" s="58">
        <f t="shared" si="41"/>
        <v>32.289843209457139</v>
      </c>
      <c r="H140" s="58">
        <f t="shared" si="41"/>
        <v>32.174546400050545</v>
      </c>
      <c r="I140" s="58">
        <f t="shared" si="41"/>
        <v>32.263105279879774</v>
      </c>
      <c r="J140" s="58">
        <f t="shared" si="41"/>
        <v>32.555695359918822</v>
      </c>
      <c r="K140" s="58">
        <f t="shared" si="41"/>
        <v>32.452500140401249</v>
      </c>
    </row>
    <row r="141" spans="2:25">
      <c r="D141" s="53"/>
      <c r="E141" s="53"/>
      <c r="F141" s="53"/>
      <c r="G141" s="53"/>
      <c r="H141" s="53"/>
      <c r="I141" s="53"/>
      <c r="J141" s="53"/>
      <c r="K141" s="53"/>
    </row>
    <row r="142" spans="2:25">
      <c r="B142" t="s">
        <v>350</v>
      </c>
      <c r="D142" s="187">
        <v>19.092223163426969</v>
      </c>
      <c r="E142" s="187">
        <v>19.961301161826164</v>
      </c>
      <c r="F142" s="187">
        <v>20.869939590712491</v>
      </c>
      <c r="G142" s="187">
        <v>21.819939240881723</v>
      </c>
      <c r="H142" s="187">
        <v>22.813182875126657</v>
      </c>
      <c r="I142" s="187">
        <v>23.851638959602422</v>
      </c>
      <c r="J142" s="187">
        <v>24.937365565043525</v>
      </c>
      <c r="K142" s="187">
        <v>26.072514445564305</v>
      </c>
    </row>
    <row r="143" spans="2:25">
      <c r="B143" t="s">
        <v>296</v>
      </c>
      <c r="D143" s="187">
        <v>19.116566168774931</v>
      </c>
      <c r="E143" s="187">
        <v>19.972013301125596</v>
      </c>
      <c r="F143" s="187">
        <v>20.865747156249089</v>
      </c>
      <c r="G143" s="187">
        <v>21.799481594581771</v>
      </c>
      <c r="H143" s="187">
        <v>22.775007208370575</v>
      </c>
      <c r="I143" s="187">
        <v>23.794194757637314</v>
      </c>
      <c r="J143" s="187">
        <v>24.858998760027671</v>
      </c>
      <c r="K143" s="187">
        <v>25.971461241438078</v>
      </c>
    </row>
    <row r="144" spans="2:25" ht="16.8">
      <c r="B144" s="179" t="s">
        <v>266</v>
      </c>
      <c r="D144" s="187">
        <f>-D88</f>
        <v>-123</v>
      </c>
      <c r="E144" s="187">
        <f t="shared" ref="E144:K144" si="42">-E88</f>
        <v>-122.8</v>
      </c>
      <c r="F144" s="187">
        <f t="shared" si="42"/>
        <v>-129.80000000000001</v>
      </c>
      <c r="G144" s="187">
        <f t="shared" si="42"/>
        <v>-125.6</v>
      </c>
      <c r="H144" s="187">
        <f t="shared" si="42"/>
        <v>-127.3</v>
      </c>
      <c r="I144" s="187">
        <f t="shared" si="42"/>
        <v>-128.6</v>
      </c>
      <c r="J144" s="187">
        <f t="shared" si="42"/>
        <v>-130.19999999999999</v>
      </c>
      <c r="K144" s="187">
        <f t="shared" si="42"/>
        <v>-131.69999999999999</v>
      </c>
    </row>
    <row r="145" spans="2:21" ht="16.8">
      <c r="B145" s="179" t="s">
        <v>351</v>
      </c>
      <c r="D145" s="187">
        <v>7.367</v>
      </c>
      <c r="E145" s="187">
        <v>6.234</v>
      </c>
      <c r="F145" s="187">
        <v>5.5780000000000003</v>
      </c>
      <c r="G145" s="187">
        <v>3.3689999999999998</v>
      </c>
      <c r="H145" s="187">
        <v>3.3680000000000003</v>
      </c>
      <c r="I145" s="187">
        <v>3.1619999999999999</v>
      </c>
      <c r="J145" s="187">
        <v>3.0940000000000003</v>
      </c>
      <c r="K145" s="187">
        <v>3.0270000000000001</v>
      </c>
    </row>
    <row r="146" spans="2:21">
      <c r="B146" s="38" t="s">
        <v>298</v>
      </c>
      <c r="D146" s="58">
        <f>SUM(D140:D145)</f>
        <v>-45.366985364791496</v>
      </c>
      <c r="E146" s="58">
        <f t="shared" ref="E146:K146" si="43">SUM(E140:E145)</f>
        <v>-44.701345810549832</v>
      </c>
      <c r="F146" s="58">
        <f t="shared" si="43"/>
        <v>-50.4774854144909</v>
      </c>
      <c r="G146" s="58">
        <f t="shared" si="43"/>
        <v>-46.321735955079362</v>
      </c>
      <c r="H146" s="58">
        <f t="shared" si="43"/>
        <v>-46.169263516452226</v>
      </c>
      <c r="I146" s="58">
        <f t="shared" si="43"/>
        <v>-45.529061002880489</v>
      </c>
      <c r="J146" s="58">
        <f t="shared" si="43"/>
        <v>-44.753940315009963</v>
      </c>
      <c r="K146" s="58">
        <f t="shared" si="43"/>
        <v>-44.176524172596359</v>
      </c>
    </row>
    <row r="147" spans="2:21">
      <c r="B147" t="s">
        <v>299</v>
      </c>
      <c r="D147" s="187">
        <v>13.751034124367685</v>
      </c>
      <c r="E147" s="187">
        <v>13.274690050778315</v>
      </c>
      <c r="F147" s="187">
        <v>12.798257977175346</v>
      </c>
      <c r="G147" s="187">
        <v>0</v>
      </c>
      <c r="H147" s="187">
        <v>0</v>
      </c>
      <c r="I147" s="187">
        <v>0</v>
      </c>
      <c r="J147" s="187">
        <v>0</v>
      </c>
      <c r="K147" s="187">
        <v>0</v>
      </c>
    </row>
    <row r="148" spans="2:21">
      <c r="D148" s="53"/>
      <c r="E148" s="53"/>
      <c r="F148" s="53"/>
      <c r="G148" s="53"/>
      <c r="H148" s="53"/>
      <c r="I148" s="53"/>
      <c r="J148" s="53"/>
      <c r="K148" s="53"/>
    </row>
    <row r="149" spans="2:21">
      <c r="B149" t="s">
        <v>300</v>
      </c>
      <c r="D149" s="53">
        <f>SUM(D142:D145,D147)</f>
        <v>-63.673176543430408</v>
      </c>
      <c r="E149" s="53">
        <f t="shared" ref="E149:K149" si="44">SUM(E142:E145,E147)</f>
        <v>-63.357995486269928</v>
      </c>
      <c r="F149" s="53">
        <f t="shared" si="44"/>
        <v>-69.688055275863093</v>
      </c>
      <c r="G149" s="53">
        <f t="shared" si="44"/>
        <v>-78.611579164536494</v>
      </c>
      <c r="H149" s="53">
        <f t="shared" si="44"/>
        <v>-78.343809916502778</v>
      </c>
      <c r="I149" s="53">
        <f t="shared" si="44"/>
        <v>-77.792166282760249</v>
      </c>
      <c r="J149" s="53">
        <f t="shared" si="44"/>
        <v>-77.309635674928799</v>
      </c>
      <c r="K149" s="53">
        <f t="shared" si="44"/>
        <v>-76.629024312997601</v>
      </c>
    </row>
    <row r="152" spans="2:21" ht="16.8">
      <c r="B152" s="75" t="s">
        <v>247</v>
      </c>
      <c r="D152" s="87">
        <f>D189</f>
        <v>74.160747515587701</v>
      </c>
      <c r="E152" s="88">
        <f t="shared" ref="E152:K155" si="45">E189</f>
        <v>92.97405064835219</v>
      </c>
      <c r="F152" s="88">
        <f t="shared" si="45"/>
        <v>104.29451746730092</v>
      </c>
      <c r="G152" s="88">
        <f t="shared" si="45"/>
        <v>111.93327979487449</v>
      </c>
      <c r="H152" s="88">
        <f t="shared" si="45"/>
        <v>116.973407432491</v>
      </c>
      <c r="I152" s="88">
        <f t="shared" si="45"/>
        <v>120.15869284978848</v>
      </c>
      <c r="J152" s="88">
        <f t="shared" si="45"/>
        <v>119.11670296235366</v>
      </c>
      <c r="K152" s="89">
        <f t="shared" si="45"/>
        <v>118.82150456556349</v>
      </c>
    </row>
    <row r="153" spans="2:21" ht="16.8">
      <c r="B153" s="75" t="s">
        <v>248</v>
      </c>
      <c r="D153" s="87">
        <f>D190</f>
        <v>34.458624486128684</v>
      </c>
      <c r="E153" s="88">
        <f t="shared" si="45"/>
        <v>30.429402160864161</v>
      </c>
      <c r="F153" s="88">
        <f t="shared" si="45"/>
        <v>29.689879940870156</v>
      </c>
      <c r="G153" s="88">
        <f t="shared" si="45"/>
        <v>29.503468267708236</v>
      </c>
      <c r="H153" s="88">
        <f t="shared" si="45"/>
        <v>30.397665634630393</v>
      </c>
      <c r="I153" s="88">
        <f t="shared" si="45"/>
        <v>28.005027611742573</v>
      </c>
      <c r="J153" s="88">
        <f t="shared" si="45"/>
        <v>29.904442344862396</v>
      </c>
      <c r="K153" s="89">
        <f t="shared" si="45"/>
        <v>30.433671335330679</v>
      </c>
    </row>
    <row r="154" spans="2:21" ht="16.8">
      <c r="B154" s="75" t="s">
        <v>249</v>
      </c>
      <c r="D154" s="87">
        <f>D191</f>
        <v>-15.645321353364194</v>
      </c>
      <c r="E154" s="88">
        <f t="shared" si="45"/>
        <v>-19.108935341915426</v>
      </c>
      <c r="F154" s="88">
        <f t="shared" si="45"/>
        <v>-22.051117613296576</v>
      </c>
      <c r="G154" s="88">
        <f t="shared" si="45"/>
        <v>-24.463340630091722</v>
      </c>
      <c r="H154" s="88">
        <f t="shared" si="45"/>
        <v>-27.21238021733291</v>
      </c>
      <c r="I154" s="88">
        <f t="shared" si="45"/>
        <v>-29.047017499177393</v>
      </c>
      <c r="J154" s="88">
        <f t="shared" si="45"/>
        <v>-30.199640741652555</v>
      </c>
      <c r="K154" s="89">
        <f t="shared" si="45"/>
        <v>-30.341215778115224</v>
      </c>
    </row>
    <row r="155" spans="2:21" ht="16.8">
      <c r="B155" s="75" t="s">
        <v>250</v>
      </c>
      <c r="D155" s="87">
        <f>D192</f>
        <v>92.97405064835219</v>
      </c>
      <c r="E155" s="88">
        <f t="shared" si="45"/>
        <v>104.29451746730092</v>
      </c>
      <c r="F155" s="88">
        <f t="shared" si="45"/>
        <v>111.93327979487449</v>
      </c>
      <c r="G155" s="88">
        <f t="shared" si="45"/>
        <v>116.973407432491</v>
      </c>
      <c r="H155" s="88">
        <f t="shared" si="45"/>
        <v>120.15869284978848</v>
      </c>
      <c r="I155" s="88">
        <f t="shared" si="45"/>
        <v>119.11670296235366</v>
      </c>
      <c r="J155" s="88">
        <f t="shared" si="45"/>
        <v>118.82150456556349</v>
      </c>
      <c r="K155" s="89">
        <f t="shared" si="45"/>
        <v>118.91396012277893</v>
      </c>
    </row>
    <row r="157" spans="2:21" ht="15.6">
      <c r="L157" s="119" t="s">
        <v>301</v>
      </c>
    </row>
    <row r="158" spans="2:21" ht="15.6">
      <c r="B158" t="s">
        <v>289</v>
      </c>
      <c r="D158" s="122">
        <f>D130+D152</f>
        <v>8865.0145032674482</v>
      </c>
      <c r="E158" s="122">
        <f t="shared" ref="E158:K158" si="46">E130+E152</f>
        <v>9506.5647649216589</v>
      </c>
      <c r="F158" s="122">
        <f t="shared" si="46"/>
        <v>10382.944740140925</v>
      </c>
      <c r="G158" s="122">
        <f t="shared" si="46"/>
        <v>11149.08152442858</v>
      </c>
      <c r="H158" s="122">
        <f t="shared" si="46"/>
        <v>11810.558420088877</v>
      </c>
      <c r="I158" s="122">
        <f t="shared" si="46"/>
        <v>12252.65731837428</v>
      </c>
      <c r="J158" s="122">
        <f t="shared" si="46"/>
        <v>12624.80164828952</v>
      </c>
      <c r="K158" s="122">
        <f t="shared" si="46"/>
        <v>12862.197918215694</v>
      </c>
      <c r="L158" s="120">
        <f>(K158/D158)^(1/7)-1</f>
        <v>5.4607412821695345E-2</v>
      </c>
      <c r="M158" t="s">
        <v>302</v>
      </c>
      <c r="N158" s="114">
        <f t="shared" ref="N158:U159" si="47">D158*N$1</f>
        <v>10345.471925313112</v>
      </c>
      <c r="O158" s="109">
        <f t="shared" si="47"/>
        <v>11312.812070256774</v>
      </c>
      <c r="P158" s="109">
        <f t="shared" si="47"/>
        <v>12480.299577649392</v>
      </c>
      <c r="Q158" s="109">
        <f t="shared" si="47"/>
        <v>13691.072111998297</v>
      </c>
      <c r="R158" s="109">
        <f t="shared" si="47"/>
        <v>15046.65142719323</v>
      </c>
      <c r="S158" s="109">
        <f t="shared" si="47"/>
        <v>16087.739059025429</v>
      </c>
      <c r="T158" s="109">
        <f t="shared" si="47"/>
        <v>17030.857423542562</v>
      </c>
      <c r="U158" s="109">
        <f t="shared" si="47"/>
        <v>17852.730710483382</v>
      </c>
    </row>
    <row r="159" spans="2:21" ht="15.6">
      <c r="B159" t="s">
        <v>250</v>
      </c>
      <c r="D159" s="122">
        <f>D133+D155</f>
        <v>9506.5647649216589</v>
      </c>
      <c r="E159" s="122">
        <f t="shared" ref="E159:K159" si="48">E133+E155</f>
        <v>10382.944740140925</v>
      </c>
      <c r="F159" s="122">
        <f t="shared" si="48"/>
        <v>11149.081524428579</v>
      </c>
      <c r="G159" s="122">
        <f t="shared" si="48"/>
        <v>11810.558420088875</v>
      </c>
      <c r="H159" s="122">
        <f t="shared" si="48"/>
        <v>12252.657318374278</v>
      </c>
      <c r="I159" s="122">
        <f t="shared" si="48"/>
        <v>12624.801648289522</v>
      </c>
      <c r="J159" s="122">
        <f t="shared" si="48"/>
        <v>12862.197918215692</v>
      </c>
      <c r="K159" s="122">
        <f t="shared" si="48"/>
        <v>12948.149003157067</v>
      </c>
      <c r="L159" s="121">
        <f>(K159/D159)^(1/7)-1</f>
        <v>4.5127207836449301E-2</v>
      </c>
      <c r="N159" s="109">
        <f t="shared" si="47"/>
        <v>11094.161080663576</v>
      </c>
      <c r="O159" s="109">
        <f t="shared" si="47"/>
        <v>12355.7042407677</v>
      </c>
      <c r="P159" s="109">
        <f t="shared" si="47"/>
        <v>13401.195992363151</v>
      </c>
      <c r="Q159" s="109">
        <f t="shared" si="47"/>
        <v>14503.365739869139</v>
      </c>
      <c r="R159" s="109">
        <f t="shared" si="47"/>
        <v>15609.885423608832</v>
      </c>
      <c r="S159" s="109">
        <f t="shared" si="47"/>
        <v>16576.364564204141</v>
      </c>
      <c r="T159" s="109">
        <f t="shared" si="47"/>
        <v>17351.104991672968</v>
      </c>
      <c r="U159" s="114">
        <f t="shared" si="47"/>
        <v>17972.030816382008</v>
      </c>
    </row>
    <row r="160" spans="2:21">
      <c r="N160" s="109"/>
      <c r="O160" s="109"/>
      <c r="P160" s="109"/>
      <c r="Q160" s="109"/>
      <c r="R160" s="109"/>
      <c r="S160" s="109"/>
      <c r="T160" s="109"/>
      <c r="U160" s="109"/>
    </row>
    <row r="161" spans="1:21">
      <c r="B161" t="s">
        <v>289</v>
      </c>
      <c r="D161" s="53"/>
      <c r="M161" t="s">
        <v>303</v>
      </c>
      <c r="N161" s="115">
        <f>D158*N$3</f>
        <v>10190.343073497943</v>
      </c>
      <c r="O161" s="109">
        <f t="shared" ref="O161:U161" si="49">E158*O$2</f>
        <v>11327.689484294884</v>
      </c>
      <c r="P161" s="109">
        <f t="shared" si="49"/>
        <v>12564.437841730864</v>
      </c>
      <c r="Q161" s="109">
        <f t="shared" si="49"/>
        <v>13915.252531416425</v>
      </c>
      <c r="R161" s="109">
        <f t="shared" si="49"/>
        <v>15233.485593901138</v>
      </c>
      <c r="S161" s="109">
        <f t="shared" si="49"/>
        <v>16189.862203623552</v>
      </c>
      <c r="T161" s="109">
        <f t="shared" si="49"/>
        <v>17184.787165623202</v>
      </c>
      <c r="U161" s="109">
        <f t="shared" si="49"/>
        <v>18032.511371513585</v>
      </c>
    </row>
    <row r="162" spans="1:21">
      <c r="B162" t="s">
        <v>250</v>
      </c>
      <c r="D162" s="53"/>
      <c r="E162" s="53"/>
      <c r="F162" s="53"/>
      <c r="G162" s="53"/>
      <c r="H162" s="53"/>
      <c r="I162" s="53"/>
      <c r="J162" s="53"/>
      <c r="K162" s="53"/>
      <c r="N162" s="109">
        <f t="shared" ref="N162:U162" si="50">D159*N$2</f>
        <v>11226.352705555568</v>
      </c>
      <c r="O162" s="109">
        <f t="shared" si="50"/>
        <v>12371.95315629646</v>
      </c>
      <c r="P162" s="109">
        <f t="shared" si="50"/>
        <v>13491.542651143067</v>
      </c>
      <c r="Q162" s="109">
        <f t="shared" si="50"/>
        <v>14740.846821550755</v>
      </c>
      <c r="R162" s="109">
        <f t="shared" si="50"/>
        <v>15803.713262954872</v>
      </c>
      <c r="S162" s="109">
        <f t="shared" si="50"/>
        <v>16681.58944814156</v>
      </c>
      <c r="T162" s="109">
        <f t="shared" si="50"/>
        <v>17507.929222524097</v>
      </c>
      <c r="U162" s="115">
        <f t="shared" si="50"/>
        <v>18153.012853954951</v>
      </c>
    </row>
    <row r="163" spans="1:21">
      <c r="D163" s="189"/>
      <c r="E163" s="189"/>
      <c r="F163" s="189"/>
      <c r="G163" s="189"/>
      <c r="H163" s="189"/>
      <c r="I163" s="189"/>
      <c r="J163" s="189"/>
      <c r="K163" s="189"/>
    </row>
    <row r="164" spans="1:21">
      <c r="D164" s="53"/>
    </row>
    <row r="165" spans="1:21">
      <c r="B165" t="s">
        <v>304</v>
      </c>
      <c r="D165" s="190">
        <f t="shared" ref="D165" si="51">D62-D127-D166</f>
        <v>-568.85899585512277</v>
      </c>
      <c r="E165" s="190">
        <f>E62-E127-E166</f>
        <v>-549.89961863661063</v>
      </c>
      <c r="F165" s="190">
        <f t="shared" ref="F165:K165" si="52">F62-F127-F166</f>
        <v>-536.88830227380822</v>
      </c>
      <c r="G165" s="190">
        <f t="shared" si="52"/>
        <v>-523.0969313330138</v>
      </c>
      <c r="H165" s="190">
        <f t="shared" si="52"/>
        <v>-510.3572924260522</v>
      </c>
      <c r="I165" s="190">
        <f t="shared" si="52"/>
        <v>-499.08660917668186</v>
      </c>
      <c r="J165" s="190">
        <f t="shared" si="52"/>
        <v>-479.55827686084967</v>
      </c>
      <c r="K165" s="190">
        <f t="shared" si="52"/>
        <v>-462.21006048952034</v>
      </c>
    </row>
    <row r="166" spans="1:21">
      <c r="B166" t="s">
        <v>305</v>
      </c>
      <c r="D166" s="193">
        <v>0</v>
      </c>
      <c r="E166" s="193">
        <v>-51.528473702770491</v>
      </c>
      <c r="F166" s="193">
        <v>-107.39466801666383</v>
      </c>
      <c r="G166" s="193">
        <v>-155.14891456136351</v>
      </c>
      <c r="H166" s="193">
        <v>-196.21607191265747</v>
      </c>
      <c r="I166" s="193">
        <v>-228.37009232548036</v>
      </c>
      <c r="J166" s="193">
        <v>-256.77378319786328</v>
      </c>
      <c r="K166" s="193">
        <v>-280.03404656220181</v>
      </c>
    </row>
    <row r="167" spans="1:21">
      <c r="D167" s="53"/>
      <c r="E167" s="53"/>
      <c r="F167" s="53"/>
      <c r="G167" s="53"/>
      <c r="H167" s="53"/>
      <c r="I167" s="53"/>
      <c r="J167" s="53"/>
      <c r="K167" s="53"/>
    </row>
    <row r="169" spans="1:21">
      <c r="B169" t="s">
        <v>352</v>
      </c>
      <c r="D169" s="192">
        <v>98.2</v>
      </c>
      <c r="E169" s="192">
        <v>86.4</v>
      </c>
      <c r="F169" s="192">
        <v>80.599999999999994</v>
      </c>
      <c r="G169" s="192">
        <v>94.8</v>
      </c>
      <c r="H169" s="192">
        <v>80.2</v>
      </c>
      <c r="I169" s="192">
        <v>54.8</v>
      </c>
      <c r="J169" s="192">
        <v>15.6</v>
      </c>
      <c r="K169" s="192">
        <v>1.4</v>
      </c>
    </row>
    <row r="170" spans="1:21">
      <c r="B170" t="s">
        <v>353</v>
      </c>
      <c r="D170" s="192">
        <v>-45.1</v>
      </c>
      <c r="E170" s="192">
        <v>-33.4</v>
      </c>
      <c r="F170" s="192">
        <v>-29.6</v>
      </c>
      <c r="G170" s="192">
        <v>-37.299999999999997</v>
      </c>
      <c r="H170" s="192">
        <v>-31.2</v>
      </c>
      <c r="I170" s="192">
        <v>-26.3</v>
      </c>
      <c r="J170" s="192">
        <v>-11.9</v>
      </c>
      <c r="K170" s="192">
        <v>-1.4</v>
      </c>
    </row>
    <row r="171" spans="1:21">
      <c r="D171" s="192"/>
      <c r="E171" s="192"/>
      <c r="F171" s="192"/>
      <c r="G171" s="192"/>
      <c r="H171" s="192"/>
      <c r="I171" s="192"/>
      <c r="J171" s="192"/>
      <c r="K171" s="192"/>
    </row>
    <row r="172" spans="1:21" s="188" customFormat="1">
      <c r="D172" s="194"/>
      <c r="E172" s="194"/>
      <c r="F172" s="194"/>
      <c r="G172" s="194"/>
      <c r="H172" s="194"/>
      <c r="I172" s="194"/>
      <c r="J172" s="194"/>
      <c r="K172" s="194"/>
    </row>
    <row r="174" spans="1:21" ht="16.8">
      <c r="A174" s="86">
        <v>1</v>
      </c>
      <c r="B174" s="75" t="s">
        <v>241</v>
      </c>
      <c r="D174" s="87">
        <f>D183</f>
        <v>31.528475827704249</v>
      </c>
      <c r="E174" s="88">
        <f t="shared" ref="E174:K174" si="53">E183</f>
        <v>30.429402160864161</v>
      </c>
      <c r="F174" s="88">
        <f t="shared" si="53"/>
        <v>29.689879940870156</v>
      </c>
      <c r="G174" s="88">
        <f t="shared" si="53"/>
        <v>29.503468267708236</v>
      </c>
      <c r="H174" s="88">
        <f t="shared" si="53"/>
        <v>30.397665634630393</v>
      </c>
      <c r="I174" s="88">
        <f t="shared" si="53"/>
        <v>28.005027611742573</v>
      </c>
      <c r="J174" s="88">
        <f t="shared" si="53"/>
        <v>29.904442344862396</v>
      </c>
      <c r="K174" s="89">
        <f t="shared" si="53"/>
        <v>30.433671335330679</v>
      </c>
      <c r="L174" s="172">
        <v>243.40743312371282</v>
      </c>
    </row>
    <row r="175" spans="1:21" ht="16.8">
      <c r="A175" s="86">
        <v>2</v>
      </c>
      <c r="B175" s="75" t="s">
        <v>242</v>
      </c>
      <c r="D175" s="87">
        <f t="shared" ref="D175:K176" si="54">D184</f>
        <v>81.476813877328894</v>
      </c>
      <c r="E175" s="88">
        <f t="shared" si="54"/>
        <v>78.636555404957193</v>
      </c>
      <c r="F175" s="88">
        <f t="shared" si="54"/>
        <v>76.725460348987028</v>
      </c>
      <c r="G175" s="88">
        <f t="shared" si="54"/>
        <v>76.243729824435974</v>
      </c>
      <c r="H175" s="88">
        <f t="shared" si="54"/>
        <v>78.55454094110577</v>
      </c>
      <c r="I175" s="88">
        <f t="shared" si="54"/>
        <v>72.371415441098179</v>
      </c>
      <c r="J175" s="88">
        <f t="shared" si="54"/>
        <v>77.279938819518947</v>
      </c>
      <c r="K175" s="89">
        <f t="shared" si="54"/>
        <v>78.647587931087514</v>
      </c>
      <c r="L175" s="172">
        <v>629.02064258851954</v>
      </c>
    </row>
    <row r="176" spans="1:21" ht="16.8">
      <c r="A176" s="86">
        <v>3</v>
      </c>
      <c r="B176" s="75" t="s">
        <v>243</v>
      </c>
      <c r="D176" s="87">
        <f t="shared" si="54"/>
        <v>113.00528970503314</v>
      </c>
      <c r="E176" s="88">
        <f t="shared" si="54"/>
        <v>109.06595756582135</v>
      </c>
      <c r="F176" s="88">
        <f t="shared" si="54"/>
        <v>106.41534028985718</v>
      </c>
      <c r="G176" s="88">
        <f t="shared" si="54"/>
        <v>105.7471980921442</v>
      </c>
      <c r="H176" s="88">
        <f t="shared" si="54"/>
        <v>108.95220657573617</v>
      </c>
      <c r="I176" s="88">
        <f t="shared" si="54"/>
        <v>100.37644305284076</v>
      </c>
      <c r="J176" s="88">
        <f t="shared" si="54"/>
        <v>107.18438116438134</v>
      </c>
      <c r="K176" s="89">
        <f t="shared" si="54"/>
        <v>109.0812592664182</v>
      </c>
      <c r="L176" s="172">
        <v>872.42807571223227</v>
      </c>
    </row>
    <row r="179" spans="1:13" ht="17.399999999999999" thickBot="1">
      <c r="B179" s="185" t="s">
        <v>354</v>
      </c>
    </row>
    <row r="180" spans="1:13" ht="16.8">
      <c r="A180" s="68"/>
      <c r="B180" s="69" t="s">
        <v>237</v>
      </c>
      <c r="D180" s="70">
        <v>41729</v>
      </c>
      <c r="E180" s="71">
        <v>42094</v>
      </c>
      <c r="F180" s="71">
        <v>42460</v>
      </c>
      <c r="G180" s="71">
        <v>42825</v>
      </c>
      <c r="H180" s="71">
        <v>43190</v>
      </c>
      <c r="I180" s="71">
        <v>43555</v>
      </c>
      <c r="J180" s="71">
        <v>43921</v>
      </c>
      <c r="K180" s="72">
        <v>44286</v>
      </c>
      <c r="L180" s="180" t="s">
        <v>238</v>
      </c>
      <c r="M180" s="181" t="s">
        <v>310</v>
      </c>
    </row>
    <row r="181" spans="1:13" ht="16.8">
      <c r="A181" s="74"/>
      <c r="B181" s="75" t="s">
        <v>239</v>
      </c>
      <c r="D181" s="76" t="s">
        <v>240</v>
      </c>
      <c r="E181" s="77" t="s">
        <v>240</v>
      </c>
      <c r="F181" s="77" t="s">
        <v>240</v>
      </c>
      <c r="G181" s="77" t="s">
        <v>240</v>
      </c>
      <c r="H181" s="77" t="s">
        <v>240</v>
      </c>
      <c r="I181" s="77" t="s">
        <v>240</v>
      </c>
      <c r="J181" s="77" t="s">
        <v>240</v>
      </c>
      <c r="K181" s="78" t="s">
        <v>240</v>
      </c>
      <c r="L181" s="182" t="s">
        <v>240</v>
      </c>
      <c r="M181" s="79" t="s">
        <v>240</v>
      </c>
    </row>
    <row r="182" spans="1:13" ht="16.8">
      <c r="A182" s="80"/>
      <c r="B182" s="81" t="s">
        <v>207</v>
      </c>
      <c r="D182" s="82"/>
      <c r="E182" s="83"/>
      <c r="F182" s="83"/>
      <c r="G182" s="83"/>
      <c r="H182" s="83"/>
      <c r="I182" s="83"/>
      <c r="J182" s="83"/>
      <c r="K182" s="84"/>
      <c r="L182" s="183"/>
      <c r="M182" s="85"/>
    </row>
    <row r="183" spans="1:13" ht="16.8">
      <c r="A183" s="86">
        <v>1</v>
      </c>
      <c r="B183" s="75" t="s">
        <v>241</v>
      </c>
      <c r="D183" s="87">
        <v>31.528475827704249</v>
      </c>
      <c r="E183" s="88">
        <v>30.429402160864161</v>
      </c>
      <c r="F183" s="88">
        <v>29.689879940870156</v>
      </c>
      <c r="G183" s="88">
        <v>29.503468267708236</v>
      </c>
      <c r="H183" s="88">
        <v>30.397665634630393</v>
      </c>
      <c r="I183" s="88">
        <v>28.005027611742573</v>
      </c>
      <c r="J183" s="88">
        <v>29.904442344862396</v>
      </c>
      <c r="K183" s="89">
        <v>30.433671335330679</v>
      </c>
      <c r="L183" s="172">
        <v>239.89203312371282</v>
      </c>
      <c r="M183" s="90">
        <v>29.986504140464103</v>
      </c>
    </row>
    <row r="184" spans="1:13" ht="16.8">
      <c r="A184" s="86">
        <v>2</v>
      </c>
      <c r="B184" s="75" t="s">
        <v>242</v>
      </c>
      <c r="D184" s="87">
        <v>81.476813877328894</v>
      </c>
      <c r="E184" s="88">
        <v>78.636555404957193</v>
      </c>
      <c r="F184" s="88">
        <v>76.725460348987028</v>
      </c>
      <c r="G184" s="88">
        <v>76.243729824435974</v>
      </c>
      <c r="H184" s="88">
        <v>78.55454094110577</v>
      </c>
      <c r="I184" s="88">
        <v>72.371415441098179</v>
      </c>
      <c r="J184" s="88">
        <v>77.279938819518947</v>
      </c>
      <c r="K184" s="89">
        <v>78.647587931087514</v>
      </c>
      <c r="L184" s="172">
        <v>619.93604258851951</v>
      </c>
      <c r="M184" s="90">
        <v>77.492005323564939</v>
      </c>
    </row>
    <row r="185" spans="1:13" ht="16.8">
      <c r="A185" s="86">
        <v>3</v>
      </c>
      <c r="B185" s="75" t="s">
        <v>243</v>
      </c>
      <c r="D185" s="87">
        <v>113.00528970503314</v>
      </c>
      <c r="E185" s="88">
        <v>109.06595756582135</v>
      </c>
      <c r="F185" s="88">
        <v>106.41534028985718</v>
      </c>
      <c r="G185" s="88">
        <v>105.7471980921442</v>
      </c>
      <c r="H185" s="88">
        <v>108.95220657573617</v>
      </c>
      <c r="I185" s="88">
        <v>100.37644305284076</v>
      </c>
      <c r="J185" s="88">
        <v>107.18438116438134</v>
      </c>
      <c r="K185" s="89">
        <v>109.0812592664182</v>
      </c>
      <c r="L185" s="172">
        <v>859.82807571223236</v>
      </c>
      <c r="M185" s="90">
        <v>107.47850946402905</v>
      </c>
    </row>
    <row r="186" spans="1:13" ht="16.8">
      <c r="A186" s="80"/>
      <c r="B186" s="81" t="s">
        <v>244</v>
      </c>
      <c r="D186" s="82">
        <v>0</v>
      </c>
      <c r="E186" s="83">
        <v>0</v>
      </c>
      <c r="F186" s="83">
        <v>0</v>
      </c>
      <c r="G186" s="83">
        <v>0</v>
      </c>
      <c r="H186" s="83">
        <v>0</v>
      </c>
      <c r="I186" s="83">
        <v>0</v>
      </c>
      <c r="J186" s="83">
        <v>0</v>
      </c>
      <c r="K186" s="84">
        <v>0</v>
      </c>
      <c r="L186" s="183">
        <v>0</v>
      </c>
      <c r="M186" s="85">
        <v>0</v>
      </c>
    </row>
    <row r="187" spans="1:13" ht="16.8">
      <c r="A187" s="86">
        <v>4</v>
      </c>
      <c r="B187" s="75" t="s">
        <v>311</v>
      </c>
      <c r="D187" s="87">
        <v>74.160747515587701</v>
      </c>
      <c r="E187" s="88">
        <v>92.97405064835219</v>
      </c>
      <c r="F187" s="88">
        <v>104.29451746730092</v>
      </c>
      <c r="G187" s="88">
        <v>111.93327979487449</v>
      </c>
      <c r="H187" s="88">
        <v>116.973407432491</v>
      </c>
      <c r="I187" s="88">
        <v>120.15869284978848</v>
      </c>
      <c r="J187" s="88">
        <v>119.11670296235366</v>
      </c>
      <c r="K187" s="89">
        <v>118.82150456556349</v>
      </c>
      <c r="L187" s="172">
        <v>0</v>
      </c>
      <c r="M187" s="90">
        <v>107.30411290453898</v>
      </c>
    </row>
    <row r="188" spans="1:13" ht="16.8">
      <c r="A188" s="86">
        <v>5</v>
      </c>
      <c r="B188" s="75" t="s">
        <v>246</v>
      </c>
      <c r="D188" s="87">
        <v>0</v>
      </c>
      <c r="E188" s="88">
        <v>0</v>
      </c>
      <c r="F188" s="88">
        <v>0</v>
      </c>
      <c r="G188" s="88">
        <v>0</v>
      </c>
      <c r="H188" s="88">
        <v>0</v>
      </c>
      <c r="I188" s="88">
        <v>0</v>
      </c>
      <c r="J188" s="88">
        <v>0</v>
      </c>
      <c r="K188" s="89">
        <v>0</v>
      </c>
      <c r="L188" s="172">
        <v>0</v>
      </c>
      <c r="M188" s="90">
        <v>0</v>
      </c>
    </row>
    <row r="189" spans="1:13" ht="16.8">
      <c r="A189" s="86">
        <v>6</v>
      </c>
      <c r="B189" s="75" t="s">
        <v>247</v>
      </c>
      <c r="D189" s="87">
        <v>74.160747515587701</v>
      </c>
      <c r="E189" s="88">
        <v>92.97405064835219</v>
      </c>
      <c r="F189" s="88">
        <v>104.29451746730092</v>
      </c>
      <c r="G189" s="88">
        <v>111.93327979487449</v>
      </c>
      <c r="H189" s="88">
        <v>116.973407432491</v>
      </c>
      <c r="I189" s="88">
        <v>120.15869284978848</v>
      </c>
      <c r="J189" s="88">
        <v>119.11670296235366</v>
      </c>
      <c r="K189" s="89">
        <v>118.82150456556349</v>
      </c>
      <c r="L189" s="172">
        <v>0</v>
      </c>
      <c r="M189" s="90">
        <v>107.30411290453898</v>
      </c>
    </row>
    <row r="190" spans="1:13" ht="16.8">
      <c r="A190" s="86">
        <v>7</v>
      </c>
      <c r="B190" s="75" t="s">
        <v>248</v>
      </c>
      <c r="D190" s="87">
        <v>34.458624486128684</v>
      </c>
      <c r="E190" s="88">
        <v>30.429402160864161</v>
      </c>
      <c r="F190" s="88">
        <v>29.689879940870156</v>
      </c>
      <c r="G190" s="88">
        <v>29.503468267708236</v>
      </c>
      <c r="H190" s="88">
        <v>30.397665634630393</v>
      </c>
      <c r="I190" s="88">
        <v>28.005027611742573</v>
      </c>
      <c r="J190" s="88">
        <v>29.904442344862396</v>
      </c>
      <c r="K190" s="89">
        <v>30.433671335330679</v>
      </c>
      <c r="L190" s="172">
        <v>242.82218178213725</v>
      </c>
      <c r="M190" s="90">
        <v>30.352772722767156</v>
      </c>
    </row>
    <row r="191" spans="1:13" ht="16.8">
      <c r="A191" s="86">
        <v>8</v>
      </c>
      <c r="B191" s="75" t="s">
        <v>249</v>
      </c>
      <c r="D191" s="87">
        <v>-15.645321353364194</v>
      </c>
      <c r="E191" s="88">
        <v>-19.108935341915426</v>
      </c>
      <c r="F191" s="88">
        <v>-22.051117613296576</v>
      </c>
      <c r="G191" s="88">
        <v>-24.463340630091722</v>
      </c>
      <c r="H191" s="88">
        <v>-27.21238021733291</v>
      </c>
      <c r="I191" s="88">
        <v>-29.047017499177393</v>
      </c>
      <c r="J191" s="88">
        <v>-30.199640741652555</v>
      </c>
      <c r="K191" s="89">
        <v>-30.341215778115224</v>
      </c>
      <c r="L191" s="172">
        <v>-198.06896917494601</v>
      </c>
      <c r="M191" s="90">
        <v>-24.758621146868251</v>
      </c>
    </row>
    <row r="192" spans="1:13" ht="16.8">
      <c r="A192" s="86">
        <v>9</v>
      </c>
      <c r="B192" s="75" t="s">
        <v>250</v>
      </c>
      <c r="D192" s="87">
        <v>92.97405064835219</v>
      </c>
      <c r="E192" s="88">
        <v>104.29451746730092</v>
      </c>
      <c r="F192" s="88">
        <v>111.93327979487449</v>
      </c>
      <c r="G192" s="88">
        <v>116.973407432491</v>
      </c>
      <c r="H192" s="88">
        <v>120.15869284978848</v>
      </c>
      <c r="I192" s="88">
        <v>119.11670296235366</v>
      </c>
      <c r="J192" s="88">
        <v>118.82150456556349</v>
      </c>
      <c r="K192" s="89">
        <v>118.91396012277893</v>
      </c>
      <c r="L192" s="172">
        <v>0</v>
      </c>
      <c r="M192" s="90">
        <v>112.89826448043789</v>
      </c>
    </row>
    <row r="193" spans="1:13" ht="16.8">
      <c r="A193" s="80"/>
      <c r="B193" s="81" t="s">
        <v>251</v>
      </c>
      <c r="D193" s="91">
        <v>0</v>
      </c>
      <c r="E193" s="92">
        <v>0</v>
      </c>
      <c r="F193" s="92">
        <v>0</v>
      </c>
      <c r="G193" s="92">
        <v>0</v>
      </c>
      <c r="H193" s="92">
        <v>0</v>
      </c>
      <c r="I193" s="92">
        <v>0</v>
      </c>
      <c r="J193" s="92">
        <v>0</v>
      </c>
      <c r="K193" s="93">
        <v>0</v>
      </c>
      <c r="L193" s="184">
        <v>0</v>
      </c>
      <c r="M193" s="94">
        <v>0</v>
      </c>
    </row>
    <row r="194" spans="1:13" ht="16.8">
      <c r="A194" s="86">
        <v>10</v>
      </c>
      <c r="B194" s="75" t="s">
        <v>252</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72">
        <v>619.93604258851951</v>
      </c>
      <c r="M194" s="90">
        <v>77.492005323564939</v>
      </c>
    </row>
    <row r="195" spans="1:13" ht="16.8">
      <c r="A195" s="86">
        <v>11</v>
      </c>
      <c r="B195" s="75" t="s">
        <v>253</v>
      </c>
      <c r="D195" s="87">
        <v>0</v>
      </c>
      <c r="E195" s="88">
        <v>0</v>
      </c>
      <c r="F195" s="88">
        <v>0</v>
      </c>
      <c r="G195" s="88">
        <v>0</v>
      </c>
      <c r="H195" s="88">
        <v>0</v>
      </c>
      <c r="I195" s="88">
        <v>0</v>
      </c>
      <c r="J195" s="88">
        <v>0</v>
      </c>
      <c r="K195" s="89">
        <v>0</v>
      </c>
      <c r="L195" s="172">
        <v>0</v>
      </c>
      <c r="M195" s="90">
        <v>0</v>
      </c>
    </row>
    <row r="196" spans="1:13" ht="16.8">
      <c r="A196" s="86">
        <v>12</v>
      </c>
      <c r="B196" s="75" t="s">
        <v>254</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72">
        <v>195.13882051652158</v>
      </c>
      <c r="M196" s="90">
        <v>24.392352564565197</v>
      </c>
    </row>
    <row r="197" spans="1:13" ht="16.8">
      <c r="A197" s="86">
        <v>13</v>
      </c>
      <c r="B197" s="75" t="s">
        <v>255</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72">
        <v>38.677549126287644</v>
      </c>
      <c r="M197" s="90">
        <v>4.8346936407859555</v>
      </c>
    </row>
    <row r="198" spans="1:13" ht="16.8">
      <c r="A198" s="86">
        <v>14</v>
      </c>
      <c r="B198" s="75" t="s">
        <v>256</v>
      </c>
      <c r="D198" s="87">
        <v>0</v>
      </c>
      <c r="E198" s="88">
        <v>0</v>
      </c>
      <c r="F198" s="88">
        <v>0</v>
      </c>
      <c r="G198" s="88">
        <v>0</v>
      </c>
      <c r="H198" s="88">
        <v>0</v>
      </c>
      <c r="I198" s="88">
        <v>0</v>
      </c>
      <c r="J198" s="88">
        <v>0</v>
      </c>
      <c r="K198" s="89">
        <v>0</v>
      </c>
      <c r="L198" s="172">
        <v>0</v>
      </c>
      <c r="M198" s="90">
        <v>0</v>
      </c>
    </row>
    <row r="199" spans="1:13" ht="16.8">
      <c r="A199" s="86">
        <v>15</v>
      </c>
      <c r="B199" s="75" t="s">
        <v>257</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72">
        <v>7.0928230769456135</v>
      </c>
      <c r="M199" s="90">
        <v>0.88660288461820169</v>
      </c>
    </row>
    <row r="200" spans="1:13" ht="16.8">
      <c r="A200" s="86">
        <v>16</v>
      </c>
      <c r="B200" s="75" t="s">
        <v>258</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72">
        <v>83.035157295435894</v>
      </c>
      <c r="M200" s="90">
        <v>10.379394661929487</v>
      </c>
    </row>
    <row r="201" spans="1:13" ht="16.8">
      <c r="A201" s="86">
        <v>17</v>
      </c>
      <c r="B201" s="75" t="s">
        <v>259</v>
      </c>
      <c r="D201" s="87">
        <v>2.0016092127672556</v>
      </c>
      <c r="E201" s="88">
        <v>0.82522992535408668</v>
      </c>
      <c r="F201" s="88">
        <v>0.15069905537749376</v>
      </c>
      <c r="G201" s="88">
        <v>0.12384729257669767</v>
      </c>
      <c r="H201" s="88">
        <v>1.0117778450783115</v>
      </c>
      <c r="I201" s="88">
        <v>0</v>
      </c>
      <c r="J201" s="88">
        <v>0.94578803093084196</v>
      </c>
      <c r="K201" s="89">
        <v>0.90950595778206589</v>
      </c>
      <c r="L201" s="172">
        <v>5.9684573198667525</v>
      </c>
      <c r="M201" s="90">
        <v>0.74605716498334407</v>
      </c>
    </row>
    <row r="202" spans="1:13" ht="16.8">
      <c r="A202" s="80"/>
      <c r="B202" s="81" t="s">
        <v>260</v>
      </c>
      <c r="D202" s="91">
        <v>0</v>
      </c>
      <c r="E202" s="92">
        <v>0</v>
      </c>
      <c r="F202" s="92">
        <v>0</v>
      </c>
      <c r="G202" s="92">
        <v>0</v>
      </c>
      <c r="H202" s="92">
        <v>0</v>
      </c>
      <c r="I202" s="92">
        <v>0</v>
      </c>
      <c r="J202" s="92">
        <v>0</v>
      </c>
      <c r="K202" s="93">
        <v>0</v>
      </c>
      <c r="L202" s="184">
        <v>0</v>
      </c>
      <c r="M202" s="94">
        <v>0</v>
      </c>
    </row>
    <row r="203" spans="1:13" ht="16.8">
      <c r="A203" s="86">
        <v>18</v>
      </c>
      <c r="B203" s="75" t="s">
        <v>252</v>
      </c>
      <c r="D203" s="87">
        <v>81.476813877328894</v>
      </c>
      <c r="E203" s="88">
        <v>78.636555404957193</v>
      </c>
      <c r="F203" s="88">
        <v>76.725460348987028</v>
      </c>
      <c r="G203" s="88">
        <v>76.243729824435974</v>
      </c>
      <c r="H203" s="88">
        <v>78.55454094110577</v>
      </c>
      <c r="I203" s="88">
        <v>72.371415441098179</v>
      </c>
      <c r="J203" s="88">
        <v>77.279938819518947</v>
      </c>
      <c r="K203" s="89">
        <v>78.647587931087514</v>
      </c>
      <c r="L203" s="172">
        <v>619.93604258851951</v>
      </c>
      <c r="M203" s="90">
        <v>77.492005323564939</v>
      </c>
    </row>
    <row r="204" spans="1:13" ht="16.8">
      <c r="A204" s="86">
        <v>19</v>
      </c>
      <c r="B204" s="75" t="s">
        <v>253</v>
      </c>
      <c r="D204" s="87">
        <v>0</v>
      </c>
      <c r="E204" s="88">
        <v>0</v>
      </c>
      <c r="F204" s="88">
        <v>0</v>
      </c>
      <c r="G204" s="88">
        <v>0</v>
      </c>
      <c r="H204" s="88">
        <v>0</v>
      </c>
      <c r="I204" s="88">
        <v>0</v>
      </c>
      <c r="J204" s="88">
        <v>0</v>
      </c>
      <c r="K204" s="89">
        <v>0</v>
      </c>
      <c r="L204" s="172">
        <v>0</v>
      </c>
      <c r="M204" s="90">
        <v>0</v>
      </c>
    </row>
    <row r="205" spans="1:13" ht="16.8">
      <c r="A205" s="86">
        <v>20</v>
      </c>
      <c r="B205" s="75" t="s">
        <v>254</v>
      </c>
      <c r="D205" s="87">
        <v>15.645321353364194</v>
      </c>
      <c r="E205" s="88">
        <v>19.108935341915426</v>
      </c>
      <c r="F205" s="88">
        <v>22.051117613296576</v>
      </c>
      <c r="G205" s="88">
        <v>24.463340630091722</v>
      </c>
      <c r="H205" s="88">
        <v>27.21238021733291</v>
      </c>
      <c r="I205" s="88">
        <v>29.047017499177393</v>
      </c>
      <c r="J205" s="88">
        <v>30.199640741652555</v>
      </c>
      <c r="K205" s="89">
        <v>30.341215778115224</v>
      </c>
      <c r="L205" s="172">
        <v>198.06896917494601</v>
      </c>
      <c r="M205" s="90">
        <v>24.758621146868251</v>
      </c>
    </row>
    <row r="206" spans="1:13" ht="16.8">
      <c r="A206" s="86">
        <v>21</v>
      </c>
      <c r="B206" s="75" t="s">
        <v>255</v>
      </c>
      <c r="D206" s="87">
        <v>3.7118574021498718</v>
      </c>
      <c r="E206" s="88">
        <v>4.2733876449507822</v>
      </c>
      <c r="F206" s="88">
        <v>4.6863402854713012</v>
      </c>
      <c r="G206" s="88">
        <v>4.9625644968623561</v>
      </c>
      <c r="H206" s="88">
        <v>5.1418440470977052</v>
      </c>
      <c r="I206" s="88">
        <v>5.1903194158840824</v>
      </c>
      <c r="J206" s="88">
        <v>5.1609649429668156</v>
      </c>
      <c r="K206" s="89">
        <v>5.1563852117726858</v>
      </c>
      <c r="L206" s="172">
        <v>38.283663447155604</v>
      </c>
      <c r="M206" s="90">
        <v>4.7854579308944505</v>
      </c>
    </row>
    <row r="207" spans="1:13" ht="16.8">
      <c r="A207" s="86">
        <v>22</v>
      </c>
      <c r="B207" s="75" t="s">
        <v>256</v>
      </c>
      <c r="D207" s="87">
        <v>0</v>
      </c>
      <c r="E207" s="88">
        <v>0</v>
      </c>
      <c r="F207" s="88">
        <v>0</v>
      </c>
      <c r="G207" s="88">
        <v>0</v>
      </c>
      <c r="H207" s="88">
        <v>0</v>
      </c>
      <c r="I207" s="88">
        <v>0</v>
      </c>
      <c r="J207" s="88">
        <v>0</v>
      </c>
      <c r="K207" s="89">
        <v>0</v>
      </c>
      <c r="L207" s="172">
        <v>0</v>
      </c>
      <c r="M207" s="90">
        <v>0</v>
      </c>
    </row>
    <row r="208" spans="1:13" ht="16.8">
      <c r="A208" s="86">
        <v>23</v>
      </c>
      <c r="B208" s="75" t="s">
        <v>257</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72">
        <v>7.0928230769456135</v>
      </c>
      <c r="M208" s="90">
        <v>0.88660288461820169</v>
      </c>
    </row>
    <row r="209" spans="1:13" ht="16.8">
      <c r="A209" s="86">
        <v>24</v>
      </c>
      <c r="B209" s="75" t="s">
        <v>258</v>
      </c>
      <c r="D209" s="87">
        <v>11.742112431897304</v>
      </c>
      <c r="E209" s="88">
        <v>11.75168641542232</v>
      </c>
      <c r="F209" s="88">
        <v>11.866169994794653</v>
      </c>
      <c r="G209" s="88">
        <v>12.085783188466628</v>
      </c>
      <c r="H209" s="88">
        <v>12.110755876501864</v>
      </c>
      <c r="I209" s="88">
        <v>12.24132824266699</v>
      </c>
      <c r="J209" s="88">
        <v>12.47775123634562</v>
      </c>
      <c r="K209" s="89">
        <v>12.520287055163507</v>
      </c>
      <c r="L209" s="172">
        <v>96.795874441258889</v>
      </c>
      <c r="M209" s="90">
        <v>12.099484305157361</v>
      </c>
    </row>
    <row r="210" spans="1:13" ht="16.8">
      <c r="A210" s="86">
        <v>25</v>
      </c>
      <c r="B210" s="75" t="s">
        <v>259</v>
      </c>
      <c r="D210" s="87">
        <v>2.0284089844028741</v>
      </c>
      <c r="E210" s="88">
        <v>0.94096461318763769</v>
      </c>
      <c r="F210" s="88">
        <v>0.26747431574957981</v>
      </c>
      <c r="G210" s="88">
        <v>0.23898425165493362</v>
      </c>
      <c r="H210" s="88">
        <v>1.1275945141144126</v>
      </c>
      <c r="I210" s="88">
        <v>3.2231891574056641E-2</v>
      </c>
      <c r="J210" s="88">
        <v>1.1452675810220838</v>
      </c>
      <c r="K210" s="89">
        <v>1.0266463424507131</v>
      </c>
      <c r="L210" s="172">
        <v>6.8075724941562914</v>
      </c>
      <c r="M210" s="90">
        <v>0.85094656176953642</v>
      </c>
    </row>
    <row r="211" spans="1:13" ht="16.8">
      <c r="A211" s="80"/>
      <c r="B211" s="81" t="s">
        <v>261</v>
      </c>
      <c r="D211" s="91">
        <v>0</v>
      </c>
      <c r="E211" s="92">
        <v>0</v>
      </c>
      <c r="F211" s="92">
        <v>0</v>
      </c>
      <c r="G211" s="92">
        <v>0</v>
      </c>
      <c r="H211" s="92">
        <v>0</v>
      </c>
      <c r="I211" s="92">
        <v>0</v>
      </c>
      <c r="J211" s="92">
        <v>0</v>
      </c>
      <c r="K211" s="93">
        <v>0</v>
      </c>
      <c r="L211" s="91">
        <v>0</v>
      </c>
      <c r="M211" s="184">
        <v>0</v>
      </c>
    </row>
    <row r="212" spans="1:13" ht="16.8">
      <c r="A212" s="86">
        <v>26</v>
      </c>
      <c r="B212" s="75" t="s">
        <v>262</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72">
        <v>949.84884992357684</v>
      </c>
      <c r="M212" s="90">
        <v>118.7311062404471</v>
      </c>
    </row>
    <row r="213" spans="1:13" ht="16.8">
      <c r="A213" s="86">
        <v>27</v>
      </c>
      <c r="B213" s="75" t="s">
        <v>312</v>
      </c>
      <c r="D213" s="87">
        <v>0</v>
      </c>
      <c r="E213" s="88">
        <v>3.7106038241035293</v>
      </c>
      <c r="F213" s="88">
        <v>0</v>
      </c>
      <c r="G213" s="88">
        <v>0</v>
      </c>
      <c r="H213" s="88">
        <v>0</v>
      </c>
      <c r="I213" s="88">
        <v>0</v>
      </c>
      <c r="J213" s="88">
        <v>0</v>
      </c>
      <c r="K213" s="88">
        <v>0</v>
      </c>
      <c r="L213" s="172">
        <v>3.7106038241035293</v>
      </c>
      <c r="M213" s="90">
        <v>0.46382547801294116</v>
      </c>
    </row>
    <row r="214" spans="1:13" ht="16.8">
      <c r="A214" s="86">
        <v>28</v>
      </c>
      <c r="B214" s="75" t="s">
        <v>264</v>
      </c>
      <c r="D214" s="96">
        <v>113.97553115199239</v>
      </c>
      <c r="E214" s="88">
        <v>117.24346896430818</v>
      </c>
      <c r="F214" s="88">
        <v>114.35655675002086</v>
      </c>
      <c r="G214" s="88">
        <v>116.7054339196653</v>
      </c>
      <c r="H214" s="88">
        <v>122.83308772040758</v>
      </c>
      <c r="I214" s="88">
        <v>117.52358286418433</v>
      </c>
      <c r="J214" s="88">
        <v>124.73063970685706</v>
      </c>
      <c r="K214" s="88">
        <v>126.19115267024478</v>
      </c>
      <c r="L214" s="172">
        <v>953.55945374768044</v>
      </c>
      <c r="M214" s="90">
        <v>119.19493171846005</v>
      </c>
    </row>
    <row r="215" spans="1:13" ht="16.8">
      <c r="A215" s="86">
        <v>29</v>
      </c>
      <c r="B215" s="75" t="s">
        <v>168</v>
      </c>
      <c r="D215" s="96">
        <v>0</v>
      </c>
      <c r="E215" s="88">
        <v>0</v>
      </c>
      <c r="F215" s="88">
        <v>0</v>
      </c>
      <c r="G215" s="88">
        <v>0</v>
      </c>
      <c r="H215" s="88">
        <v>0</v>
      </c>
      <c r="I215" s="88">
        <v>0</v>
      </c>
      <c r="J215" s="88">
        <v>0</v>
      </c>
      <c r="K215" s="88">
        <v>0</v>
      </c>
      <c r="L215" s="172">
        <v>0</v>
      </c>
      <c r="M215" s="90">
        <v>0</v>
      </c>
    </row>
    <row r="216" spans="1:13" ht="16.8">
      <c r="A216" s="86">
        <v>30</v>
      </c>
      <c r="B216" s="75" t="s">
        <v>265</v>
      </c>
      <c r="D216" s="96">
        <v>0</v>
      </c>
      <c r="E216" s="88">
        <v>0</v>
      </c>
      <c r="F216" s="88">
        <v>0</v>
      </c>
      <c r="G216" s="88">
        <v>0</v>
      </c>
      <c r="H216" s="88">
        <v>0</v>
      </c>
      <c r="I216" s="88">
        <v>0</v>
      </c>
      <c r="J216" s="88">
        <v>0</v>
      </c>
      <c r="K216" s="88">
        <v>0</v>
      </c>
      <c r="L216" s="172">
        <v>0</v>
      </c>
      <c r="M216" s="90">
        <v>0</v>
      </c>
    </row>
    <row r="217" spans="1:13" ht="16.8">
      <c r="A217" s="86">
        <v>31</v>
      </c>
      <c r="B217" s="75" t="s">
        <v>266</v>
      </c>
      <c r="D217" s="96">
        <v>0</v>
      </c>
      <c r="E217" s="88">
        <v>0</v>
      </c>
      <c r="F217" s="88">
        <v>0</v>
      </c>
      <c r="G217" s="88">
        <v>0</v>
      </c>
      <c r="H217" s="88">
        <v>0</v>
      </c>
      <c r="I217" s="88">
        <v>0</v>
      </c>
      <c r="J217" s="88">
        <v>0</v>
      </c>
      <c r="K217" s="88">
        <v>0</v>
      </c>
      <c r="L217" s="172">
        <v>0</v>
      </c>
      <c r="M217" s="90">
        <v>0</v>
      </c>
    </row>
    <row r="218" spans="1:13" ht="16.8">
      <c r="A218" s="86">
        <v>32</v>
      </c>
      <c r="B218" s="75" t="s">
        <v>267</v>
      </c>
      <c r="D218" s="96">
        <v>113.97553115199239</v>
      </c>
      <c r="E218" s="88">
        <v>117.24346896430818</v>
      </c>
      <c r="F218" s="88">
        <v>114.35655675002086</v>
      </c>
      <c r="G218" s="88">
        <v>116.7054339196653</v>
      </c>
      <c r="H218" s="88">
        <v>122.83308772040758</v>
      </c>
      <c r="I218" s="88">
        <v>117.52358286418433</v>
      </c>
      <c r="J218" s="88">
        <v>124.73063970685706</v>
      </c>
      <c r="K218" s="88">
        <v>126.19115267024478</v>
      </c>
      <c r="L218" s="172">
        <v>953.55945374768044</v>
      </c>
      <c r="M218" s="90">
        <v>119.19493171846005</v>
      </c>
    </row>
    <row r="219" spans="1:13" ht="16.8">
      <c r="A219" s="80"/>
      <c r="B219" s="81" t="s">
        <v>268</v>
      </c>
      <c r="D219" s="91">
        <v>0</v>
      </c>
      <c r="E219" s="92">
        <v>0</v>
      </c>
      <c r="F219" s="92">
        <v>0</v>
      </c>
      <c r="G219" s="92">
        <v>0</v>
      </c>
      <c r="H219" s="92">
        <v>0</v>
      </c>
      <c r="I219" s="92">
        <v>0</v>
      </c>
      <c r="J219" s="92">
        <v>0</v>
      </c>
      <c r="K219" s="93">
        <v>0</v>
      </c>
      <c r="L219" s="91">
        <v>0</v>
      </c>
      <c r="M219" s="184">
        <v>0</v>
      </c>
    </row>
    <row r="220" spans="1:13" ht="16.8">
      <c r="A220" s="86">
        <f>A218+1</f>
        <v>33</v>
      </c>
      <c r="B220" s="75" t="s">
        <v>268</v>
      </c>
      <c r="D220" s="87">
        <v>115.53670799497685</v>
      </c>
      <c r="E220" s="88">
        <v>115.61122735143105</v>
      </c>
      <c r="F220" s="88">
        <v>116.47439523516735</v>
      </c>
      <c r="G220" s="88">
        <v>118.86672348468946</v>
      </c>
      <c r="H220" s="88">
        <v>125.04587518183425</v>
      </c>
      <c r="I220" s="88">
        <v>119.71032959263032</v>
      </c>
      <c r="J220" s="88">
        <v>127.14773990713464</v>
      </c>
      <c r="K220" s="89">
        <v>128.59194647511799</v>
      </c>
      <c r="L220" s="172">
        <v>966.98494522298199</v>
      </c>
      <c r="M220" s="90">
        <v>120.87311815287275</v>
      </c>
    </row>
    <row r="221" spans="1:13" ht="16.8">
      <c r="A221" s="86">
        <f>+A220+1</f>
        <v>34</v>
      </c>
      <c r="B221" s="75" t="s">
        <v>269</v>
      </c>
      <c r="D221" s="87">
        <v>113.97553115199239</v>
      </c>
      <c r="E221" s="88">
        <v>113.53286514020465</v>
      </c>
      <c r="F221" s="88">
        <v>114.35655675002086</v>
      </c>
      <c r="G221" s="88">
        <v>116.7054339196653</v>
      </c>
      <c r="H221" s="88">
        <v>122.83308772040758</v>
      </c>
      <c r="I221" s="88">
        <v>117.52358286418433</v>
      </c>
      <c r="J221" s="88">
        <v>124.73063970685706</v>
      </c>
      <c r="K221" s="89">
        <v>126.19115267024478</v>
      </c>
      <c r="L221" s="172">
        <v>949.84884992357684</v>
      </c>
      <c r="M221" s="90">
        <v>118.7311062404471</v>
      </c>
    </row>
    <row r="222" spans="1:13" ht="16.8">
      <c r="A222" s="80"/>
      <c r="B222" s="81" t="s">
        <v>270</v>
      </c>
      <c r="D222" s="91">
        <v>0</v>
      </c>
      <c r="E222" s="92">
        <v>0</v>
      </c>
      <c r="F222" s="92">
        <v>0</v>
      </c>
      <c r="G222" s="92">
        <v>0</v>
      </c>
      <c r="H222" s="92">
        <v>0</v>
      </c>
      <c r="I222" s="92">
        <v>0</v>
      </c>
      <c r="J222" s="92">
        <v>0</v>
      </c>
      <c r="K222" s="93">
        <v>0</v>
      </c>
      <c r="L222" s="91">
        <v>0</v>
      </c>
      <c r="M222" s="184">
        <v>0</v>
      </c>
    </row>
    <row r="223" spans="1:13" ht="16.8">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72">
        <v>949.84884992357684</v>
      </c>
      <c r="M223" s="90">
        <v>118.7311062404471</v>
      </c>
    </row>
    <row r="224" spans="1:13" ht="16.8">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72">
        <v>966.98494522298199</v>
      </c>
      <c r="M224" s="90">
        <v>120.87311815287275</v>
      </c>
    </row>
    <row r="225" spans="1:13" ht="16.8">
      <c r="A225" s="86">
        <f>+A224+1</f>
        <v>37</v>
      </c>
      <c r="B225" s="98">
        <v>42460</v>
      </c>
      <c r="D225" s="96">
        <v>0</v>
      </c>
      <c r="E225" s="88">
        <v>0</v>
      </c>
      <c r="F225" s="88">
        <v>0</v>
      </c>
      <c r="G225" s="88">
        <v>0</v>
      </c>
      <c r="H225" s="88">
        <v>0</v>
      </c>
      <c r="I225" s="88">
        <v>0</v>
      </c>
      <c r="J225" s="88">
        <v>0</v>
      </c>
      <c r="K225" s="88">
        <v>0</v>
      </c>
      <c r="L225" s="172">
        <v>0</v>
      </c>
      <c r="M225" s="90">
        <v>0</v>
      </c>
    </row>
    <row r="226" spans="1:13" ht="16.8">
      <c r="A226" s="86">
        <f>A225+1</f>
        <v>38</v>
      </c>
      <c r="B226" s="98">
        <v>42825</v>
      </c>
      <c r="D226" s="96">
        <v>0</v>
      </c>
      <c r="E226" s="88">
        <v>0</v>
      </c>
      <c r="F226" s="88">
        <v>0</v>
      </c>
      <c r="G226" s="88">
        <v>0</v>
      </c>
      <c r="H226" s="88">
        <v>0</v>
      </c>
      <c r="I226" s="88">
        <v>0</v>
      </c>
      <c r="J226" s="88">
        <v>0</v>
      </c>
      <c r="K226" s="88">
        <v>0</v>
      </c>
      <c r="L226" s="172">
        <v>0</v>
      </c>
      <c r="M226" s="90">
        <v>0</v>
      </c>
    </row>
    <row r="227" spans="1:13" ht="16.8">
      <c r="A227" s="86">
        <f>A226+1</f>
        <v>39</v>
      </c>
      <c r="B227" s="98">
        <v>43190</v>
      </c>
      <c r="D227" s="96">
        <v>0</v>
      </c>
      <c r="E227" s="88">
        <v>0</v>
      </c>
      <c r="F227" s="88">
        <v>0</v>
      </c>
      <c r="G227" s="88">
        <v>0</v>
      </c>
      <c r="H227" s="88">
        <v>0</v>
      </c>
      <c r="I227" s="88">
        <v>0</v>
      </c>
      <c r="J227" s="88">
        <v>0</v>
      </c>
      <c r="K227" s="88">
        <v>0</v>
      </c>
      <c r="L227" s="172">
        <v>0</v>
      </c>
      <c r="M227" s="90">
        <v>0</v>
      </c>
    </row>
    <row r="228" spans="1:13" ht="16.8">
      <c r="A228" s="86">
        <f>A227+1</f>
        <v>40</v>
      </c>
      <c r="B228" s="98">
        <v>43555</v>
      </c>
      <c r="D228" s="96">
        <v>0</v>
      </c>
      <c r="E228" s="88">
        <v>0</v>
      </c>
      <c r="F228" s="88">
        <v>0</v>
      </c>
      <c r="G228" s="88">
        <v>0</v>
      </c>
      <c r="H228" s="88">
        <v>0</v>
      </c>
      <c r="I228" s="88">
        <v>0</v>
      </c>
      <c r="J228" s="88">
        <v>0</v>
      </c>
      <c r="K228" s="88">
        <v>0</v>
      </c>
      <c r="L228" s="172">
        <v>0</v>
      </c>
      <c r="M228" s="90">
        <v>0</v>
      </c>
    </row>
    <row r="229" spans="1:13" ht="16.8">
      <c r="A229" s="86">
        <f>A228+1</f>
        <v>41</v>
      </c>
      <c r="B229" s="98">
        <v>43921</v>
      </c>
      <c r="D229" s="96">
        <v>0</v>
      </c>
      <c r="E229" s="88">
        <v>0</v>
      </c>
      <c r="F229" s="88">
        <v>0</v>
      </c>
      <c r="G229" s="88">
        <v>0</v>
      </c>
      <c r="H229" s="88">
        <v>0</v>
      </c>
      <c r="I229" s="88">
        <v>0</v>
      </c>
      <c r="J229" s="88">
        <v>0</v>
      </c>
      <c r="K229" s="88">
        <v>0</v>
      </c>
      <c r="L229" s="172">
        <v>0</v>
      </c>
      <c r="M229" s="90">
        <v>0</v>
      </c>
    </row>
    <row r="230" spans="1:13" ht="17.399999999999999" thickBot="1">
      <c r="A230" s="103">
        <f>A229+1</f>
        <v>42</v>
      </c>
      <c r="B230" s="211">
        <v>44286</v>
      </c>
      <c r="D230" s="214">
        <v>0</v>
      </c>
      <c r="E230" s="106">
        <v>0</v>
      </c>
      <c r="F230" s="106">
        <v>0</v>
      </c>
      <c r="G230" s="106">
        <v>0</v>
      </c>
      <c r="H230" s="106">
        <v>0</v>
      </c>
      <c r="I230" s="106">
        <v>0</v>
      </c>
      <c r="J230" s="106">
        <v>0</v>
      </c>
      <c r="K230" s="106">
        <v>0</v>
      </c>
      <c r="L230" s="215">
        <v>0</v>
      </c>
      <c r="M230" s="108">
        <v>0</v>
      </c>
    </row>
    <row r="231" spans="1:13" ht="16.8">
      <c r="A231" s="80"/>
      <c r="B231" s="81" t="s">
        <v>313</v>
      </c>
      <c r="D231" s="91">
        <v>0</v>
      </c>
      <c r="E231" s="92">
        <v>0</v>
      </c>
      <c r="F231" s="92">
        <v>0</v>
      </c>
      <c r="G231" s="92">
        <v>0</v>
      </c>
      <c r="H231" s="92">
        <v>0</v>
      </c>
      <c r="I231" s="97">
        <v>0</v>
      </c>
      <c r="J231" s="92">
        <v>0</v>
      </c>
      <c r="K231" s="93">
        <v>0</v>
      </c>
      <c r="L231" s="95">
        <v>0</v>
      </c>
      <c r="M231" s="184">
        <v>0</v>
      </c>
    </row>
    <row r="232" spans="1:13" ht="16.8">
      <c r="A232" s="86">
        <f>A230+1</f>
        <v>43</v>
      </c>
      <c r="B232" s="98">
        <v>41729</v>
      </c>
      <c r="D232" s="96">
        <v>0</v>
      </c>
      <c r="E232" s="88">
        <v>0</v>
      </c>
      <c r="F232" s="88">
        <v>0</v>
      </c>
      <c r="G232" s="88">
        <v>0</v>
      </c>
      <c r="H232" s="88">
        <v>0</v>
      </c>
      <c r="I232" s="88">
        <v>0</v>
      </c>
      <c r="J232" s="88">
        <v>0</v>
      </c>
      <c r="K232" s="89">
        <v>0</v>
      </c>
      <c r="L232" s="90">
        <v>0</v>
      </c>
      <c r="M232" s="90">
        <v>0</v>
      </c>
    </row>
    <row r="233" spans="1:13" ht="16.8">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8">
      <c r="A234" s="86">
        <f>+A233+1</f>
        <v>45</v>
      </c>
      <c r="B234" s="98">
        <v>42460</v>
      </c>
      <c r="D234" s="96">
        <v>0</v>
      </c>
      <c r="E234" s="88">
        <v>0</v>
      </c>
      <c r="F234" s="88">
        <v>0</v>
      </c>
      <c r="G234" s="88">
        <v>0</v>
      </c>
      <c r="H234" s="88">
        <v>0</v>
      </c>
      <c r="I234" s="88">
        <v>0</v>
      </c>
      <c r="J234" s="88">
        <v>0</v>
      </c>
      <c r="K234" s="89">
        <v>0</v>
      </c>
      <c r="L234" s="90">
        <v>0</v>
      </c>
      <c r="M234" s="90">
        <v>0</v>
      </c>
    </row>
    <row r="235" spans="1:13" ht="16.8">
      <c r="A235" s="86">
        <f>A234+1</f>
        <v>46</v>
      </c>
      <c r="B235" s="98">
        <v>42825</v>
      </c>
      <c r="D235" s="96">
        <v>0</v>
      </c>
      <c r="E235" s="88">
        <v>0</v>
      </c>
      <c r="F235" s="88">
        <v>0</v>
      </c>
      <c r="G235" s="88">
        <v>0</v>
      </c>
      <c r="H235" s="88">
        <v>0</v>
      </c>
      <c r="I235" s="88">
        <v>0</v>
      </c>
      <c r="J235" s="88">
        <v>0</v>
      </c>
      <c r="K235" s="89">
        <v>0</v>
      </c>
      <c r="L235" s="90">
        <v>0</v>
      </c>
      <c r="M235" s="90">
        <v>0</v>
      </c>
    </row>
    <row r="236" spans="1:13" ht="16.8">
      <c r="A236" s="86">
        <f>A235+1</f>
        <v>47</v>
      </c>
      <c r="B236" s="98">
        <v>43190</v>
      </c>
      <c r="D236" s="96">
        <v>0</v>
      </c>
      <c r="E236" s="88">
        <v>0</v>
      </c>
      <c r="F236" s="88">
        <v>0</v>
      </c>
      <c r="G236" s="88">
        <v>0</v>
      </c>
      <c r="H236" s="88">
        <v>0</v>
      </c>
      <c r="I236" s="88">
        <v>0</v>
      </c>
      <c r="J236" s="88">
        <v>0</v>
      </c>
      <c r="K236" s="89">
        <v>0</v>
      </c>
      <c r="L236" s="90">
        <v>0</v>
      </c>
      <c r="M236" s="90">
        <v>0</v>
      </c>
    </row>
    <row r="237" spans="1:13" ht="16.8">
      <c r="A237" s="86">
        <f>A236+1</f>
        <v>48</v>
      </c>
      <c r="B237" s="98">
        <v>43555</v>
      </c>
      <c r="D237" s="96">
        <v>0</v>
      </c>
      <c r="E237" s="88">
        <v>0</v>
      </c>
      <c r="F237" s="88">
        <v>0</v>
      </c>
      <c r="G237" s="88">
        <v>0</v>
      </c>
      <c r="H237" s="88">
        <v>0</v>
      </c>
      <c r="I237" s="88">
        <v>0</v>
      </c>
      <c r="J237" s="88">
        <v>0</v>
      </c>
      <c r="K237" s="89">
        <v>0</v>
      </c>
      <c r="L237" s="90">
        <v>0</v>
      </c>
      <c r="M237" s="90">
        <v>0</v>
      </c>
    </row>
    <row r="238" spans="1:13" ht="16.8">
      <c r="A238" s="86">
        <f>A237+1</f>
        <v>49</v>
      </c>
      <c r="B238" s="98">
        <v>43921</v>
      </c>
      <c r="D238" s="96">
        <v>0</v>
      </c>
      <c r="E238" s="88">
        <v>0</v>
      </c>
      <c r="F238" s="88">
        <v>0</v>
      </c>
      <c r="G238" s="88">
        <v>0</v>
      </c>
      <c r="H238" s="88">
        <v>0</v>
      </c>
      <c r="I238" s="88">
        <v>0</v>
      </c>
      <c r="J238" s="88">
        <v>0</v>
      </c>
      <c r="K238" s="89">
        <v>0</v>
      </c>
      <c r="L238" s="90">
        <v>0</v>
      </c>
      <c r="M238" s="90">
        <v>0</v>
      </c>
    </row>
    <row r="239" spans="1:13" ht="16.8">
      <c r="A239" s="86">
        <f>A238+1</f>
        <v>50</v>
      </c>
      <c r="B239" s="98">
        <v>44286</v>
      </c>
      <c r="D239" s="96">
        <v>0</v>
      </c>
      <c r="E239" s="88">
        <v>0</v>
      </c>
      <c r="F239" s="88">
        <v>0</v>
      </c>
      <c r="G239" s="88">
        <v>0</v>
      </c>
      <c r="H239" s="88">
        <v>0</v>
      </c>
      <c r="I239" s="88">
        <v>0</v>
      </c>
      <c r="J239" s="88">
        <v>0</v>
      </c>
      <c r="K239" s="89">
        <v>0</v>
      </c>
      <c r="L239" s="90">
        <v>0</v>
      </c>
      <c r="M239" s="90">
        <v>0</v>
      </c>
    </row>
    <row r="240" spans="1:13" ht="16.8">
      <c r="A240" s="80"/>
      <c r="B240" s="81" t="s">
        <v>314</v>
      </c>
      <c r="D240" s="91">
        <v>0</v>
      </c>
      <c r="E240" s="92">
        <v>0</v>
      </c>
      <c r="F240" s="92">
        <v>0</v>
      </c>
      <c r="G240" s="92">
        <v>0</v>
      </c>
      <c r="H240" s="92">
        <v>0</v>
      </c>
      <c r="I240" s="97">
        <v>0</v>
      </c>
      <c r="J240" s="92">
        <v>0</v>
      </c>
      <c r="K240" s="93">
        <v>0</v>
      </c>
      <c r="L240" s="91">
        <v>0</v>
      </c>
      <c r="M240" s="184">
        <v>0</v>
      </c>
    </row>
    <row r="241" spans="1:13" ht="16.8">
      <c r="A241" s="86">
        <f>A239+1</f>
        <v>51</v>
      </c>
      <c r="B241" s="75" t="s">
        <v>273</v>
      </c>
      <c r="D241" s="87">
        <v>81.543440293274855</v>
      </c>
      <c r="E241" s="88">
        <v>96.421201375243271</v>
      </c>
      <c r="F241" s="88">
        <v>105.7387248526918</v>
      </c>
      <c r="G241" s="88">
        <v>111.97122059707482</v>
      </c>
      <c r="H241" s="88">
        <v>116.01633680274604</v>
      </c>
      <c r="I241" s="88">
        <v>117.1100951237383</v>
      </c>
      <c r="J241" s="88">
        <v>116.44776495863752</v>
      </c>
      <c r="K241" s="89">
        <v>116.34443167357142</v>
      </c>
      <c r="L241" s="90">
        <v>861.59321567697805</v>
      </c>
      <c r="M241" s="90">
        <v>107.69915195962226</v>
      </c>
    </row>
    <row r="242" spans="1:13" ht="16.8">
      <c r="A242" s="86">
        <f>A241+1</f>
        <v>52</v>
      </c>
      <c r="B242" s="75" t="s">
        <v>26</v>
      </c>
      <c r="D242" s="216">
        <v>0.6</v>
      </c>
      <c r="E242" s="217">
        <v>0.6</v>
      </c>
      <c r="F242" s="217">
        <v>0.6</v>
      </c>
      <c r="G242" s="217">
        <v>0.6</v>
      </c>
      <c r="H242" s="217">
        <v>0.6</v>
      </c>
      <c r="I242" s="217">
        <v>0.6</v>
      </c>
      <c r="J242" s="217">
        <v>0.6</v>
      </c>
      <c r="K242" s="218">
        <v>0.6</v>
      </c>
      <c r="L242" s="219">
        <v>0.59999999999999987</v>
      </c>
      <c r="M242" s="219">
        <v>0.6</v>
      </c>
    </row>
    <row r="243" spans="1:13" ht="16.8">
      <c r="A243" s="86">
        <f>A242+1</f>
        <v>53</v>
      </c>
      <c r="B243" s="75" t="s">
        <v>274</v>
      </c>
      <c r="D243" s="87">
        <v>32.617376117309945</v>
      </c>
      <c r="E243" s="88">
        <v>38.568480550097313</v>
      </c>
      <c r="F243" s="88">
        <v>42.295489941076724</v>
      </c>
      <c r="G243" s="88">
        <v>44.788488238829927</v>
      </c>
      <c r="H243" s="88">
        <v>46.406534721098417</v>
      </c>
      <c r="I243" s="88">
        <v>46.844038049495325</v>
      </c>
      <c r="J243" s="88">
        <v>46.579105983455008</v>
      </c>
      <c r="K243" s="89">
        <v>46.53777266942857</v>
      </c>
      <c r="L243" s="90">
        <v>344.63728627079126</v>
      </c>
      <c r="M243" s="90">
        <v>43.079660783848908</v>
      </c>
    </row>
    <row r="244" spans="1:13" ht="16.8">
      <c r="A244" s="86">
        <f>A243+1</f>
        <v>54</v>
      </c>
      <c r="B244" s="75" t="s">
        <v>275</v>
      </c>
      <c r="D244" s="87">
        <v>1.4286410739381754</v>
      </c>
      <c r="E244" s="88">
        <v>1.5735940064439702</v>
      </c>
      <c r="F244" s="88">
        <v>1.7256559895959303</v>
      </c>
      <c r="G244" s="88">
        <v>1.8273703201442613</v>
      </c>
      <c r="H244" s="88">
        <v>1.8933866166208153</v>
      </c>
      <c r="I244" s="88">
        <v>1.9112367524194092</v>
      </c>
      <c r="J244" s="88">
        <v>1.9004275241249644</v>
      </c>
      <c r="K244" s="89">
        <v>1.8987411249126855</v>
      </c>
      <c r="L244" s="90">
        <v>14.159053408200212</v>
      </c>
      <c r="M244" s="90">
        <v>1.7698816760250264</v>
      </c>
    </row>
    <row r="245" spans="1:13" ht="17.399999999999999" thickBot="1">
      <c r="A245" s="103">
        <f>A244+1</f>
        <v>55</v>
      </c>
      <c r="B245" s="104" t="s">
        <v>276</v>
      </c>
      <c r="D245" s="105">
        <v>2.2832163282116964</v>
      </c>
      <c r="E245" s="106">
        <v>2.699793638506812</v>
      </c>
      <c r="F245" s="106">
        <v>2.960684295875371</v>
      </c>
      <c r="G245" s="106">
        <v>3.1351941767180946</v>
      </c>
      <c r="H245" s="106">
        <v>3.2484574304768898</v>
      </c>
      <c r="I245" s="106">
        <v>3.2790826634646733</v>
      </c>
      <c r="J245" s="106">
        <v>3.2605374188418512</v>
      </c>
      <c r="K245" s="107">
        <v>3.2576440868600001</v>
      </c>
      <c r="L245" s="108">
        <v>24.124610038955392</v>
      </c>
      <c r="M245" s="108">
        <v>3.015576254869424</v>
      </c>
    </row>
    <row r="246" spans="1:13" ht="16.8">
      <c r="A246" s="212"/>
      <c r="B246" s="213"/>
    </row>
    <row r="247" spans="1:13" ht="16.8">
      <c r="A247" s="212"/>
      <c r="B247" s="213"/>
    </row>
    <row r="248" spans="1:13">
      <c r="B248" t="s">
        <v>355</v>
      </c>
      <c r="D248" s="53">
        <v>0.5</v>
      </c>
      <c r="E248" s="53">
        <v>0.4</v>
      </c>
      <c r="F248" s="53">
        <v>0.4</v>
      </c>
      <c r="G248" s="53">
        <v>0.5</v>
      </c>
      <c r="H248" s="53">
        <v>0.4</v>
      </c>
      <c r="I248" s="53">
        <v>0.4</v>
      </c>
      <c r="J248" s="53">
        <v>0.5</v>
      </c>
      <c r="K248" s="53">
        <v>0.4</v>
      </c>
    </row>
    <row r="249" spans="1:13">
      <c r="B249" t="s">
        <v>356</v>
      </c>
      <c r="D249" s="53">
        <v>8.7961833442298172</v>
      </c>
      <c r="E249" s="53">
        <v>8.7961833442298172</v>
      </c>
      <c r="F249" s="53">
        <v>8.7961833442298172</v>
      </c>
      <c r="G249" s="53">
        <v>8.7961833442298172</v>
      </c>
      <c r="H249" s="53">
        <v>8.7961833442298172</v>
      </c>
      <c r="I249" s="53">
        <v>8.7961833442298172</v>
      </c>
      <c r="J249" s="53">
        <v>8.7961833442298172</v>
      </c>
      <c r="K249" s="53">
        <v>8.7961833442298172</v>
      </c>
    </row>
    <row r="250" spans="1:13">
      <c r="B250" t="s">
        <v>293</v>
      </c>
      <c r="D250" s="53">
        <v>0.97533863299335366</v>
      </c>
      <c r="E250" s="53">
        <v>1.019736047567211</v>
      </c>
      <c r="F250" s="53">
        <v>1.0661544324524705</v>
      </c>
      <c r="G250" s="53">
        <v>1.114685782217707</v>
      </c>
      <c r="H250" s="53">
        <v>1.1654262790242569</v>
      </c>
      <c r="I250" s="53">
        <v>1.2184764832454411</v>
      </c>
      <c r="J250" s="53">
        <v>1.2739415327627734</v>
      </c>
      <c r="K250" s="53">
        <v>1.3319313513341349</v>
      </c>
    </row>
    <row r="251" spans="1:13">
      <c r="D251" s="53">
        <f>SUM(D248:D250)</f>
        <v>10.271521977223172</v>
      </c>
      <c r="E251" s="53">
        <f t="shared" ref="E251:K251" si="55">SUM(E248:E250)</f>
        <v>10.215919391797028</v>
      </c>
      <c r="F251" s="53">
        <f t="shared" si="55"/>
        <v>10.262337776682289</v>
      </c>
      <c r="G251" s="53">
        <f t="shared" si="55"/>
        <v>10.410869126447524</v>
      </c>
      <c r="H251" s="53">
        <f t="shared" si="55"/>
        <v>10.361609623254074</v>
      </c>
      <c r="I251" s="53">
        <f t="shared" si="55"/>
        <v>10.414659827475258</v>
      </c>
      <c r="J251" s="53">
        <f t="shared" si="55"/>
        <v>10.57012487699259</v>
      </c>
      <c r="K251" s="53">
        <f t="shared" si="55"/>
        <v>10.528114695563952</v>
      </c>
    </row>
    <row r="253" spans="1:13">
      <c r="B253" t="s">
        <v>357</v>
      </c>
      <c r="D253" s="53">
        <v>1.4705904546741335</v>
      </c>
      <c r="E253" s="53">
        <v>1.5357670236252909</v>
      </c>
      <c r="F253" s="53">
        <v>1.6038322181123639</v>
      </c>
      <c r="G253" s="53">
        <v>1.6749140620191034</v>
      </c>
      <c r="H253" s="53">
        <v>1.7491462532477902</v>
      </c>
      <c r="I253" s="53">
        <v>1.8266684151917321</v>
      </c>
      <c r="J253" s="53">
        <v>1.9076263593530294</v>
      </c>
      <c r="K253" s="53">
        <v>1.9921723595995553</v>
      </c>
    </row>
    <row r="257" spans="2:4">
      <c r="B257" t="s">
        <v>358</v>
      </c>
      <c r="D257" s="53">
        <v>0</v>
      </c>
    </row>
  </sheetData>
  <pageMargins left="0.7" right="0.7" top="0.75" bottom="0.75" header="0.3" footer="0.3"/>
  <pageSetup paperSize="9" orientation="portrait"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249977111117893"/>
  </sheetPr>
  <dimension ref="A1:AD145"/>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s>
  <sheetData>
    <row r="1" spans="1:11" ht="13.8" thickBot="1"/>
    <row r="2" spans="1:11" ht="63" thickBot="1">
      <c r="A2" s="38" t="s">
        <v>381</v>
      </c>
      <c r="C2" s="1" t="s">
        <v>384</v>
      </c>
      <c r="D2" s="2" t="s">
        <v>40</v>
      </c>
      <c r="E2" s="47" t="s">
        <v>41</v>
      </c>
      <c r="G2" s="112" t="s">
        <v>362</v>
      </c>
      <c r="H2" s="113" t="str">
        <f>RPI!$B$1</f>
        <v>Updated Oct 2019</v>
      </c>
      <c r="J2" s="224" t="s">
        <v>398</v>
      </c>
      <c r="K2">
        <f>1-0.4689</f>
        <v>0.53110000000000002</v>
      </c>
    </row>
    <row r="3" spans="1:11" ht="15.6" thickBot="1">
      <c r="C3" s="4" t="s">
        <v>42</v>
      </c>
      <c r="D3" s="64">
        <f>SUMPRODUCT(D81:K81,RPI!$E$2:$L$2)/1000</f>
        <v>1.4227487975585782</v>
      </c>
      <c r="E3" s="232">
        <f>L81/1000</f>
        <v>1.1588637620875542</v>
      </c>
    </row>
    <row r="4" spans="1:11" ht="15.6" thickBot="1">
      <c r="C4" s="3" t="s">
        <v>43</v>
      </c>
      <c r="D4" s="62">
        <f>SUMPRODUCT(D82:K82,RPI!$E$2:$L$2)/1000</f>
        <v>6.1368774763378324</v>
      </c>
      <c r="E4" s="63">
        <f t="shared" ref="E4:E7" si="0">L82/1000</f>
        <v>4.806417480663975</v>
      </c>
    </row>
    <row r="5" spans="1:11" ht="15.6" thickBot="1">
      <c r="C5" s="4" t="s">
        <v>44</v>
      </c>
      <c r="D5" s="64">
        <f>SUMPRODUCT(D83:K83,RPI!$E$2:$L$2)/1000</f>
        <v>4.5124624900826626</v>
      </c>
      <c r="E5" s="232">
        <f t="shared" si="0"/>
        <v>3.7020530552179056</v>
      </c>
    </row>
    <row r="6" spans="1:11" ht="15.6" thickBot="1">
      <c r="C6" s="3" t="s">
        <v>45</v>
      </c>
      <c r="D6" s="62">
        <f>SUMPRODUCT(D84:K84,RPI!$E$2:$L$2)/1000</f>
        <v>0</v>
      </c>
      <c r="E6" s="63">
        <f t="shared" si="0"/>
        <v>0</v>
      </c>
    </row>
    <row r="7" spans="1:11" ht="15.6" thickBot="1">
      <c r="C7" s="4" t="s">
        <v>46</v>
      </c>
      <c r="D7" s="64">
        <f>SUMPRODUCT(D85:K85,RPI!$E$2:$L$2)/1000</f>
        <v>2.0550636343973276</v>
      </c>
      <c r="E7" s="232">
        <f t="shared" si="0"/>
        <v>1.623853135909078</v>
      </c>
    </row>
    <row r="8" spans="1:11" ht="15.6" thickBot="1">
      <c r="C8" s="3" t="s">
        <v>47</v>
      </c>
      <c r="D8" s="62">
        <v>0</v>
      </c>
      <c r="E8" s="63">
        <v>0</v>
      </c>
    </row>
    <row r="9" spans="1:11" ht="16.2" thickBot="1">
      <c r="C9" s="5" t="s">
        <v>48</v>
      </c>
      <c r="D9" s="67">
        <f>SUM(D3:D8)</f>
        <v>14.127152398376403</v>
      </c>
      <c r="E9" s="233">
        <f>SUM(E3:E8)</f>
        <v>11.291187433878513</v>
      </c>
    </row>
    <row r="10" spans="1:11" ht="15.6" thickBot="1">
      <c r="C10" s="3" t="s">
        <v>52</v>
      </c>
      <c r="D10" s="62">
        <f>SUMPRODUCT(D87:K87,RPI!$E$2:$L$2)/1000</f>
        <v>0.89416672601474101</v>
      </c>
      <c r="E10" s="63">
        <f>L87/1000</f>
        <v>0.70798416071864323</v>
      </c>
    </row>
    <row r="11" spans="1:11" ht="15.6" thickBot="1">
      <c r="C11" s="4"/>
      <c r="D11" s="64"/>
      <c r="E11" s="232"/>
    </row>
    <row r="12" spans="1:11" ht="15.6" thickBot="1">
      <c r="C12" s="3" t="s">
        <v>49</v>
      </c>
      <c r="D12" s="62">
        <f>SUMPRODUCT(D89:K89,RPI!$E$2:$L$2)/1000</f>
        <v>0.28922566338576178</v>
      </c>
      <c r="E12" s="63">
        <f>L89/1000</f>
        <v>0.23082055237155213</v>
      </c>
    </row>
    <row r="13" spans="1:11" ht="15.6" thickBot="1">
      <c r="C13" s="4" t="s">
        <v>46</v>
      </c>
      <c r="D13" s="64">
        <f>SUMPRODUCT(D90:K90,RPI!$E$2:$L$2)/1000</f>
        <v>0.79680469644730745</v>
      </c>
      <c r="E13" s="232">
        <f>L90/1000</f>
        <v>0.62900752334068022</v>
      </c>
    </row>
    <row r="14" spans="1:11" ht="15.6" thickBot="1">
      <c r="C14" s="3" t="s">
        <v>47</v>
      </c>
      <c r="D14" s="62">
        <v>0</v>
      </c>
      <c r="E14" s="63">
        <v>0</v>
      </c>
    </row>
    <row r="15" spans="1:11" ht="16.2" thickBot="1">
      <c r="C15" s="5" t="s">
        <v>50</v>
      </c>
      <c r="D15" s="67">
        <f>SUM(D12:D14)</f>
        <v>1.0860303598330692</v>
      </c>
      <c r="E15" s="233">
        <f>SUM(E12:E14)</f>
        <v>0.8598280757122323</v>
      </c>
    </row>
    <row r="16" spans="1:11" ht="15.6" thickBot="1">
      <c r="C16" s="3"/>
      <c r="D16" s="62"/>
      <c r="E16" s="63"/>
    </row>
    <row r="17" spans="1:12" ht="16.2" thickBot="1">
      <c r="C17" s="5" t="s">
        <v>153</v>
      </c>
      <c r="D17" s="67">
        <f>D9+D15</f>
        <v>15.213182758209472</v>
      </c>
      <c r="E17" s="233">
        <f>E9+E15</f>
        <v>12.151015509590746</v>
      </c>
    </row>
    <row r="18" spans="1:12" ht="15.6" thickBot="1">
      <c r="C18" s="3"/>
      <c r="D18" s="62"/>
      <c r="E18" s="63"/>
    </row>
    <row r="19" spans="1:12" ht="16.2" thickBot="1">
      <c r="C19" s="5" t="s">
        <v>53</v>
      </c>
      <c r="D19" s="67">
        <f>E19*RPI!E4</f>
        <v>10.190343073497942</v>
      </c>
      <c r="E19" s="233">
        <f>D95/1000</f>
        <v>8.8650145032674477</v>
      </c>
    </row>
    <row r="20" spans="1:12" ht="16.2" thickBot="1">
      <c r="C20" s="6" t="s">
        <v>54</v>
      </c>
      <c r="D20" s="65">
        <f>E20*RPI!L3</f>
        <v>18.303274980353958</v>
      </c>
      <c r="E20" s="66">
        <f>K98/1000</f>
        <v>13.055327707749989</v>
      </c>
    </row>
    <row r="23" spans="1:12" ht="13.8" thickBot="1">
      <c r="A23" s="38" t="s">
        <v>360</v>
      </c>
    </row>
    <row r="24" spans="1:12" ht="13.8" thickBot="1">
      <c r="C24" s="14" t="s">
        <v>58</v>
      </c>
      <c r="D24" s="15" t="s">
        <v>59</v>
      </c>
      <c r="E24" s="15" t="s">
        <v>60</v>
      </c>
      <c r="F24" s="15" t="s">
        <v>61</v>
      </c>
      <c r="G24" s="15" t="s">
        <v>62</v>
      </c>
      <c r="H24" s="15" t="s">
        <v>63</v>
      </c>
      <c r="I24" s="15" t="s">
        <v>64</v>
      </c>
      <c r="J24" s="15" t="s">
        <v>65</v>
      </c>
      <c r="K24" s="15" t="s">
        <v>66</v>
      </c>
      <c r="L24" s="15" t="s">
        <v>118</v>
      </c>
    </row>
    <row r="25" spans="1:12">
      <c r="C25" s="16"/>
      <c r="D25" s="26"/>
      <c r="E25" s="26"/>
      <c r="F25" s="26"/>
      <c r="G25" s="26"/>
      <c r="H25" s="26"/>
      <c r="I25" s="26"/>
      <c r="J25" s="26"/>
      <c r="K25" s="26"/>
      <c r="L25" s="26"/>
    </row>
    <row r="26" spans="1:12">
      <c r="A26" t="s">
        <v>338</v>
      </c>
      <c r="C26" s="17" t="s">
        <v>119</v>
      </c>
      <c r="D26" s="27">
        <f>'ET workings base'!D15+'ET workings base'!D16+'ET workings base'!D20</f>
        <v>1390.4952308352754</v>
      </c>
      <c r="E26" s="27">
        <f>'ET workings base'!E15+'ET workings base'!E16+'ET workings base'!E20</f>
        <v>1528.8674895584477</v>
      </c>
      <c r="F26" s="27">
        <f>'ET workings base'!F15+'ET workings base'!F16+'ET workings base'!F20</f>
        <v>1447.2834725272048</v>
      </c>
      <c r="G26" s="27">
        <f>'ET workings base'!G15+'ET workings base'!G16+'ET workings base'!G20</f>
        <v>1365.8631230980088</v>
      </c>
      <c r="H26" s="27">
        <f>'ET workings base'!H15+'ET workings base'!H16+'ET workings base'!H20</f>
        <v>1141.9096981529601</v>
      </c>
      <c r="I26" s="27">
        <f>'ET workings base'!I15+'ET workings base'!I16+'ET workings base'!I20</f>
        <v>1088.8097022275799</v>
      </c>
      <c r="J26" s="27">
        <f>'ET workings base'!J15+'ET workings base'!J16+'ET workings base'!J20</f>
        <v>938.07112341239144</v>
      </c>
      <c r="K26" s="27">
        <f>'ET workings base'!K15+'ET workings base'!K16+'ET workings base'!K20</f>
        <v>766.03445815756584</v>
      </c>
      <c r="L26" s="28">
        <f>SUM(D26:K26)</f>
        <v>9667.3342979694353</v>
      </c>
    </row>
    <row r="27" spans="1:12">
      <c r="C27" s="18" t="s">
        <v>386</v>
      </c>
      <c r="D27" s="29">
        <f>'ET workings base'!D21+'ET workings base'!D17</f>
        <v>192.21282629439594</v>
      </c>
      <c r="E27" s="29">
        <f>'ET workings base'!E21+'ET workings base'!E17</f>
        <v>196.41204072355288</v>
      </c>
      <c r="F27" s="29">
        <f>'ET workings base'!F21+'ET workings base'!F17</f>
        <v>203.04710659109347</v>
      </c>
      <c r="G27" s="29">
        <f>'ET workings base'!G21+'ET workings base'!G17</f>
        <v>204.35171680440774</v>
      </c>
      <c r="H27" s="29">
        <f>'ET workings base'!H21+'ET workings base'!H17</f>
        <v>205.72203973741003</v>
      </c>
      <c r="I27" s="29">
        <f>'ET workings base'!I21+'ET workings base'!I17</f>
        <v>206.0644404839947</v>
      </c>
      <c r="J27" s="29">
        <f>'ET workings base'!J21+'ET workings base'!J17</f>
        <v>207.83890997781467</v>
      </c>
      <c r="K27" s="29">
        <f>'ET workings base'!K21+'ET workings base'!K17</f>
        <v>208.20405529640865</v>
      </c>
      <c r="L27" s="30">
        <f t="shared" ref="L27:L38" si="1">SUM(D27:K27)</f>
        <v>1623.853135909078</v>
      </c>
    </row>
    <row r="28" spans="1:12">
      <c r="C28" s="19" t="s">
        <v>71</v>
      </c>
      <c r="D28" s="31">
        <f>SUM(D26:D27)</f>
        <v>1582.7080571296713</v>
      </c>
      <c r="E28" s="31">
        <f t="shared" ref="E28:K28" si="2">SUM(E26:E27)</f>
        <v>1725.2795302820005</v>
      </c>
      <c r="F28" s="31">
        <f t="shared" si="2"/>
        <v>1650.3305791182984</v>
      </c>
      <c r="G28" s="31">
        <f t="shared" si="2"/>
        <v>1570.2148399024165</v>
      </c>
      <c r="H28" s="31">
        <f t="shared" si="2"/>
        <v>1347.6317378903702</v>
      </c>
      <c r="I28" s="31">
        <f t="shared" si="2"/>
        <v>1294.8741427115747</v>
      </c>
      <c r="J28" s="31">
        <f t="shared" si="2"/>
        <v>1145.9100333902061</v>
      </c>
      <c r="K28" s="31">
        <f t="shared" si="2"/>
        <v>974.23851345397452</v>
      </c>
      <c r="L28" s="28">
        <f t="shared" si="1"/>
        <v>11291.187433878511</v>
      </c>
    </row>
    <row r="29" spans="1:12">
      <c r="A29" t="s">
        <v>346</v>
      </c>
      <c r="C29" s="17" t="s">
        <v>121</v>
      </c>
      <c r="D29" s="27">
        <f>'ET workings base'!D38+'ET workings base'!D39+'ET workings base'!D43</f>
        <v>1390.4952308352754</v>
      </c>
      <c r="E29" s="27">
        <f>'ET workings base'!E38+'ET workings base'!E39+'ET workings base'!E43</f>
        <v>1528.8674895584477</v>
      </c>
      <c r="F29" s="27">
        <f>'ET workings base'!F38+'ET workings base'!F39+'ET workings base'!F43</f>
        <v>1447.2834725272048</v>
      </c>
      <c r="G29" s="27">
        <f>'ET workings base'!G38+'ET workings base'!G39+'ET workings base'!G43</f>
        <v>1365.8631230980088</v>
      </c>
      <c r="H29" s="27">
        <f>'ET workings base'!H38+'ET workings base'!H39+'ET workings base'!H43</f>
        <v>1141.9096981529601</v>
      </c>
      <c r="I29" s="27">
        <f>'ET workings base'!I38+'ET workings base'!I39+'ET workings base'!I43</f>
        <v>1088.8097022275799</v>
      </c>
      <c r="J29" s="27">
        <f>'ET workings base'!J38+'ET workings base'!J39+'ET workings base'!J43</f>
        <v>938.07112341239156</v>
      </c>
      <c r="K29" s="27">
        <f>'ET workings base'!K38+'ET workings base'!K39+'ET workings base'!K43</f>
        <v>766.03445815756584</v>
      </c>
      <c r="L29" s="28">
        <f t="shared" si="1"/>
        <v>9667.3342979694353</v>
      </c>
    </row>
    <row r="30" spans="1:12">
      <c r="C30" s="18" t="s">
        <v>387</v>
      </c>
      <c r="D30" s="29">
        <f>'ET workings base'!D40+'ET workings base'!D44</f>
        <v>192.21282629439594</v>
      </c>
      <c r="E30" s="29">
        <f>'ET workings base'!E40+'ET workings base'!E44</f>
        <v>196.41204072355288</v>
      </c>
      <c r="F30" s="29">
        <f>'ET workings base'!F40+'ET workings base'!F44</f>
        <v>203.04710659109347</v>
      </c>
      <c r="G30" s="29">
        <f>'ET workings base'!G40+'ET workings base'!G44</f>
        <v>204.35171680440774</v>
      </c>
      <c r="H30" s="29">
        <f>'ET workings base'!H40+'ET workings base'!H44</f>
        <v>205.72203973741003</v>
      </c>
      <c r="I30" s="29">
        <f>'ET workings base'!I40+'ET workings base'!I44</f>
        <v>206.0644404839947</v>
      </c>
      <c r="J30" s="29">
        <f>'ET workings base'!J40+'ET workings base'!J44</f>
        <v>207.83890997781467</v>
      </c>
      <c r="K30" s="29">
        <f>'ET workings base'!K40+'ET workings base'!K44</f>
        <v>208.20405529640865</v>
      </c>
      <c r="L30" s="30">
        <f t="shared" si="1"/>
        <v>1623.853135909078</v>
      </c>
    </row>
    <row r="31" spans="1:12">
      <c r="C31" s="19" t="s">
        <v>77</v>
      </c>
      <c r="D31" s="31">
        <f>SUM(D29:D30)</f>
        <v>1582.7080571296713</v>
      </c>
      <c r="E31" s="31">
        <f t="shared" ref="E31:K31" si="3">SUM(E29:E30)</f>
        <v>1725.2795302820005</v>
      </c>
      <c r="F31" s="31">
        <f t="shared" si="3"/>
        <v>1650.3305791182984</v>
      </c>
      <c r="G31" s="31">
        <f t="shared" si="3"/>
        <v>1570.2148399024165</v>
      </c>
      <c r="H31" s="31">
        <f t="shared" si="3"/>
        <v>1347.6317378903702</v>
      </c>
      <c r="I31" s="31">
        <f t="shared" si="3"/>
        <v>1294.8741427115747</v>
      </c>
      <c r="J31" s="31">
        <f t="shared" si="3"/>
        <v>1145.9100333902063</v>
      </c>
      <c r="K31" s="31">
        <f t="shared" si="3"/>
        <v>974.23851345397452</v>
      </c>
      <c r="L31" s="28">
        <f t="shared" si="1"/>
        <v>11291.187433878511</v>
      </c>
    </row>
    <row r="32" spans="1:12">
      <c r="A32" t="s">
        <v>233</v>
      </c>
      <c r="C32" s="17" t="s">
        <v>388</v>
      </c>
      <c r="D32" s="27">
        <f>D26-(D26-D29)*$K$2</f>
        <v>1390.4952308352754</v>
      </c>
      <c r="E32" s="27">
        <f t="shared" ref="E32:K32" si="4">E26-(E26-E29)*$K$2</f>
        <v>1528.8674895584477</v>
      </c>
      <c r="F32" s="27">
        <f t="shared" si="4"/>
        <v>1447.2834725272048</v>
      </c>
      <c r="G32" s="27">
        <f t="shared" si="4"/>
        <v>1365.8631230980088</v>
      </c>
      <c r="H32" s="27">
        <f t="shared" si="4"/>
        <v>1141.9096981529601</v>
      </c>
      <c r="I32" s="27">
        <f t="shared" si="4"/>
        <v>1088.8097022275799</v>
      </c>
      <c r="J32" s="27">
        <f t="shared" si="4"/>
        <v>938.07112341239156</v>
      </c>
      <c r="K32" s="27">
        <f t="shared" si="4"/>
        <v>766.03445815756584</v>
      </c>
      <c r="L32" s="28">
        <f t="shared" si="1"/>
        <v>9667.3342979694353</v>
      </c>
    </row>
    <row r="33" spans="3:14">
      <c r="C33" s="18" t="s">
        <v>389</v>
      </c>
      <c r="D33" s="29">
        <f>D27-(D27-D30)*$K$2</f>
        <v>192.21282629439594</v>
      </c>
      <c r="E33" s="29">
        <f t="shared" ref="E33:K33" si="5">E27-(E27-E30)*$K$2</f>
        <v>196.41204072355288</v>
      </c>
      <c r="F33" s="29">
        <f t="shared" si="5"/>
        <v>203.04710659109347</v>
      </c>
      <c r="G33" s="29">
        <f t="shared" si="5"/>
        <v>204.35171680440774</v>
      </c>
      <c r="H33" s="29">
        <f t="shared" si="5"/>
        <v>205.72203973741003</v>
      </c>
      <c r="I33" s="29">
        <f t="shared" si="5"/>
        <v>206.0644404839947</v>
      </c>
      <c r="J33" s="29">
        <f t="shared" si="5"/>
        <v>207.83890997781467</v>
      </c>
      <c r="K33" s="29">
        <f t="shared" si="5"/>
        <v>208.20405529640865</v>
      </c>
      <c r="L33" s="30">
        <f t="shared" si="1"/>
        <v>1623.853135909078</v>
      </c>
    </row>
    <row r="34" spans="3:14">
      <c r="C34" s="19" t="s">
        <v>78</v>
      </c>
      <c r="D34" s="31">
        <f>SUM(D32:D33)</f>
        <v>1582.7080571296713</v>
      </c>
      <c r="E34" s="31">
        <f t="shared" ref="E34:K34" si="6">SUM(E32:E33)</f>
        <v>1725.2795302820005</v>
      </c>
      <c r="F34" s="31">
        <f t="shared" si="6"/>
        <v>1650.3305791182984</v>
      </c>
      <c r="G34" s="31">
        <f t="shared" si="6"/>
        <v>1570.2148399024165</v>
      </c>
      <c r="H34" s="31">
        <f t="shared" si="6"/>
        <v>1347.6317378903702</v>
      </c>
      <c r="I34" s="31">
        <f t="shared" si="6"/>
        <v>1294.8741427115747</v>
      </c>
      <c r="J34" s="31">
        <f t="shared" si="6"/>
        <v>1145.9100333902063</v>
      </c>
      <c r="K34" s="31">
        <f t="shared" si="6"/>
        <v>974.23851345397452</v>
      </c>
      <c r="L34" s="28">
        <f t="shared" si="1"/>
        <v>11291.187433878511</v>
      </c>
    </row>
    <row r="35" spans="3:14">
      <c r="C35" s="20"/>
      <c r="D35" s="32"/>
      <c r="E35" s="32"/>
      <c r="F35" s="32"/>
      <c r="G35" s="32"/>
      <c r="H35" s="32"/>
      <c r="I35" s="32"/>
      <c r="J35" s="32"/>
      <c r="K35" s="32"/>
      <c r="L35" s="33"/>
    </row>
    <row r="36" spans="3:14">
      <c r="C36" s="17" t="s">
        <v>79</v>
      </c>
      <c r="D36" s="27">
        <f>'ET workings base'!D55</f>
        <v>237.40620856945091</v>
      </c>
      <c r="E36" s="27">
        <f>'ET workings base'!E55</f>
        <v>258.79192954230029</v>
      </c>
      <c r="F36" s="27">
        <f>'ET workings base'!F55</f>
        <v>247.54958686774498</v>
      </c>
      <c r="G36" s="27">
        <f>'ET workings base'!G55</f>
        <v>235.53222598536234</v>
      </c>
      <c r="H36" s="27">
        <f>'ET workings base'!H55</f>
        <v>202.1447606835556</v>
      </c>
      <c r="I36" s="27">
        <f>'ET workings base'!I55</f>
        <v>194.23112140673624</v>
      </c>
      <c r="J36" s="27">
        <f>'ET workings base'!J55</f>
        <v>171.88650500853097</v>
      </c>
      <c r="K36" s="27">
        <f>'ET workings base'!K55</f>
        <v>146.13577701809621</v>
      </c>
      <c r="L36" s="28">
        <f t="shared" si="1"/>
        <v>1693.6781150817776</v>
      </c>
    </row>
    <row r="37" spans="3:14">
      <c r="C37" s="18" t="s">
        <v>80</v>
      </c>
      <c r="D37" s="29">
        <f>'ET workings base'!D54</f>
        <v>1345.3018485602204</v>
      </c>
      <c r="E37" s="29">
        <f>'ET workings base'!E54</f>
        <v>1466.4876007397002</v>
      </c>
      <c r="F37" s="29">
        <f>'ET workings base'!F54</f>
        <v>1402.7809922505535</v>
      </c>
      <c r="G37" s="29">
        <f>'ET workings base'!G54</f>
        <v>1334.6826139170541</v>
      </c>
      <c r="H37" s="29">
        <f>'ET workings base'!H54</f>
        <v>1145.4869772068148</v>
      </c>
      <c r="I37" s="29">
        <f>'ET workings base'!I54</f>
        <v>1100.6430213048384</v>
      </c>
      <c r="J37" s="29">
        <f>'ET workings base'!J54</f>
        <v>974.02352838167531</v>
      </c>
      <c r="K37" s="29">
        <f>'ET workings base'!K54</f>
        <v>828.10273643587834</v>
      </c>
      <c r="L37" s="30">
        <f t="shared" si="1"/>
        <v>9597.5093187967341</v>
      </c>
    </row>
    <row r="38" spans="3:14" ht="13.8" thickBot="1">
      <c r="C38" s="21" t="s">
        <v>390</v>
      </c>
      <c r="D38" s="34">
        <f t="shared" ref="D38:K38" si="7">SUM(D36:D37)</f>
        <v>1582.7080571296713</v>
      </c>
      <c r="E38" s="34">
        <f t="shared" si="7"/>
        <v>1725.2795302820005</v>
      </c>
      <c r="F38" s="34">
        <f t="shared" si="7"/>
        <v>1650.3305791182984</v>
      </c>
      <c r="G38" s="34">
        <f t="shared" si="7"/>
        <v>1570.2148399024165</v>
      </c>
      <c r="H38" s="34">
        <f t="shared" si="7"/>
        <v>1347.6317378903705</v>
      </c>
      <c r="I38" s="34">
        <f t="shared" si="7"/>
        <v>1294.8741427115747</v>
      </c>
      <c r="J38" s="34">
        <f t="shared" si="7"/>
        <v>1145.9100333902063</v>
      </c>
      <c r="K38" s="34">
        <f t="shared" si="7"/>
        <v>974.23851345397452</v>
      </c>
      <c r="L38" s="35">
        <f t="shared" si="1"/>
        <v>11291.187433878511</v>
      </c>
    </row>
    <row r="39" spans="3:14">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'ET workings base'!D130</f>
        <v>8790.8537557518612</v>
      </c>
      <c r="E42" s="36">
        <f>D46</f>
        <v>9567.2966084569598</v>
      </c>
      <c r="F42" s="36">
        <f t="shared" ref="F42:K42" si="9">E46</f>
        <v>10425.709375487173</v>
      </c>
      <c r="G42" s="36">
        <f t="shared" si="9"/>
        <v>11177.56065607715</v>
      </c>
      <c r="H42" s="36">
        <f t="shared" si="9"/>
        <v>11827.350682729722</v>
      </c>
      <c r="I42" s="36">
        <f t="shared" si="9"/>
        <v>12259.617554227723</v>
      </c>
      <c r="J42" s="36">
        <f t="shared" si="9"/>
        <v>12626.157132660295</v>
      </c>
      <c r="K42" s="36">
        <f t="shared" si="9"/>
        <v>12857.201859613153</v>
      </c>
    </row>
    <row r="43" spans="3:14">
      <c r="C43" s="17" t="s">
        <v>86</v>
      </c>
      <c r="D43" s="27">
        <f>'ET workings base'!D131</f>
        <v>1345.3018485602204</v>
      </c>
      <c r="E43" s="27">
        <f>'ET workings base'!E131</f>
        <v>1466.4876007397002</v>
      </c>
      <c r="F43" s="27">
        <f>'ET workings base'!F131</f>
        <v>1402.7809922505535</v>
      </c>
      <c r="G43" s="27">
        <f>'ET workings base'!G131</f>
        <v>1334.6826139170541</v>
      </c>
      <c r="H43" s="27">
        <f>'ET workings base'!H131</f>
        <v>1145.4869772068148</v>
      </c>
      <c r="I43" s="27">
        <f>'ET workings base'!I131</f>
        <v>1100.6430213048384</v>
      </c>
      <c r="J43" s="27">
        <f>'ET workings base'!J131</f>
        <v>974.02352838167531</v>
      </c>
      <c r="K43" s="27">
        <f>'ET workings base'!K131</f>
        <v>828.10273643587834</v>
      </c>
    </row>
    <row r="44" spans="3:14">
      <c r="C44" s="18" t="s">
        <v>92</v>
      </c>
      <c r="D44" s="29">
        <f>'ET workings base'!D165</f>
        <v>-568.85899585512277</v>
      </c>
      <c r="E44" s="29">
        <f>'ET workings base'!E165</f>
        <v>-549.89961863661063</v>
      </c>
      <c r="F44" s="29">
        <f>'ET workings base'!F165</f>
        <v>-536.88830227380822</v>
      </c>
      <c r="G44" s="29">
        <f>'ET workings base'!G165</f>
        <v>-523.0969313330138</v>
      </c>
      <c r="H44" s="29">
        <f>'ET workings base'!H165</f>
        <v>-510.35729242605214</v>
      </c>
      <c r="I44" s="29">
        <f>'ET workings base'!I165</f>
        <v>-499.0866091766818</v>
      </c>
      <c r="J44" s="29">
        <f>'ET workings base'!J165</f>
        <v>-479.55827686084962</v>
      </c>
      <c r="K44" s="29">
        <f>'ET workings base'!K165</f>
        <v>-462.21006048952029</v>
      </c>
    </row>
    <row r="45" spans="3:14">
      <c r="C45" s="17" t="s">
        <v>93</v>
      </c>
      <c r="D45" s="27">
        <f>'ET workings base'!D166</f>
        <v>0</v>
      </c>
      <c r="E45" s="27">
        <f>'ET workings base'!E166</f>
        <v>-58.175215072874394</v>
      </c>
      <c r="F45" s="27">
        <f>'ET workings base'!F166</f>
        <v>-114.04140938676773</v>
      </c>
      <c r="G45" s="27">
        <f>'ET workings base'!G166</f>
        <v>-161.79565593146742</v>
      </c>
      <c r="H45" s="27">
        <f>'ET workings base'!H166</f>
        <v>-202.86281328276141</v>
      </c>
      <c r="I45" s="27">
        <f>'ET workings base'!I166</f>
        <v>-235.0168336955843</v>
      </c>
      <c r="J45" s="27">
        <f>'ET workings base'!J166</f>
        <v>-263.42052456796722</v>
      </c>
      <c r="K45" s="27">
        <f>'ET workings base'!K166</f>
        <v>-286.68078793230575</v>
      </c>
      <c r="N45" s="132" t="s">
        <v>301</v>
      </c>
    </row>
    <row r="46" spans="3:14" ht="13.8" thickBot="1">
      <c r="C46" s="25" t="s">
        <v>94</v>
      </c>
      <c r="D46" s="37">
        <f>SUM(D42:D45)</f>
        <v>9567.2966084569598</v>
      </c>
      <c r="E46" s="37">
        <f t="shared" ref="E46:K46" si="10">SUM(E42:E45)</f>
        <v>10425.709375487173</v>
      </c>
      <c r="F46" s="37">
        <f t="shared" si="10"/>
        <v>11177.56065607715</v>
      </c>
      <c r="G46" s="37">
        <f t="shared" si="10"/>
        <v>11827.350682729722</v>
      </c>
      <c r="H46" s="37">
        <f t="shared" si="10"/>
        <v>12259.617554227723</v>
      </c>
      <c r="I46" s="37">
        <f t="shared" si="10"/>
        <v>12626.157132660295</v>
      </c>
      <c r="J46" s="37">
        <f t="shared" si="10"/>
        <v>12857.201859613153</v>
      </c>
      <c r="K46" s="37">
        <f t="shared" si="10"/>
        <v>12936.413747627204</v>
      </c>
      <c r="N46" s="133">
        <f>(K46/D46)^(1/7)-1</f>
        <v>4.4041611721884699E-2</v>
      </c>
    </row>
    <row r="47" spans="3:14">
      <c r="D47" s="53">
        <f>D46-'ET workings base'!D133</f>
        <v>0</v>
      </c>
      <c r="E47" s="53">
        <f>E46-'ET workings base'!E133</f>
        <v>0</v>
      </c>
      <c r="F47" s="53">
        <f>F46-'ET workings base'!F133</f>
        <v>0</v>
      </c>
      <c r="G47" s="53">
        <f>G46-'ET workings base'!G133</f>
        <v>0</v>
      </c>
      <c r="H47" s="53">
        <f>H46-'ET workings base'!H133</f>
        <v>0</v>
      </c>
      <c r="I47" s="53">
        <f>I46-'ET workings base'!I133</f>
        <v>0</v>
      </c>
      <c r="J47" s="53">
        <f>J46-'ET workings base'!J133</f>
        <v>0</v>
      </c>
      <c r="K47" s="53">
        <f>K46-'ET workings base'!K133</f>
        <v>0</v>
      </c>
    </row>
    <row r="49" spans="1:30" ht="13.8" thickBot="1">
      <c r="A49" s="38" t="s">
        <v>363</v>
      </c>
    </row>
    <row r="50" spans="1:30" ht="13.8" thickBot="1">
      <c r="C50" s="7" t="s">
        <v>58</v>
      </c>
      <c r="D50" s="8" t="s">
        <v>59</v>
      </c>
      <c r="E50" s="8" t="s">
        <v>60</v>
      </c>
      <c r="F50" s="8" t="s">
        <v>61</v>
      </c>
      <c r="G50" s="8" t="s">
        <v>62</v>
      </c>
      <c r="H50" s="8" t="s">
        <v>63</v>
      </c>
      <c r="I50" s="8" t="s">
        <v>64</v>
      </c>
      <c r="J50" s="8" t="s">
        <v>65</v>
      </c>
      <c r="K50" s="8" t="s">
        <v>66</v>
      </c>
      <c r="P50" s="204"/>
    </row>
    <row r="51" spans="1:30">
      <c r="C51" s="22" t="s">
        <v>91</v>
      </c>
      <c r="D51" s="41">
        <f>'ET workings base'!D58</f>
        <v>8691.0913006079008</v>
      </c>
      <c r="E51" s="41">
        <f>D55</f>
        <v>9472.6460836408442</v>
      </c>
      <c r="F51" s="41">
        <f t="shared" ref="F51:K51" si="11">E55</f>
        <v>10337.189798842121</v>
      </c>
      <c r="G51" s="41">
        <f t="shared" si="11"/>
        <v>11095.172027603159</v>
      </c>
      <c r="H51" s="41">
        <f t="shared" si="11"/>
        <v>11827.350682729724</v>
      </c>
      <c r="I51" s="41">
        <f t="shared" si="11"/>
        <v>12259.617554227725</v>
      </c>
      <c r="J51" s="41">
        <f t="shared" si="11"/>
        <v>12626.157132660299</v>
      </c>
      <c r="K51" s="41">
        <f t="shared" si="11"/>
        <v>12857.201859613155</v>
      </c>
      <c r="P51" s="42"/>
    </row>
    <row r="52" spans="1:30">
      <c r="C52" s="10" t="s">
        <v>85</v>
      </c>
      <c r="D52" s="42">
        <f>'ET workings base'!D59</f>
        <v>0</v>
      </c>
      <c r="E52" s="42">
        <f>'ET workings base'!E59</f>
        <v>0</v>
      </c>
      <c r="F52" s="42">
        <f>'ET workings base'!F59</f>
        <v>0</v>
      </c>
      <c r="G52" s="42">
        <f>'ET workings base'!G59</f>
        <v>82.388628473992952</v>
      </c>
      <c r="H52" s="42">
        <f>'ET workings base'!H59</f>
        <v>0</v>
      </c>
      <c r="I52" s="42">
        <f>'ET workings base'!I59</f>
        <v>0</v>
      </c>
      <c r="J52" s="42">
        <f>'ET workings base'!J59</f>
        <v>0</v>
      </c>
      <c r="K52" s="42">
        <f>'ET workings base'!K59</f>
        <v>0</v>
      </c>
      <c r="P52" s="42"/>
    </row>
    <row r="53" spans="1:30">
      <c r="C53" s="11" t="s">
        <v>86</v>
      </c>
      <c r="D53" s="43">
        <f>'ET workings base'!D61</f>
        <v>1345.3018485602204</v>
      </c>
      <c r="E53" s="43">
        <f>'ET workings base'!E61</f>
        <v>1466.4876007397002</v>
      </c>
      <c r="F53" s="43">
        <f>'ET workings base'!F61</f>
        <v>1402.7809922505535</v>
      </c>
      <c r="G53" s="43">
        <f>'ET workings base'!G61</f>
        <v>1334.6826139170541</v>
      </c>
      <c r="H53" s="43">
        <f>'ET workings base'!H61</f>
        <v>1145.4869772068148</v>
      </c>
      <c r="I53" s="43">
        <f>'ET workings base'!I61</f>
        <v>1100.6430213048384</v>
      </c>
      <c r="J53" s="43">
        <f>'ET workings base'!J61</f>
        <v>974.02352838167531</v>
      </c>
      <c r="K53" s="43">
        <f>'ET workings base'!K61</f>
        <v>828.10273643587834</v>
      </c>
      <c r="P53" s="42"/>
    </row>
    <row r="54" spans="1:30">
      <c r="C54" s="10" t="s">
        <v>87</v>
      </c>
      <c r="D54" s="42">
        <f>'ET workings base'!D62</f>
        <v>-563.74706552727753</v>
      </c>
      <c r="E54" s="42">
        <f>'ET workings base'!E62</f>
        <v>-601.9438855384235</v>
      </c>
      <c r="F54" s="42">
        <f>'ET workings base'!F62</f>
        <v>-644.79876348951439</v>
      </c>
      <c r="G54" s="42">
        <f>'ET workings base'!G62</f>
        <v>-684.89258726448122</v>
      </c>
      <c r="H54" s="42">
        <f>'ET workings base'!H62</f>
        <v>-713.22010570881355</v>
      </c>
      <c r="I54" s="42">
        <f>'ET workings base'!I62</f>
        <v>-734.1034428722661</v>
      </c>
      <c r="J54" s="42">
        <f>'ET workings base'!J62</f>
        <v>-742.97880142881684</v>
      </c>
      <c r="K54" s="42">
        <f>'ET workings base'!K62</f>
        <v>-748.89084842182604</v>
      </c>
      <c r="P54" s="42"/>
    </row>
    <row r="55" spans="1:30">
      <c r="C55" s="39" t="s">
        <v>94</v>
      </c>
      <c r="D55" s="45">
        <f>'ET workings base'!D63</f>
        <v>9472.6460836408442</v>
      </c>
      <c r="E55" s="45">
        <f>'ET workings base'!E63</f>
        <v>10337.189798842121</v>
      </c>
      <c r="F55" s="45">
        <f>'ET workings base'!F63</f>
        <v>11095.172027603159</v>
      </c>
      <c r="G55" s="45">
        <f>'ET workings base'!G63</f>
        <v>11827.350682729724</v>
      </c>
      <c r="H55" s="45">
        <f>'ET workings base'!H63</f>
        <v>12259.617554227725</v>
      </c>
      <c r="I55" s="45">
        <f>'ET workings base'!I63</f>
        <v>12626.157132660299</v>
      </c>
      <c r="J55" s="45">
        <f>'ET workings base'!J63</f>
        <v>12857.201859613155</v>
      </c>
      <c r="K55" s="45">
        <f>'ET workings base'!K63</f>
        <v>12936.413747627208</v>
      </c>
      <c r="P55" s="50"/>
    </row>
    <row r="56" spans="1:30" ht="13.8" thickBot="1">
      <c r="C56" s="40" t="s">
        <v>163</v>
      </c>
      <c r="D56" s="46">
        <f>'ET workings base'!D128-'ET workings base'!D127</f>
        <v>94.650524816115961</v>
      </c>
      <c r="E56" s="46">
        <f>'ET workings base'!E128-'ET workings base'!E127</f>
        <v>88.519576645054457</v>
      </c>
      <c r="F56" s="46">
        <f>'ET workings base'!F128-'ET workings base'!F127</f>
        <v>82.388628473992952</v>
      </c>
      <c r="G56" s="46">
        <f>'ET workings base'!G128-'ET workings base'!G127</f>
        <v>0</v>
      </c>
      <c r="H56" s="46">
        <f>'ET workings base'!H128-'ET workings base'!H127</f>
        <v>0</v>
      </c>
      <c r="I56" s="46">
        <f>'ET workings base'!I128-'ET workings base'!I127</f>
        <v>0</v>
      </c>
      <c r="J56" s="46">
        <f>'ET workings base'!J128-'ET workings base'!J127</f>
        <v>0</v>
      </c>
      <c r="K56" s="46">
        <f>'ET workings base'!K128-'ET workings base'!K127</f>
        <v>0</v>
      </c>
      <c r="P56" s="42"/>
    </row>
    <row r="57" spans="1:30">
      <c r="D57" s="53">
        <f>D55-'ET workings base'!D63</f>
        <v>0</v>
      </c>
      <c r="E57" s="53">
        <f>E55-'ET workings base'!E63</f>
        <v>0</v>
      </c>
      <c r="F57" s="53">
        <f>F55-'ET workings base'!F63</f>
        <v>0</v>
      </c>
      <c r="G57" s="53">
        <f>G55-'ET workings base'!G63</f>
        <v>0</v>
      </c>
      <c r="H57" s="53">
        <f>H55-'ET workings base'!H63</f>
        <v>0</v>
      </c>
      <c r="I57" s="53">
        <f>I55-'ET workings base'!I63</f>
        <v>0</v>
      </c>
      <c r="J57" s="53">
        <f>J55-'ET workings base'!J63</f>
        <v>0</v>
      </c>
      <c r="K57" s="53">
        <f>K55-'ET workings base'!K63</f>
        <v>0</v>
      </c>
      <c r="P57" s="53"/>
    </row>
    <row r="58" spans="1:30" ht="13.8" thickBot="1">
      <c r="P58" s="207"/>
    </row>
    <row r="59" spans="1:30" ht="13.8" thickBot="1">
      <c r="C59" s="7" t="s">
        <v>58</v>
      </c>
      <c r="D59" s="8" t="s">
        <v>59</v>
      </c>
      <c r="E59" s="8" t="s">
        <v>60</v>
      </c>
      <c r="F59" s="8" t="s">
        <v>61</v>
      </c>
      <c r="G59" s="8" t="s">
        <v>62</v>
      </c>
      <c r="H59" s="8" t="s">
        <v>63</v>
      </c>
      <c r="I59" s="8" t="s">
        <v>64</v>
      </c>
      <c r="J59" s="8" t="s">
        <v>65</v>
      </c>
      <c r="K59" s="8" t="s">
        <v>66</v>
      </c>
      <c r="P59" s="204"/>
      <c r="T59" s="204"/>
      <c r="U59" s="204"/>
      <c r="V59" s="204"/>
      <c r="W59" s="204"/>
      <c r="X59" s="204"/>
      <c r="Y59" s="204"/>
      <c r="Z59" s="204"/>
      <c r="AA59" s="204"/>
      <c r="AB59" s="204"/>
    </row>
    <row r="60" spans="1:30">
      <c r="C60" s="22" t="s">
        <v>79</v>
      </c>
      <c r="D60" s="41">
        <f>'ET workings base'!D74</f>
        <v>237.40620856945091</v>
      </c>
      <c r="E60" s="41">
        <f>'ET workings base'!E74</f>
        <v>258.79192954230029</v>
      </c>
      <c r="F60" s="41">
        <f>'ET workings base'!F74</f>
        <v>247.54958686774498</v>
      </c>
      <c r="G60" s="41">
        <f>'ET workings base'!G74</f>
        <v>235.53222598536234</v>
      </c>
      <c r="H60" s="41">
        <f>'ET workings base'!H74</f>
        <v>202.1447606835556</v>
      </c>
      <c r="I60" s="41">
        <f>'ET workings base'!I74</f>
        <v>194.23112140673624</v>
      </c>
      <c r="J60" s="41">
        <f>'ET workings base'!J74</f>
        <v>171.88650500853097</v>
      </c>
      <c r="K60" s="41">
        <f>'ET workings base'!K74</f>
        <v>146.13577701809621</v>
      </c>
      <c r="L60" s="28">
        <f t="shared" ref="L60:L73" si="12">SUM(D60:K60)</f>
        <v>1693.6781150817776</v>
      </c>
      <c r="P60" s="42"/>
      <c r="S60" s="109"/>
      <c r="T60" s="42"/>
      <c r="U60" s="42"/>
      <c r="V60" s="42"/>
      <c r="W60" s="42"/>
      <c r="X60" s="42"/>
      <c r="Y60" s="42"/>
      <c r="Z60" s="42"/>
      <c r="AA60" s="42"/>
      <c r="AB60" s="50"/>
      <c r="AC60" s="109"/>
      <c r="AD60" s="109"/>
    </row>
    <row r="61" spans="1:30">
      <c r="C61" s="10" t="s">
        <v>98</v>
      </c>
      <c r="D61" s="42">
        <f>'ET workings base'!D75</f>
        <v>94.24723304227993</v>
      </c>
      <c r="E61" s="42">
        <f>'ET workings base'!E75</f>
        <v>87.678224204681584</v>
      </c>
      <c r="F61" s="42">
        <f>'ET workings base'!F75</f>
        <v>87.676243763178761</v>
      </c>
      <c r="G61" s="42">
        <f>'ET workings base'!G75</f>
        <v>87.677481779017953</v>
      </c>
      <c r="H61" s="42">
        <f>'ET workings base'!H75</f>
        <v>87.676244486345595</v>
      </c>
      <c r="I61" s="42">
        <f>'ET workings base'!I75</f>
        <v>87.676244488148086</v>
      </c>
      <c r="J61" s="42">
        <f>'ET workings base'!J75</f>
        <v>87.676244492723825</v>
      </c>
      <c r="K61" s="42">
        <f>'ET workings base'!K75</f>
        <v>87.676244462267519</v>
      </c>
      <c r="L61" s="28">
        <f t="shared" si="12"/>
        <v>707.98416071864324</v>
      </c>
      <c r="P61" s="42"/>
      <c r="S61" s="109"/>
      <c r="T61" s="42"/>
      <c r="U61" s="42"/>
      <c r="V61" s="42"/>
      <c r="W61" s="42"/>
      <c r="X61" s="42"/>
      <c r="Y61" s="42"/>
      <c r="Z61" s="42"/>
      <c r="AA61" s="42"/>
      <c r="AB61" s="50"/>
      <c r="AC61" s="109"/>
      <c r="AD61" s="109"/>
    </row>
    <row r="62" spans="1:30">
      <c r="C62" s="11" t="s">
        <v>99</v>
      </c>
      <c r="D62" s="43">
        <f>'ET workings base'!D140</f>
        <v>32.057225303006618</v>
      </c>
      <c r="E62" s="43">
        <f>'ET workings base'!E140</f>
        <v>31.931339726498404</v>
      </c>
      <c r="F62" s="43">
        <f>'ET workings base'!F140</f>
        <v>32.008827838547532</v>
      </c>
      <c r="G62" s="43">
        <f>'ET workings base'!G140</f>
        <v>32.289843209457139</v>
      </c>
      <c r="H62" s="43">
        <f>'ET workings base'!H140</f>
        <v>32.174546400050545</v>
      </c>
      <c r="I62" s="43">
        <f>'ET workings base'!I140</f>
        <v>32.263105279879774</v>
      </c>
      <c r="J62" s="43">
        <f>'ET workings base'!J140</f>
        <v>32.555695359918822</v>
      </c>
      <c r="K62" s="43">
        <f>'ET workings base'!K140</f>
        <v>32.452500140401249</v>
      </c>
      <c r="L62" s="28">
        <f t="shared" si="12"/>
        <v>257.73308325776009</v>
      </c>
      <c r="P62" s="42"/>
      <c r="S62" s="109"/>
      <c r="T62" s="42"/>
      <c r="U62" s="42"/>
      <c r="V62" s="42"/>
      <c r="W62" s="42"/>
      <c r="X62" s="42"/>
      <c r="Y62" s="42"/>
      <c r="Z62" s="42"/>
      <c r="AA62" s="42"/>
      <c r="AB62" s="50"/>
      <c r="AC62" s="109"/>
      <c r="AD62" s="109"/>
    </row>
    <row r="63" spans="1:30">
      <c r="C63" s="10" t="s">
        <v>100</v>
      </c>
      <c r="D63" s="42">
        <f>'ET workings base'!D78</f>
        <v>0</v>
      </c>
      <c r="E63" s="42">
        <f>'ET workings base'!E78</f>
        <v>16.036529091209541</v>
      </c>
      <c r="F63" s="42">
        <f>'ET workings base'!F78</f>
        <v>0</v>
      </c>
      <c r="G63" s="42">
        <f>'ET workings base'!G78</f>
        <v>22.217944632296209</v>
      </c>
      <c r="H63" s="42">
        <f>'ET workings base'!H78</f>
        <v>0</v>
      </c>
      <c r="I63" s="42">
        <f>'ET workings base'!I78</f>
        <v>0</v>
      </c>
      <c r="J63" s="42">
        <f>'ET workings base'!J78</f>
        <v>0</v>
      </c>
      <c r="K63" s="42">
        <f>'ET workings base'!K78</f>
        <v>0</v>
      </c>
      <c r="L63" s="28">
        <f t="shared" si="12"/>
        <v>38.254473723505754</v>
      </c>
      <c r="P63" s="42"/>
      <c r="S63" s="109"/>
      <c r="T63" s="42"/>
      <c r="U63" s="42"/>
      <c r="V63" s="42"/>
      <c r="W63" s="42"/>
      <c r="X63" s="42"/>
      <c r="Y63" s="42"/>
      <c r="Z63" s="42"/>
      <c r="AA63" s="42"/>
      <c r="AB63" s="50"/>
      <c r="AC63" s="109"/>
      <c r="AD63" s="109"/>
    </row>
    <row r="64" spans="1:30">
      <c r="C64" s="11" t="s">
        <v>101</v>
      </c>
      <c r="D64" s="43">
        <f>'ET workings base'!D79</f>
        <v>15.168246288518162</v>
      </c>
      <c r="E64" s="43">
        <f>'ET workings base'!E79</f>
        <v>16.275110005972994</v>
      </c>
      <c r="F64" s="43">
        <f>'ET workings base'!F79</f>
        <v>15.614702904478012</v>
      </c>
      <c r="G64" s="43">
        <f>'ET workings base'!G79</f>
        <v>14.911674359737152</v>
      </c>
      <c r="H64" s="43">
        <f>'ET workings base'!H79</f>
        <v>13.033415757853545</v>
      </c>
      <c r="I64" s="43">
        <f>'ET workings base'!I79</f>
        <v>12.556067765830047</v>
      </c>
      <c r="J64" s="43">
        <f>'ET workings base'!J79</f>
        <v>11.285100906339711</v>
      </c>
      <c r="K64" s="43">
        <f>'ET workings base'!K79</f>
        <v>9.8268179419485548</v>
      </c>
      <c r="L64" s="28">
        <f t="shared" si="12"/>
        <v>108.67113593067819</v>
      </c>
      <c r="P64" s="42"/>
      <c r="S64" s="109"/>
      <c r="T64" s="42"/>
      <c r="U64" s="42"/>
      <c r="V64" s="42"/>
      <c r="W64" s="42"/>
      <c r="X64" s="42"/>
      <c r="Y64" s="42"/>
      <c r="Z64" s="42"/>
      <c r="AA64" s="42"/>
      <c r="AB64" s="50"/>
      <c r="AC64" s="109"/>
      <c r="AD64" s="109"/>
    </row>
    <row r="65" spans="1:30">
      <c r="C65" s="10" t="s">
        <v>102</v>
      </c>
      <c r="D65" s="42">
        <f>'ET workings base'!D81</f>
        <v>85.34203792729511</v>
      </c>
      <c r="E65" s="42">
        <f>'ET workings base'!E81</f>
        <v>80.003502133565092</v>
      </c>
      <c r="F65" s="42">
        <f>'ET workings base'!F81</f>
        <v>67.020034930168393</v>
      </c>
      <c r="G65" s="42">
        <f>'ET workings base'!G81</f>
        <v>74.593894624638466</v>
      </c>
      <c r="H65" s="42">
        <f>'ET workings base'!H81</f>
        <v>63.574864578134488</v>
      </c>
      <c r="I65" s="42">
        <f>'ET workings base'!I81</f>
        <v>65.957440437742363</v>
      </c>
      <c r="J65" s="42">
        <f>'ET workings base'!J81</f>
        <v>64.828336598496691</v>
      </c>
      <c r="K65" s="42">
        <f>'ET workings base'!K81</f>
        <v>65.626883395958743</v>
      </c>
      <c r="L65" s="28">
        <f t="shared" si="12"/>
        <v>566.94699462599942</v>
      </c>
      <c r="P65" s="42"/>
      <c r="S65" s="109"/>
      <c r="T65" s="42"/>
      <c r="U65" s="42"/>
      <c r="V65" s="42"/>
      <c r="W65" s="42"/>
      <c r="X65" s="42"/>
      <c r="Y65" s="42"/>
      <c r="Z65" s="42"/>
      <c r="AA65" s="42"/>
      <c r="AB65" s="50"/>
      <c r="AC65" s="109"/>
      <c r="AD65" s="109"/>
    </row>
    <row r="66" spans="1:30">
      <c r="C66" s="11" t="s">
        <v>103</v>
      </c>
      <c r="D66" s="43">
        <f>'ET workings base'!D76+'ET workings base'!D77</f>
        <v>967.76701672796719</v>
      </c>
      <c r="E66" s="43">
        <f>'ET workings base'!E76+'ET workings base'!E77</f>
        <v>1042.5723378541195</v>
      </c>
      <c r="F66" s="43">
        <f>'ET workings base'!F76+'ET workings base'!F77</f>
        <v>1121.6048003616697</v>
      </c>
      <c r="G66" s="43">
        <f>'ET workings base'!G76+'ET workings base'!G77</f>
        <v>1196.7643145973639</v>
      </c>
      <c r="H66" s="43">
        <f>'ET workings base'!H76+'ET workings base'!H77</f>
        <v>1249.2911026320705</v>
      </c>
      <c r="I66" s="43">
        <f>'ET workings base'!I76+'ET workings base'!I77</f>
        <v>1287.9920602093705</v>
      </c>
      <c r="J66" s="43">
        <f>'ET workings base'!J76+'ET workings base'!J77</f>
        <v>1310.2394888325116</v>
      </c>
      <c r="K66" s="43">
        <f>'ET workings base'!K76+'ET workings base'!K77</f>
        <v>1323.1344830924736</v>
      </c>
      <c r="L66" s="28">
        <f t="shared" si="12"/>
        <v>9499.3656043075462</v>
      </c>
      <c r="P66" s="42"/>
      <c r="S66" s="109"/>
      <c r="T66" s="42"/>
      <c r="U66" s="42"/>
      <c r="V66" s="42"/>
      <c r="W66" s="42"/>
      <c r="X66" s="42"/>
      <c r="Y66" s="42"/>
      <c r="Z66" s="42"/>
      <c r="AA66" s="42"/>
      <c r="AB66" s="50"/>
      <c r="AC66" s="109"/>
      <c r="AD66" s="109"/>
    </row>
    <row r="67" spans="1:30">
      <c r="C67" s="10" t="s">
        <v>168</v>
      </c>
      <c r="D67" s="42">
        <f>'ET workings base'!D86</f>
        <v>13.751034124367685</v>
      </c>
      <c r="E67" s="42">
        <f>'ET workings base'!E86</f>
        <v>13.274690050778315</v>
      </c>
      <c r="F67" s="42">
        <f>'ET workings base'!F86</f>
        <v>12.798257977175346</v>
      </c>
      <c r="G67" s="42">
        <f>'ET workings base'!G86</f>
        <v>0</v>
      </c>
      <c r="H67" s="42">
        <f>'ET workings base'!H86</f>
        <v>0</v>
      </c>
      <c r="I67" s="42">
        <f>'ET workings base'!I86</f>
        <v>0</v>
      </c>
      <c r="J67" s="42">
        <f>'ET workings base'!J86</f>
        <v>0</v>
      </c>
      <c r="K67" s="42">
        <f>'ET workings base'!K86</f>
        <v>0</v>
      </c>
      <c r="L67" s="28">
        <f t="shared" si="12"/>
        <v>39.823982152321349</v>
      </c>
      <c r="P67" s="42"/>
      <c r="S67" s="109"/>
      <c r="T67" s="42"/>
      <c r="U67" s="42"/>
      <c r="V67" s="42"/>
      <c r="W67" s="42"/>
      <c r="X67" s="42"/>
      <c r="Y67" s="42"/>
      <c r="Z67" s="42"/>
      <c r="AA67" s="42"/>
      <c r="AB67" s="50"/>
      <c r="AC67" s="109"/>
      <c r="AD67" s="109"/>
    </row>
    <row r="68" spans="1:30">
      <c r="C68" s="11" t="s">
        <v>169</v>
      </c>
      <c r="D68" s="43">
        <f>'ET workings base'!D149+'ET workings base'!D88-'ET workings base'!D147</f>
        <v>33.293322955563447</v>
      </c>
      <c r="E68" s="43">
        <f>'ET workings base'!E149+'ET workings base'!E88-'ET workings base'!E147</f>
        <v>33.340489176500682</v>
      </c>
      <c r="F68" s="43">
        <f>'ET workings base'!F149+'ET workings base'!F88-'ET workings base'!F147</f>
        <v>33.918376563815009</v>
      </c>
      <c r="G68" s="43">
        <f>'ET workings base'!G149+'ET workings base'!G88-'ET workings base'!G147</f>
        <v>32.99943050499985</v>
      </c>
      <c r="H68" s="43">
        <f>'ET workings base'!H149+'ET workings base'!H88-'ET workings base'!H147</f>
        <v>34.347207701587436</v>
      </c>
      <c r="I68" s="43">
        <f>'ET workings base'!I149+'ET workings base'!I88-'ET workings base'!I147</f>
        <v>35.551381236163706</v>
      </c>
      <c r="J68" s="43">
        <f>'ET workings base'!J149+'ET workings base'!J88-'ET workings base'!J147</f>
        <v>36.957745870033875</v>
      </c>
      <c r="K68" s="43">
        <f>'ET workings base'!K149+'ET workings base'!K88-'ET workings base'!K147</f>
        <v>38.432223582037821</v>
      </c>
      <c r="L68" s="28">
        <f t="shared" si="12"/>
        <v>278.84017759070178</v>
      </c>
      <c r="P68" s="42"/>
      <c r="S68" s="109"/>
      <c r="T68" s="42"/>
      <c r="U68" s="42"/>
      <c r="V68" s="42"/>
      <c r="W68" s="42"/>
      <c r="X68" s="42"/>
      <c r="Y68" s="42"/>
      <c r="Z68" s="42"/>
      <c r="AA68" s="42"/>
      <c r="AB68" s="50"/>
      <c r="AC68" s="109"/>
      <c r="AD68" s="109"/>
    </row>
    <row r="69" spans="1:30" ht="13.8" thickBot="1">
      <c r="C69" s="23" t="s">
        <v>107</v>
      </c>
      <c r="D69" s="44">
        <f>SUM(D60:D68)</f>
        <v>1479.0323249384492</v>
      </c>
      <c r="E69" s="44">
        <f t="shared" ref="E69:K69" si="13">SUM(E60:E68)</f>
        <v>1579.9041517856263</v>
      </c>
      <c r="F69" s="44">
        <f t="shared" si="13"/>
        <v>1618.1908312067776</v>
      </c>
      <c r="G69" s="44">
        <f t="shared" si="13"/>
        <v>1696.9868096928731</v>
      </c>
      <c r="H69" s="44">
        <f t="shared" si="13"/>
        <v>1682.2421422395978</v>
      </c>
      <c r="I69" s="44">
        <f t="shared" si="13"/>
        <v>1716.2274208238707</v>
      </c>
      <c r="J69" s="44">
        <f t="shared" si="13"/>
        <v>1715.4291170685556</v>
      </c>
      <c r="K69" s="44">
        <f t="shared" si="13"/>
        <v>1703.2849296331838</v>
      </c>
      <c r="L69" s="28">
        <f t="shared" ref="L69" si="14">SUM(D69:K69)</f>
        <v>13191.297727388934</v>
      </c>
      <c r="P69" s="50"/>
      <c r="S69" s="109"/>
      <c r="T69" s="42"/>
      <c r="U69" s="42"/>
      <c r="V69" s="42"/>
      <c r="W69" s="42"/>
      <c r="X69" s="42"/>
      <c r="Y69" s="42"/>
      <c r="Z69" s="42"/>
      <c r="AA69" s="42"/>
      <c r="AB69" s="50"/>
      <c r="AC69" s="109"/>
      <c r="AD69" s="109"/>
    </row>
    <row r="70" spans="1:30" ht="13.8" thickBot="1">
      <c r="L70" s="28"/>
      <c r="S70" s="109"/>
      <c r="T70" s="42"/>
      <c r="U70" s="42"/>
      <c r="V70" s="42"/>
      <c r="W70" s="42"/>
      <c r="X70" s="42"/>
      <c r="Y70" s="42"/>
      <c r="Z70" s="42"/>
      <c r="AA70" s="42"/>
      <c r="AB70" s="50"/>
      <c r="AC70" s="109"/>
      <c r="AD70" s="109"/>
    </row>
    <row r="71" spans="1:30" ht="13.8" thickBot="1">
      <c r="C71" s="7" t="s">
        <v>58</v>
      </c>
      <c r="D71" s="8" t="s">
        <v>59</v>
      </c>
      <c r="E71" s="8" t="s">
        <v>60</v>
      </c>
      <c r="F71" s="8" t="s">
        <v>61</v>
      </c>
      <c r="G71" s="8" t="s">
        <v>62</v>
      </c>
      <c r="H71" s="8" t="s">
        <v>63</v>
      </c>
      <c r="I71" s="8" t="s">
        <v>64</v>
      </c>
      <c r="J71" s="8" t="s">
        <v>65</v>
      </c>
      <c r="K71" s="8" t="s">
        <v>66</v>
      </c>
      <c r="L71" s="28"/>
      <c r="P71" s="204"/>
      <c r="S71" s="109"/>
      <c r="T71" s="42"/>
      <c r="U71" s="42"/>
      <c r="V71" s="42"/>
      <c r="W71" s="42"/>
      <c r="X71" s="42"/>
      <c r="Y71" s="42"/>
      <c r="Z71" s="42"/>
      <c r="AA71" s="42"/>
      <c r="AB71" s="50"/>
      <c r="AC71" s="109"/>
      <c r="AD71" s="109"/>
    </row>
    <row r="72" spans="1:30">
      <c r="C72" s="10" t="s">
        <v>392</v>
      </c>
      <c r="D72" s="42">
        <f>'ET workings base'!D91+'ET workings base'!D86</f>
        <v>1356.0323249384494</v>
      </c>
      <c r="E72" s="42">
        <f>'ET workings base'!E91+'ET workings base'!E86</f>
        <v>1457.1041517856263</v>
      </c>
      <c r="F72" s="42">
        <f>'ET workings base'!F91+'ET workings base'!F86</f>
        <v>1488.3908312067779</v>
      </c>
      <c r="G72" s="42">
        <f>'ET workings base'!G91+'ET workings base'!G86</f>
        <v>1571.3868096928732</v>
      </c>
      <c r="H72" s="42">
        <f>'ET workings base'!H91+'ET workings base'!H86</f>
        <v>1554.9421422395981</v>
      </c>
      <c r="I72" s="42">
        <f>'ET workings base'!I91+'ET workings base'!I86</f>
        <v>1587.6274208238708</v>
      </c>
      <c r="J72" s="42">
        <f>'ET workings base'!J91+'ET workings base'!J86</f>
        <v>1585.2291170685558</v>
      </c>
      <c r="K72" s="42">
        <f>'ET workings base'!K91+'ET workings base'!K86</f>
        <v>1571.5849296331837</v>
      </c>
      <c r="L72" s="28">
        <f t="shared" si="12"/>
        <v>12172.297727388934</v>
      </c>
      <c r="P72" s="42"/>
      <c r="S72" s="109"/>
      <c r="T72" s="42"/>
      <c r="U72" s="42"/>
      <c r="V72" s="42"/>
      <c r="W72" s="42"/>
      <c r="X72" s="42"/>
      <c r="Y72" s="42"/>
      <c r="Z72" s="42"/>
      <c r="AA72" s="42"/>
      <c r="AB72" s="50"/>
      <c r="AC72" s="109"/>
      <c r="AD72" s="109"/>
    </row>
    <row r="73" spans="1:30">
      <c r="C73" s="11" t="s">
        <v>175</v>
      </c>
      <c r="D73" s="43">
        <f>'ET workings base'!D88</f>
        <v>123</v>
      </c>
      <c r="E73" s="43">
        <f>'ET workings base'!E88</f>
        <v>122.8</v>
      </c>
      <c r="F73" s="43">
        <f>'ET workings base'!F88</f>
        <v>129.80000000000001</v>
      </c>
      <c r="G73" s="43">
        <f>'ET workings base'!G88</f>
        <v>125.6</v>
      </c>
      <c r="H73" s="43">
        <f>'ET workings base'!H88</f>
        <v>127.3</v>
      </c>
      <c r="I73" s="43">
        <f>'ET workings base'!I88</f>
        <v>128.6</v>
      </c>
      <c r="J73" s="43">
        <f>'ET workings base'!J88</f>
        <v>130.19999999999999</v>
      </c>
      <c r="K73" s="43">
        <f>'ET workings base'!K88</f>
        <v>131.69999999999999</v>
      </c>
      <c r="L73" s="28">
        <f t="shared" si="12"/>
        <v>1019</v>
      </c>
      <c r="N73" s="132" t="s">
        <v>301</v>
      </c>
      <c r="P73" s="42"/>
      <c r="S73" s="109"/>
      <c r="T73" s="42"/>
      <c r="U73" s="42"/>
      <c r="V73" s="42"/>
      <c r="W73" s="42"/>
      <c r="X73" s="42"/>
      <c r="Y73" s="42"/>
      <c r="Z73" s="42"/>
      <c r="AA73" s="42"/>
      <c r="AB73" s="50"/>
      <c r="AC73" s="109"/>
      <c r="AD73" s="109"/>
    </row>
    <row r="74" spans="1:30" ht="13.8" thickBot="1">
      <c r="C74" s="23" t="s">
        <v>107</v>
      </c>
      <c r="D74" s="44">
        <f t="shared" ref="D74:L74" si="15">D72+D73</f>
        <v>1479.0323249384494</v>
      </c>
      <c r="E74" s="44">
        <f t="shared" si="15"/>
        <v>1579.9041517856263</v>
      </c>
      <c r="F74" s="44">
        <f t="shared" si="15"/>
        <v>1618.1908312067778</v>
      </c>
      <c r="G74" s="44">
        <f t="shared" si="15"/>
        <v>1696.9868096928731</v>
      </c>
      <c r="H74" s="44">
        <f t="shared" si="15"/>
        <v>1682.242142239598</v>
      </c>
      <c r="I74" s="44">
        <f t="shared" si="15"/>
        <v>1716.2274208238707</v>
      </c>
      <c r="J74" s="44">
        <f t="shared" si="15"/>
        <v>1715.4291170685558</v>
      </c>
      <c r="K74" s="44">
        <f t="shared" si="15"/>
        <v>1703.2849296331838</v>
      </c>
      <c r="L74" s="28">
        <f t="shared" si="15"/>
        <v>13191.297727388934</v>
      </c>
      <c r="N74" s="133">
        <f>(K74/D74)^(1/7)-1</f>
        <v>2.037196965706678E-2</v>
      </c>
      <c r="P74" s="50"/>
      <c r="S74" s="109"/>
      <c r="T74" s="50"/>
      <c r="U74" s="50"/>
      <c r="V74" s="50"/>
      <c r="W74" s="50"/>
      <c r="X74" s="50"/>
      <c r="Y74" s="50"/>
      <c r="Z74" s="50"/>
      <c r="AA74" s="50"/>
      <c r="AB74" s="50"/>
      <c r="AC74" s="109"/>
      <c r="AD74" s="109"/>
    </row>
    <row r="75" spans="1:30">
      <c r="D75" s="53">
        <f>'ET workings base'!D89-D74</f>
        <v>0</v>
      </c>
      <c r="E75" s="53">
        <f>'ET workings base'!E89-E74</f>
        <v>0</v>
      </c>
      <c r="F75" s="53">
        <f>'ET workings base'!F89-F74</f>
        <v>0</v>
      </c>
      <c r="G75" s="53">
        <f>'ET workings base'!G89-G74</f>
        <v>0</v>
      </c>
      <c r="H75" s="53">
        <f>'ET workings base'!H89-H74</f>
        <v>0</v>
      </c>
      <c r="I75" s="53">
        <f>'ET workings base'!I89-I74</f>
        <v>0</v>
      </c>
      <c r="J75" s="53">
        <f>'ET workings base'!J89-J74</f>
        <v>0</v>
      </c>
      <c r="K75" s="53">
        <f>'ET workings base'!K89-K74</f>
        <v>0</v>
      </c>
      <c r="L75" s="53">
        <f>'ET workings base'!L89-L74</f>
        <v>0</v>
      </c>
      <c r="P75" s="53"/>
      <c r="AB75" s="38"/>
    </row>
    <row r="76" spans="1:30">
      <c r="D76" s="53"/>
      <c r="E76" s="53"/>
      <c r="F76" s="53"/>
      <c r="G76" s="53"/>
      <c r="H76" s="53"/>
      <c r="I76" s="53"/>
      <c r="J76" s="53"/>
      <c r="K76" s="53"/>
      <c r="L76" s="53"/>
      <c r="AB76" s="38"/>
    </row>
    <row r="77" spans="1:30">
      <c r="D77" s="53"/>
      <c r="E77" s="53"/>
      <c r="F77" s="53"/>
      <c r="G77" s="53"/>
      <c r="H77" s="53"/>
      <c r="I77" s="53"/>
      <c r="J77" s="53"/>
      <c r="K77" s="53"/>
      <c r="L77" s="53"/>
      <c r="AB77" s="38"/>
    </row>
    <row r="78" spans="1:30" ht="13.8" thickBot="1"/>
    <row r="79" spans="1:30" ht="13.8" thickBot="1">
      <c r="A79" s="38"/>
      <c r="C79" s="14" t="s">
        <v>58</v>
      </c>
      <c r="D79" s="15" t="s">
        <v>59</v>
      </c>
      <c r="E79" s="15" t="s">
        <v>60</v>
      </c>
      <c r="F79" s="15" t="s">
        <v>61</v>
      </c>
      <c r="G79" s="15" t="s">
        <v>62</v>
      </c>
      <c r="H79" s="15" t="s">
        <v>63</v>
      </c>
      <c r="I79" s="15" t="s">
        <v>64</v>
      </c>
      <c r="J79" s="15" t="s">
        <v>65</v>
      </c>
      <c r="K79" s="15" t="s">
        <v>66</v>
      </c>
      <c r="L79" s="15" t="s">
        <v>118</v>
      </c>
      <c r="P79" s="205"/>
    </row>
    <row r="80" spans="1:30">
      <c r="C80" s="124"/>
      <c r="D80" s="125"/>
      <c r="E80" s="125"/>
      <c r="F80" s="125"/>
      <c r="G80" s="125"/>
      <c r="H80" s="125"/>
      <c r="I80" s="125"/>
      <c r="J80" s="125"/>
      <c r="K80" s="125"/>
      <c r="L80" s="125"/>
      <c r="P80" s="206"/>
    </row>
    <row r="81" spans="1:16">
      <c r="C81" s="17" t="str">
        <f>C3</f>
        <v>TO capex - load-related</v>
      </c>
      <c r="D81" s="165">
        <f>IF('ET workings base'!D23='ET workings base'!D46,'ET workings base'!D15,('ET workings base'!D15+'ET workings base'!D20)-('ET workings base'!D15+'ET workings base'!D20-'ET workings base'!D38)*$K$2)</f>
        <v>241.91835100747039</v>
      </c>
      <c r="E81" s="165">
        <f>IF('ET workings base'!E23='ET workings base'!E46,'ET workings base'!E15,('ET workings base'!E15+'ET workings base'!E20)-('ET workings base'!E15+'ET workings base'!E20-'ET workings base'!E38)*$K$2)</f>
        <v>206.22285805015076</v>
      </c>
      <c r="F81" s="165">
        <f>IF('ET workings base'!F23='ET workings base'!F46,'ET workings base'!F15,('ET workings base'!F15+'ET workings base'!F20)-('ET workings base'!F15+'ET workings base'!F20-'ET workings base'!F38)*$K$2)</f>
        <v>183.4765697039528</v>
      </c>
      <c r="G81" s="165">
        <f>IF('ET workings base'!G23='ET workings base'!G46,'ET workings base'!G15,('ET workings base'!G15+'ET workings base'!G20)-('ET workings base'!G15+'ET workings base'!G20-'ET workings base'!G38)*$K$2)</f>
        <v>187.40173539185469</v>
      </c>
      <c r="H81" s="165">
        <f>IF('ET workings base'!H23='ET workings base'!H46,'ET workings base'!H15,('ET workings base'!H15+'ET workings base'!H20)-('ET workings base'!H15+'ET workings base'!H20-'ET workings base'!H38)*$K$2)</f>
        <v>142.92705896695065</v>
      </c>
      <c r="I81" s="165">
        <f>IF('ET workings base'!I23='ET workings base'!I46,'ET workings base'!I15,('ET workings base'!I15+'ET workings base'!I20)-('ET workings base'!I15+'ET workings base'!I20-'ET workings base'!I38)*$K$2)</f>
        <v>124.46128971626086</v>
      </c>
      <c r="J81" s="165">
        <f>IF('ET workings base'!J23='ET workings base'!J46,'ET workings base'!J15,('ET workings base'!J15+'ET workings base'!J20)-('ET workings base'!J15+'ET workings base'!J20-'ET workings base'!J38)*$K$2)</f>
        <v>44.072350609794569</v>
      </c>
      <c r="K81" s="165">
        <f>IF('ET workings base'!K23='ET workings base'!K46,'ET workings base'!K15,('ET workings base'!K15+'ET workings base'!K20)-('ET workings base'!K15+'ET workings base'!K20-'ET workings base'!K38)*$K$2)</f>
        <v>28.383548641119383</v>
      </c>
      <c r="L81" s="165">
        <f>SUM(D81:K81)</f>
        <v>1158.8637620875541</v>
      </c>
      <c r="M81" s="53">
        <f>E3</f>
        <v>1.1588637620875542</v>
      </c>
      <c r="N81" s="53">
        <f>E3-L81/1000</f>
        <v>0</v>
      </c>
      <c r="P81" s="165"/>
    </row>
    <row r="82" spans="1:16">
      <c r="C82" s="17" t="str">
        <f>C4</f>
        <v>TO capex - non-load related</v>
      </c>
      <c r="D82" s="165">
        <f>'ET workings base'!D16</f>
        <v>506.11836500601339</v>
      </c>
      <c r="E82" s="165">
        <f>'ET workings base'!E16</f>
        <v>499.20409814951984</v>
      </c>
      <c r="F82" s="165">
        <f>'ET workings base'!F16</f>
        <v>485.07329761796098</v>
      </c>
      <c r="G82" s="165">
        <f>'ET workings base'!G16</f>
        <v>489.14143160750723</v>
      </c>
      <c r="H82" s="165">
        <f>'ET workings base'!H16</f>
        <v>622.61892466629627</v>
      </c>
      <c r="I82" s="165">
        <f>'ET workings base'!I16</f>
        <v>715.79753719305393</v>
      </c>
      <c r="J82" s="165">
        <f>'ET workings base'!J16</f>
        <v>784.25081046797004</v>
      </c>
      <c r="K82" s="165">
        <f>'ET workings base'!K16</f>
        <v>704.21301595565285</v>
      </c>
      <c r="L82" s="165">
        <f>SUM(D82:K82)</f>
        <v>4806.4174806639749</v>
      </c>
      <c r="M82" s="53">
        <f>E4</f>
        <v>4.806417480663975</v>
      </c>
      <c r="N82" s="53">
        <f>E4-L82/1000</f>
        <v>0</v>
      </c>
      <c r="P82" s="165"/>
    </row>
    <row r="83" spans="1:16">
      <c r="C83" s="18" t="str">
        <f>C5</f>
        <v xml:space="preserve">Uncertainty mechanism capex </v>
      </c>
      <c r="D83" s="166">
        <f>'ET workings base'!D20</f>
        <v>642.4585148217916</v>
      </c>
      <c r="E83" s="166">
        <f>'ET workings base'!E20</f>
        <v>823.44053335877697</v>
      </c>
      <c r="F83" s="166">
        <f>'ET workings base'!F20</f>
        <v>778.73360520529104</v>
      </c>
      <c r="G83" s="166">
        <f>'ET workings base'!G20</f>
        <v>689.31995609864691</v>
      </c>
      <c r="H83" s="166">
        <f>'ET workings base'!H20</f>
        <v>376.36371451971331</v>
      </c>
      <c r="I83" s="166">
        <f>'ET workings base'!I20</f>
        <v>248.55087531826513</v>
      </c>
      <c r="J83" s="166">
        <f>'ET workings base'!J20</f>
        <v>109.74796233462695</v>
      </c>
      <c r="K83" s="166">
        <f>'ET workings base'!K20</f>
        <v>33.43789356079359</v>
      </c>
      <c r="L83" s="166">
        <f t="shared" ref="L83:L90" si="16">SUM(D83:K83)</f>
        <v>3702.0530552179057</v>
      </c>
      <c r="M83" s="53">
        <f>E5</f>
        <v>3.7020530552179056</v>
      </c>
      <c r="N83" s="53">
        <f>E5-L83/1000</f>
        <v>0</v>
      </c>
      <c r="P83" s="165"/>
    </row>
    <row r="84" spans="1:16">
      <c r="C84" s="17" t="str">
        <f>C6</f>
        <v xml:space="preserve">Uncertainty mechanism opex </v>
      </c>
      <c r="D84" s="165">
        <f>'ET workings base'!D21</f>
        <v>0</v>
      </c>
      <c r="E84" s="165">
        <f>'ET workings base'!E21</f>
        <v>0</v>
      </c>
      <c r="F84" s="165">
        <f>'ET workings base'!F21</f>
        <v>0</v>
      </c>
      <c r="G84" s="165">
        <f>'ET workings base'!G21</f>
        <v>0</v>
      </c>
      <c r="H84" s="165">
        <f>'ET workings base'!H21</f>
        <v>0</v>
      </c>
      <c r="I84" s="165">
        <f>'ET workings base'!I21</f>
        <v>0</v>
      </c>
      <c r="J84" s="165">
        <f>'ET workings base'!J21</f>
        <v>0</v>
      </c>
      <c r="K84" s="165">
        <f>'ET workings base'!K21</f>
        <v>0</v>
      </c>
      <c r="L84" s="165">
        <f t="shared" si="16"/>
        <v>0</v>
      </c>
      <c r="M84" s="53">
        <f>E6</f>
        <v>0</v>
      </c>
      <c r="N84" s="53">
        <f>E6-L84/1000</f>
        <v>0</v>
      </c>
      <c r="P84" s="165"/>
    </row>
    <row r="85" spans="1:16">
      <c r="C85" s="18" t="str">
        <f>C7</f>
        <v xml:space="preserve">Controllable opex </v>
      </c>
      <c r="D85" s="158">
        <f>'ET workings base'!D17</f>
        <v>192.21282629439594</v>
      </c>
      <c r="E85" s="158">
        <f>'ET workings base'!E17</f>
        <v>196.41204072355288</v>
      </c>
      <c r="F85" s="158">
        <f>'ET workings base'!F17</f>
        <v>203.04710659109347</v>
      </c>
      <c r="G85" s="158">
        <f>'ET workings base'!G17</f>
        <v>204.35171680440774</v>
      </c>
      <c r="H85" s="158">
        <f>'ET workings base'!H17</f>
        <v>205.72203973741003</v>
      </c>
      <c r="I85" s="158">
        <f>'ET workings base'!I17</f>
        <v>206.0644404839947</v>
      </c>
      <c r="J85" s="158">
        <f>'ET workings base'!J17</f>
        <v>207.83890997781467</v>
      </c>
      <c r="K85" s="158">
        <f>'ET workings base'!K17</f>
        <v>208.20405529640865</v>
      </c>
      <c r="L85" s="158">
        <f t="shared" si="16"/>
        <v>1623.853135909078</v>
      </c>
      <c r="M85" s="53">
        <f>E7</f>
        <v>1.623853135909078</v>
      </c>
      <c r="N85" s="53">
        <f>E7-L85/1000</f>
        <v>0</v>
      </c>
      <c r="P85" s="168"/>
    </row>
    <row r="86" spans="1:16">
      <c r="C86" s="19" t="str">
        <f>C9</f>
        <v xml:space="preserve">TO Totex </v>
      </c>
      <c r="D86" s="167">
        <f t="shared" ref="D86:K86" si="17">SUM(D81:D85)</f>
        <v>1582.7080571296713</v>
      </c>
      <c r="E86" s="167">
        <f t="shared" si="17"/>
        <v>1725.2795302820005</v>
      </c>
      <c r="F86" s="167">
        <f t="shared" si="17"/>
        <v>1650.3305791182984</v>
      </c>
      <c r="G86" s="167">
        <f t="shared" si="17"/>
        <v>1570.2148399024165</v>
      </c>
      <c r="H86" s="167">
        <f t="shared" si="17"/>
        <v>1347.6317378903702</v>
      </c>
      <c r="I86" s="167">
        <f t="shared" si="17"/>
        <v>1294.8741427115747</v>
      </c>
      <c r="J86" s="167">
        <f t="shared" si="17"/>
        <v>1145.9100333902061</v>
      </c>
      <c r="K86" s="167">
        <f t="shared" si="17"/>
        <v>974.23851345397452</v>
      </c>
      <c r="L86" s="167">
        <f t="shared" si="16"/>
        <v>11291.187433878511</v>
      </c>
      <c r="M86" s="53">
        <f>E9</f>
        <v>11.291187433878513</v>
      </c>
      <c r="N86" s="53">
        <f>E9-L86/1000</f>
        <v>0</v>
      </c>
      <c r="P86" s="167"/>
    </row>
    <row r="87" spans="1:16">
      <c r="C87" s="18" t="str">
        <f>C10</f>
        <v xml:space="preserve">Non controllable opex </v>
      </c>
      <c r="D87" s="166">
        <f>'ET workings base'!D26</f>
        <v>94.24723304227993</v>
      </c>
      <c r="E87" s="166">
        <f>'ET workings base'!E26</f>
        <v>87.678224204681584</v>
      </c>
      <c r="F87" s="166">
        <f>'ET workings base'!F26</f>
        <v>87.676243763178761</v>
      </c>
      <c r="G87" s="166">
        <f>'ET workings base'!G26</f>
        <v>87.677481779017953</v>
      </c>
      <c r="H87" s="166">
        <f>'ET workings base'!H26</f>
        <v>87.676244486345595</v>
      </c>
      <c r="I87" s="166">
        <f>'ET workings base'!I26</f>
        <v>87.676244488148086</v>
      </c>
      <c r="J87" s="166">
        <f>'ET workings base'!J26</f>
        <v>87.676244492723825</v>
      </c>
      <c r="K87" s="166">
        <f>'ET workings base'!K26</f>
        <v>87.676244462267519</v>
      </c>
      <c r="L87" s="166">
        <f t="shared" si="16"/>
        <v>707.98416071864324</v>
      </c>
      <c r="M87" s="53">
        <f>E10</f>
        <v>0.70798416071864323</v>
      </c>
      <c r="N87" s="53">
        <f>E10-L87/1000</f>
        <v>0</v>
      </c>
      <c r="P87" s="165"/>
    </row>
    <row r="88" spans="1:16">
      <c r="C88" s="17"/>
      <c r="D88" s="168"/>
      <c r="E88" s="168"/>
      <c r="F88" s="168"/>
      <c r="G88" s="168"/>
      <c r="H88" s="168"/>
      <c r="I88" s="168"/>
      <c r="J88" s="168"/>
      <c r="K88" s="168"/>
      <c r="L88" s="165"/>
      <c r="M88" s="53"/>
      <c r="N88" s="53"/>
      <c r="P88" s="168"/>
    </row>
    <row r="89" spans="1:16">
      <c r="C89" s="18" t="str">
        <f>C12</f>
        <v xml:space="preserve">SO capex </v>
      </c>
      <c r="D89" s="158">
        <f>'ET workings base'!D8</f>
        <v>39.230261993822481</v>
      </c>
      <c r="E89" s="158">
        <f>'ET workings base'!E8</f>
        <v>34.208586772300464</v>
      </c>
      <c r="F89" s="158">
        <f>'ET workings base'!F8</f>
        <v>29.40934615713995</v>
      </c>
      <c r="G89" s="158">
        <f>'ET workings base'!G8</f>
        <v>27.165060319864111</v>
      </c>
      <c r="H89" s="158">
        <f>'ET workings base'!H8</f>
        <v>29.591699211758403</v>
      </c>
      <c r="I89" s="158">
        <f>'ET workings base'!I8</f>
        <v>20.377561078577621</v>
      </c>
      <c r="J89" s="158">
        <f>'ET workings base'!J8</f>
        <v>25.429651204161818</v>
      </c>
      <c r="K89" s="158">
        <f>'ET workings base'!K8</f>
        <v>25.40838563392731</v>
      </c>
      <c r="L89" s="158">
        <f t="shared" si="16"/>
        <v>230.82055237155214</v>
      </c>
      <c r="M89" s="53">
        <f>E12</f>
        <v>0.23082055237155213</v>
      </c>
      <c r="N89" s="53">
        <f>E12-L89/1000</f>
        <v>0</v>
      </c>
      <c r="P89" s="168"/>
    </row>
    <row r="90" spans="1:16">
      <c r="C90" s="17" t="str">
        <f>C13</f>
        <v xml:space="preserve">Controllable opex </v>
      </c>
      <c r="D90" s="165">
        <f>'ET workings base'!D7</f>
        <v>73.775027711210655</v>
      </c>
      <c r="E90" s="165">
        <f>'ET workings base'!E7</f>
        <v>74.857370793520886</v>
      </c>
      <c r="F90" s="165">
        <f>'ET workings base'!F7</f>
        <v>77.005994132717234</v>
      </c>
      <c r="G90" s="165">
        <f>'ET workings base'!G7</f>
        <v>78.582137772280092</v>
      </c>
      <c r="H90" s="165">
        <f>'ET workings base'!H7</f>
        <v>79.36050736397776</v>
      </c>
      <c r="I90" s="165">
        <f>'ET workings base'!I7</f>
        <v>79.998881974263142</v>
      </c>
      <c r="J90" s="165">
        <f>'ET workings base'!J7</f>
        <v>81.754729960219521</v>
      </c>
      <c r="K90" s="165">
        <f>'ET workings base'!K7</f>
        <v>83.672873632490891</v>
      </c>
      <c r="L90" s="165">
        <f t="shared" si="16"/>
        <v>629.00752334068022</v>
      </c>
      <c r="M90" s="53">
        <f>E13</f>
        <v>0.62900752334068022</v>
      </c>
      <c r="N90" s="53">
        <f>E13-L90/1000</f>
        <v>0</v>
      </c>
      <c r="P90" s="165"/>
    </row>
    <row r="91" spans="1:16" ht="13.8" thickBot="1">
      <c r="C91" s="23" t="str">
        <f>C15</f>
        <v xml:space="preserve">SO Totex </v>
      </c>
      <c r="D91" s="44">
        <f>SUM(D89:D90)</f>
        <v>113.00528970503314</v>
      </c>
      <c r="E91" s="44">
        <f t="shared" ref="E91:K91" si="18">SUM(E89:E90)</f>
        <v>109.06595756582135</v>
      </c>
      <c r="F91" s="44">
        <f t="shared" si="18"/>
        <v>106.41534028985718</v>
      </c>
      <c r="G91" s="44">
        <f t="shared" si="18"/>
        <v>105.7471980921442</v>
      </c>
      <c r="H91" s="44">
        <f t="shared" si="18"/>
        <v>108.95220657573617</v>
      </c>
      <c r="I91" s="44">
        <f t="shared" si="18"/>
        <v>100.37644305284076</v>
      </c>
      <c r="J91" s="44">
        <f t="shared" si="18"/>
        <v>107.18438116438134</v>
      </c>
      <c r="K91" s="44">
        <f t="shared" si="18"/>
        <v>109.0812592664182</v>
      </c>
      <c r="L91" s="44">
        <f t="shared" ref="L91" si="19">SUM(L89:L90)</f>
        <v>859.82807571223236</v>
      </c>
      <c r="M91" s="53">
        <f>E15</f>
        <v>0.8598280757122323</v>
      </c>
      <c r="N91" s="53">
        <f>E15-L91/1000</f>
        <v>0</v>
      </c>
      <c r="P91" s="50"/>
    </row>
    <row r="92" spans="1:16">
      <c r="A92" s="38" t="s">
        <v>378</v>
      </c>
    </row>
    <row r="93" spans="1:16" ht="13.8" thickBot="1">
      <c r="C93" s="38" t="s">
        <v>140</v>
      </c>
    </row>
    <row r="94" spans="1:16" ht="13.8" thickBot="1">
      <c r="C94" s="7" t="s">
        <v>58</v>
      </c>
      <c r="D94" s="8" t="s">
        <v>59</v>
      </c>
      <c r="E94" s="8" t="s">
        <v>60</v>
      </c>
      <c r="F94" s="8" t="s">
        <v>61</v>
      </c>
      <c r="G94" s="8" t="s">
        <v>62</v>
      </c>
      <c r="H94" s="8" t="s">
        <v>63</v>
      </c>
      <c r="I94" s="8" t="s">
        <v>64</v>
      </c>
      <c r="J94" s="8" t="s">
        <v>65</v>
      </c>
      <c r="K94" s="8" t="s">
        <v>66</v>
      </c>
    </row>
    <row r="95" spans="1:16">
      <c r="C95" s="22" t="s">
        <v>91</v>
      </c>
      <c r="D95" s="41">
        <f>'ET workings base'!D130+'ET workings base'!D152</f>
        <v>8865.0145032674482</v>
      </c>
      <c r="E95" s="41">
        <f>'ET workings base'!E130+'ET workings base'!E152</f>
        <v>9657.3405104468875</v>
      </c>
      <c r="F95" s="41">
        <f>'ET workings base'!F130+'ET workings base'!F152</f>
        <v>10527.492336961541</v>
      </c>
      <c r="G95" s="41">
        <f>'ET workings base'!G130+'ET workings base'!G152</f>
        <v>11287.400972544581</v>
      </c>
      <c r="H95" s="41">
        <f>'ET workings base'!H130+'ET workings base'!H152</f>
        <v>11942.649719500258</v>
      </c>
      <c r="I95" s="41">
        <f>'ET workings base'!I130+'ET workings base'!I152</f>
        <v>12378.520469081048</v>
      </c>
      <c r="J95" s="41">
        <f>'ET workings base'!J130+'ET workings base'!J152</f>
        <v>12744.436650291673</v>
      </c>
      <c r="K95" s="41">
        <f>'ET workings base'!K130+'ET workings base'!K152</f>
        <v>12975.604771513232</v>
      </c>
    </row>
    <row r="96" spans="1:16">
      <c r="C96" s="10" t="s">
        <v>86</v>
      </c>
      <c r="D96" s="42">
        <f>'ET workings base'!D131+'ET workings base'!D153</f>
        <v>1376.8303243879245</v>
      </c>
      <c r="E96" s="42">
        <f>'ET workings base'!E131+'ET workings base'!E153</f>
        <v>1496.9170029005643</v>
      </c>
      <c r="F96" s="42">
        <f>'ET workings base'!F131+'ET workings base'!F153</f>
        <v>1432.4708721914237</v>
      </c>
      <c r="G96" s="42">
        <f>'ET workings base'!G131+'ET workings base'!G153</f>
        <v>1364.1860821847624</v>
      </c>
      <c r="H96" s="42">
        <f>'ET workings base'!H131+'ET workings base'!H153</f>
        <v>1175.8846428414452</v>
      </c>
      <c r="I96" s="42">
        <f>'ET workings base'!I131+'ET workings base'!I153</f>
        <v>1128.648048916581</v>
      </c>
      <c r="J96" s="42">
        <f>'ET workings base'!J131+'ET workings base'!J153</f>
        <v>1003.9279707265378</v>
      </c>
      <c r="K96" s="42">
        <f>'ET workings base'!K131+'ET workings base'!K153</f>
        <v>858.53640777120904</v>
      </c>
    </row>
    <row r="97" spans="1:11">
      <c r="C97" s="11" t="s">
        <v>87</v>
      </c>
      <c r="D97" s="43">
        <f>'ET workings base'!D132+'ET workings base'!D154</f>
        <v>-584.50431720848701</v>
      </c>
      <c r="E97" s="43">
        <f>'ET workings base'!E132+'ET workings base'!E154</f>
        <v>-626.76517638591122</v>
      </c>
      <c r="F97" s="43">
        <f>'ET workings base'!F132+'ET workings base'!F154</f>
        <v>-672.56223660838327</v>
      </c>
      <c r="G97" s="43">
        <f>'ET workings base'!G132+'ET workings base'!G154</f>
        <v>-708.93733522908371</v>
      </c>
      <c r="H97" s="43">
        <f>'ET workings base'!H132+'ET workings base'!H154</f>
        <v>-740.01389326065726</v>
      </c>
      <c r="I97" s="43">
        <f>'ET workings base'!I132+'ET workings base'!I154</f>
        <v>-762.7318677059543</v>
      </c>
      <c r="J97" s="43">
        <f>'ET workings base'!J132+'ET workings base'!J154</f>
        <v>-772.75984950498014</v>
      </c>
      <c r="K97" s="43">
        <f>'ET workings base'!K132+'ET workings base'!K154</f>
        <v>-778.81347153445211</v>
      </c>
    </row>
    <row r="98" spans="1:11" ht="13.8" thickBot="1">
      <c r="C98" s="13" t="s">
        <v>94</v>
      </c>
      <c r="D98" s="52">
        <f>'ET workings base'!D133+'ET workings base'!D155</f>
        <v>9657.3405104468875</v>
      </c>
      <c r="E98" s="52">
        <f>'ET workings base'!E133+'ET workings base'!E155</f>
        <v>10527.492336961541</v>
      </c>
      <c r="F98" s="52">
        <f>'ET workings base'!F133+'ET workings base'!F155</f>
        <v>11287.400972544581</v>
      </c>
      <c r="G98" s="52">
        <f>'ET workings base'!G133+'ET workings base'!G155</f>
        <v>11942.649719500258</v>
      </c>
      <c r="H98" s="52">
        <f>'ET workings base'!H133+'ET workings base'!H155</f>
        <v>12378.520469081046</v>
      </c>
      <c r="I98" s="52">
        <f>'ET workings base'!I133+'ET workings base'!I155</f>
        <v>12744.436650291675</v>
      </c>
      <c r="J98" s="52">
        <f>'ET workings base'!J133+'ET workings base'!J155</f>
        <v>12975.60477151323</v>
      </c>
      <c r="K98" s="52">
        <f>'ET workings base'!K133+'ET workings base'!K155</f>
        <v>13055.327707749988</v>
      </c>
    </row>
    <row r="100" spans="1:11" ht="13.8" thickBot="1"/>
    <row r="101" spans="1:11" ht="13.8" thickBot="1">
      <c r="C101" s="7" t="s">
        <v>58</v>
      </c>
      <c r="D101" s="8" t="s">
        <v>59</v>
      </c>
      <c r="E101" s="8" t="s">
        <v>60</v>
      </c>
      <c r="F101" s="8" t="s">
        <v>61</v>
      </c>
      <c r="G101" s="8" t="s">
        <v>62</v>
      </c>
      <c r="H101" s="8" t="s">
        <v>63</v>
      </c>
      <c r="I101" s="8" t="s">
        <v>64</v>
      </c>
      <c r="J101" s="8" t="s">
        <v>65</v>
      </c>
      <c r="K101" s="8" t="s">
        <v>66</v>
      </c>
    </row>
    <row r="102" spans="1:11">
      <c r="C102" s="10" t="s">
        <v>370</v>
      </c>
      <c r="D102" s="169">
        <f>'ET workings base'!D86</f>
        <v>13.751034124367685</v>
      </c>
      <c r="E102" s="169">
        <f>'ET workings base'!E86</f>
        <v>13.274690050778315</v>
      </c>
      <c r="F102" s="169">
        <f>'ET workings base'!F86</f>
        <v>12.798257977175346</v>
      </c>
      <c r="G102" s="169">
        <f>'ET workings base'!G86</f>
        <v>0</v>
      </c>
      <c r="H102" s="169">
        <f>'ET workings base'!H86</f>
        <v>0</v>
      </c>
      <c r="I102" s="169">
        <f>'ET workings base'!I86</f>
        <v>0</v>
      </c>
      <c r="J102" s="169">
        <f>'ET workings base'!J86</f>
        <v>0</v>
      </c>
      <c r="K102" s="169">
        <f>'ET workings base'!K86</f>
        <v>0</v>
      </c>
    </row>
    <row r="103" spans="1:11">
      <c r="C103" s="170" t="s">
        <v>371</v>
      </c>
      <c r="D103" s="171">
        <v>0</v>
      </c>
      <c r="E103" s="171">
        <v>0</v>
      </c>
      <c r="F103" s="171">
        <v>0</v>
      </c>
      <c r="G103" s="171">
        <v>0</v>
      </c>
      <c r="H103" s="171">
        <v>0</v>
      </c>
      <c r="I103" s="171">
        <v>0</v>
      </c>
      <c r="J103" s="171">
        <v>0</v>
      </c>
      <c r="K103" s="171">
        <v>0</v>
      </c>
    </row>
    <row r="104" spans="1:11">
      <c r="C104" s="10"/>
      <c r="D104" s="169"/>
      <c r="E104" s="169"/>
      <c r="F104" s="169"/>
      <c r="G104" s="169"/>
      <c r="H104" s="169"/>
      <c r="I104" s="169"/>
      <c r="J104" s="169"/>
      <c r="K104" s="169"/>
    </row>
    <row r="105" spans="1:11">
      <c r="C105" s="11" t="s">
        <v>372</v>
      </c>
      <c r="D105" s="171">
        <f>'ET workings base'!D88</f>
        <v>123</v>
      </c>
      <c r="E105" s="171">
        <f>'ET workings base'!E88</f>
        <v>122.8</v>
      </c>
      <c r="F105" s="171">
        <f>'ET workings base'!F88</f>
        <v>129.80000000000001</v>
      </c>
      <c r="G105" s="171">
        <f>'ET workings base'!G88</f>
        <v>125.6</v>
      </c>
      <c r="H105" s="171">
        <f>'ET workings base'!H88</f>
        <v>127.3</v>
      </c>
      <c r="I105" s="171">
        <f>'ET workings base'!I88</f>
        <v>128.6</v>
      </c>
      <c r="J105" s="171">
        <f>'ET workings base'!J88</f>
        <v>130.19999999999999</v>
      </c>
      <c r="K105" s="171">
        <f>'ET workings base'!K88</f>
        <v>131.69999999999999</v>
      </c>
    </row>
    <row r="106" spans="1:11">
      <c r="C106" s="10" t="s">
        <v>373</v>
      </c>
      <c r="D106" s="169">
        <f>-D105</f>
        <v>-123</v>
      </c>
      <c r="E106" s="169">
        <f t="shared" ref="E106:K106" si="20">-E105</f>
        <v>-122.8</v>
      </c>
      <c r="F106" s="169">
        <f t="shared" si="20"/>
        <v>-129.80000000000001</v>
      </c>
      <c r="G106" s="169">
        <f t="shared" si="20"/>
        <v>-125.6</v>
      </c>
      <c r="H106" s="169">
        <f t="shared" si="20"/>
        <v>-127.3</v>
      </c>
      <c r="I106" s="169">
        <f t="shared" si="20"/>
        <v>-128.6</v>
      </c>
      <c r="J106" s="169">
        <f t="shared" si="20"/>
        <v>-130.19999999999999</v>
      </c>
      <c r="K106" s="169">
        <f t="shared" si="20"/>
        <v>-131.69999999999999</v>
      </c>
    </row>
    <row r="107" spans="1:11">
      <c r="C107" s="11"/>
      <c r="D107" s="171"/>
      <c r="E107" s="171"/>
      <c r="F107" s="171"/>
      <c r="G107" s="171"/>
      <c r="H107" s="171"/>
      <c r="I107" s="171"/>
      <c r="J107" s="171"/>
      <c r="K107" s="171"/>
    </row>
    <row r="108" spans="1:11" ht="13.8" thickBot="1">
      <c r="C108" s="40" t="s">
        <v>374</v>
      </c>
      <c r="D108" s="46">
        <f>SUM('ET workings base'!D169:D170)</f>
        <v>53.1</v>
      </c>
      <c r="E108" s="46">
        <f>SUM('ET workings base'!E169:E170)</f>
        <v>53.000000000000007</v>
      </c>
      <c r="F108" s="46">
        <f>SUM('ET workings base'!F169:F170)</f>
        <v>50.999999999999993</v>
      </c>
      <c r="G108" s="46">
        <f>SUM('ET workings base'!G169:G170)</f>
        <v>57.5</v>
      </c>
      <c r="H108" s="46">
        <f>SUM('ET workings base'!H169:H170)</f>
        <v>49</v>
      </c>
      <c r="I108" s="46">
        <f>SUM('ET workings base'!I169:I170)</f>
        <v>28.499999999999996</v>
      </c>
      <c r="J108" s="46">
        <f>SUM('ET workings base'!J169:J170)</f>
        <v>3.6999999999999993</v>
      </c>
      <c r="K108" s="46">
        <f>SUM('ET workings base'!K169:K170)</f>
        <v>0</v>
      </c>
    </row>
    <row r="109" spans="1:11">
      <c r="A109" s="38" t="s">
        <v>364</v>
      </c>
    </row>
    <row r="110" spans="1:11" ht="13.8" thickBot="1">
      <c r="C110" s="38" t="s">
        <v>122</v>
      </c>
    </row>
    <row r="111" spans="1:11" ht="13.8" thickBot="1">
      <c r="C111" s="7" t="s">
        <v>58</v>
      </c>
      <c r="D111" s="8" t="s">
        <v>59</v>
      </c>
      <c r="E111" s="8" t="s">
        <v>60</v>
      </c>
      <c r="F111" s="8" t="s">
        <v>61</v>
      </c>
      <c r="G111" s="8" t="s">
        <v>62</v>
      </c>
      <c r="H111" s="8" t="s">
        <v>63</v>
      </c>
      <c r="I111" s="8" t="s">
        <v>64</v>
      </c>
      <c r="J111" s="8" t="s">
        <v>65</v>
      </c>
      <c r="K111" s="8" t="s">
        <v>66</v>
      </c>
    </row>
    <row r="112" spans="1:11">
      <c r="C112" s="22" t="s">
        <v>91</v>
      </c>
      <c r="D112" s="41">
        <f>'ET workings base'!D152</f>
        <v>74.160747515587701</v>
      </c>
      <c r="E112" s="41">
        <f>'ET workings base'!E152</f>
        <v>90.043901989927761</v>
      </c>
      <c r="F112" s="41">
        <f>'ET workings base'!F152</f>
        <v>101.78296147436569</v>
      </c>
      <c r="G112" s="41">
        <f>'ET workings base'!G152</f>
        <v>109.84031646742848</v>
      </c>
      <c r="H112" s="41">
        <f>'ET workings base'!H152</f>
        <v>115.2990367705342</v>
      </c>
      <c r="I112" s="41">
        <f>'ET workings base'!I152</f>
        <v>118.90291485332088</v>
      </c>
      <c r="J112" s="41">
        <f>'ET workings base'!J152</f>
        <v>118.27951763137527</v>
      </c>
      <c r="K112" s="41">
        <f>'ET workings base'!K152</f>
        <v>118.40291190007433</v>
      </c>
    </row>
    <row r="113" spans="1:14">
      <c r="C113" s="10" t="s">
        <v>86</v>
      </c>
      <c r="D113" s="42">
        <f>'ET workings base'!D153</f>
        <v>31.528475827704249</v>
      </c>
      <c r="E113" s="42">
        <f>'ET workings base'!E153</f>
        <v>30.429402160864161</v>
      </c>
      <c r="F113" s="42">
        <f>'ET workings base'!F153</f>
        <v>29.689879940870156</v>
      </c>
      <c r="G113" s="42">
        <f>'ET workings base'!G153</f>
        <v>29.503468267708236</v>
      </c>
      <c r="H113" s="42">
        <f>'ET workings base'!H153</f>
        <v>30.397665634630393</v>
      </c>
      <c r="I113" s="42">
        <f>'ET workings base'!I153</f>
        <v>28.005027611742573</v>
      </c>
      <c r="J113" s="42">
        <f>'ET workings base'!J153</f>
        <v>29.904442344862396</v>
      </c>
      <c r="K113" s="42">
        <f>'ET workings base'!K153</f>
        <v>30.433671335330679</v>
      </c>
    </row>
    <row r="114" spans="1:14">
      <c r="C114" s="11" t="s">
        <v>87</v>
      </c>
      <c r="D114" s="43">
        <f>'ET workings base'!D154</f>
        <v>-15.645321353364194</v>
      </c>
      <c r="E114" s="43">
        <f>'ET workings base'!E154</f>
        <v>-18.690342676426219</v>
      </c>
      <c r="F114" s="43">
        <f>'ET workings base'!F154</f>
        <v>-21.632524947807369</v>
      </c>
      <c r="G114" s="43">
        <f>'ET workings base'!G154</f>
        <v>-24.044747964602518</v>
      </c>
      <c r="H114" s="43">
        <f>'ET workings base'!H154</f>
        <v>-26.793787551843703</v>
      </c>
      <c r="I114" s="43">
        <f>'ET workings base'!I154</f>
        <v>-28.628424833688189</v>
      </c>
      <c r="J114" s="43">
        <f>'ET workings base'!J154</f>
        <v>-29.781048076163348</v>
      </c>
      <c r="K114" s="43">
        <f>'ET workings base'!K154</f>
        <v>-29.92262311262602</v>
      </c>
    </row>
    <row r="115" spans="1:14" ht="13.8" thickBot="1">
      <c r="C115" s="13" t="s">
        <v>94</v>
      </c>
      <c r="D115" s="52">
        <f>'ET workings base'!D155</f>
        <v>90.043901989927761</v>
      </c>
      <c r="E115" s="52">
        <f>'ET workings base'!E155</f>
        <v>101.78296147436569</v>
      </c>
      <c r="F115" s="52">
        <f>'ET workings base'!F155</f>
        <v>109.84031646742848</v>
      </c>
      <c r="G115" s="52">
        <f>'ET workings base'!G155</f>
        <v>115.2990367705342</v>
      </c>
      <c r="H115" s="52">
        <f>'ET workings base'!H155</f>
        <v>118.90291485332088</v>
      </c>
      <c r="I115" s="52">
        <f>'ET workings base'!I155</f>
        <v>118.27951763137527</v>
      </c>
      <c r="J115" s="52">
        <f>'ET workings base'!J155</f>
        <v>118.40291190007433</v>
      </c>
      <c r="K115" s="52">
        <f>'ET workings base'!K155</f>
        <v>118.913960122779</v>
      </c>
    </row>
    <row r="117" spans="1:14" ht="13.8" thickBot="1">
      <c r="C117" s="38" t="s">
        <v>395</v>
      </c>
    </row>
    <row r="118" spans="1:14" ht="13.8" thickBot="1">
      <c r="C118" s="14" t="s">
        <v>58</v>
      </c>
      <c r="D118" s="15" t="s">
        <v>59</v>
      </c>
      <c r="E118" s="15" t="s">
        <v>60</v>
      </c>
      <c r="F118" s="15" t="s">
        <v>61</v>
      </c>
      <c r="G118" s="15" t="s">
        <v>62</v>
      </c>
      <c r="H118" s="15" t="s">
        <v>63</v>
      </c>
      <c r="I118" s="15" t="s">
        <v>64</v>
      </c>
      <c r="J118" s="15" t="s">
        <v>65</v>
      </c>
      <c r="K118" s="15" t="s">
        <v>66</v>
      </c>
      <c r="L118" s="15" t="s">
        <v>118</v>
      </c>
    </row>
    <row r="119" spans="1:14">
      <c r="C119" s="16"/>
      <c r="D119" s="26"/>
      <c r="E119" s="26"/>
      <c r="F119" s="26"/>
      <c r="G119" s="26"/>
      <c r="H119" s="26"/>
      <c r="I119" s="26"/>
      <c r="J119" s="26"/>
      <c r="K119" s="26"/>
      <c r="L119" s="26"/>
    </row>
    <row r="120" spans="1:14">
      <c r="A120" t="s">
        <v>338</v>
      </c>
      <c r="C120" s="17" t="s">
        <v>119</v>
      </c>
      <c r="D120" s="27">
        <f>'ET workings base'!D8+'ET workings base'!D12</f>
        <v>39.230261993822481</v>
      </c>
      <c r="E120" s="27">
        <f>'ET workings base'!E8+'ET workings base'!E12</f>
        <v>34.208586772300464</v>
      </c>
      <c r="F120" s="27">
        <f>'ET workings base'!F8+'ET workings base'!F12</f>
        <v>29.40934615713995</v>
      </c>
      <c r="G120" s="27">
        <f>'ET workings base'!G8+'ET workings base'!G12</f>
        <v>27.165060319864111</v>
      </c>
      <c r="H120" s="27">
        <f>'ET workings base'!H8+'ET workings base'!H12</f>
        <v>29.591699211758403</v>
      </c>
      <c r="I120" s="27">
        <f>'ET workings base'!I8+'ET workings base'!I12</f>
        <v>20.377561078577621</v>
      </c>
      <c r="J120" s="27">
        <f>'ET workings base'!J8+'ET workings base'!J12</f>
        <v>25.429651204161818</v>
      </c>
      <c r="K120" s="27">
        <f>'ET workings base'!K8+'ET workings base'!K12</f>
        <v>25.40838563392731</v>
      </c>
      <c r="L120" s="28">
        <f>SUM(D120:K120)</f>
        <v>230.82055237155214</v>
      </c>
      <c r="N120" s="53"/>
    </row>
    <row r="121" spans="1:14">
      <c r="C121" s="18" t="s">
        <v>396</v>
      </c>
      <c r="D121" s="29">
        <f>'ET workings base'!D7+'ET workings base'!D13</f>
        <v>73.775027711210655</v>
      </c>
      <c r="E121" s="29">
        <f>'ET workings base'!E7+'ET workings base'!E13</f>
        <v>74.857370793520886</v>
      </c>
      <c r="F121" s="29">
        <f>'ET workings base'!F7+'ET workings base'!F13</f>
        <v>77.005994132717234</v>
      </c>
      <c r="G121" s="29">
        <f>'ET workings base'!G7+'ET workings base'!G13</f>
        <v>78.582137772280092</v>
      </c>
      <c r="H121" s="29">
        <f>'ET workings base'!H7+'ET workings base'!H13</f>
        <v>79.36050736397776</v>
      </c>
      <c r="I121" s="29">
        <f>'ET workings base'!I7+'ET workings base'!I13</f>
        <v>79.998881974263142</v>
      </c>
      <c r="J121" s="29">
        <f>'ET workings base'!J7+'ET workings base'!J13</f>
        <v>81.754729960219521</v>
      </c>
      <c r="K121" s="29">
        <f>'ET workings base'!K7+'ET workings base'!K13</f>
        <v>83.672873632490891</v>
      </c>
      <c r="L121" s="30">
        <f t="shared" ref="L121:L126" si="21">SUM(D121:K121)</f>
        <v>629.00752334068022</v>
      </c>
      <c r="N121" s="53"/>
    </row>
    <row r="122" spans="1:14">
      <c r="C122" s="19" t="s">
        <v>71</v>
      </c>
      <c r="D122" s="31">
        <f>SUM(D120:D121)</f>
        <v>113.00528970503314</v>
      </c>
      <c r="E122" s="31">
        <f t="shared" ref="E122:K122" si="22">SUM(E120:E121)</f>
        <v>109.06595756582135</v>
      </c>
      <c r="F122" s="31">
        <f t="shared" si="22"/>
        <v>106.41534028985718</v>
      </c>
      <c r="G122" s="31">
        <f t="shared" si="22"/>
        <v>105.7471980921442</v>
      </c>
      <c r="H122" s="31">
        <f t="shared" si="22"/>
        <v>108.95220657573617</v>
      </c>
      <c r="I122" s="31">
        <f t="shared" si="22"/>
        <v>100.37644305284076</v>
      </c>
      <c r="J122" s="31">
        <f t="shared" si="22"/>
        <v>107.18438116438134</v>
      </c>
      <c r="K122" s="31">
        <f t="shared" si="22"/>
        <v>109.0812592664182</v>
      </c>
      <c r="L122" s="28">
        <f t="shared" si="21"/>
        <v>859.82807571223236</v>
      </c>
    </row>
    <row r="123" spans="1:14">
      <c r="A123" t="s">
        <v>346</v>
      </c>
      <c r="C123" s="17" t="s">
        <v>121</v>
      </c>
      <c r="D123" s="27">
        <f>'ET workings base'!D31+'ET workings base'!D35</f>
        <v>39.230261993822481</v>
      </c>
      <c r="E123" s="27">
        <f>'ET workings base'!E31+'ET workings base'!E35</f>
        <v>34.208586772300464</v>
      </c>
      <c r="F123" s="27">
        <f>'ET workings base'!F31+'ET workings base'!F35</f>
        <v>29.40934615713995</v>
      </c>
      <c r="G123" s="27">
        <f>'ET workings base'!G31+'ET workings base'!G35</f>
        <v>27.165060319864111</v>
      </c>
      <c r="H123" s="27">
        <f>'ET workings base'!H31+'ET workings base'!H35</f>
        <v>29.591699211758403</v>
      </c>
      <c r="I123" s="27">
        <f>'ET workings base'!I31+'ET workings base'!I35</f>
        <v>20.377561078577621</v>
      </c>
      <c r="J123" s="27">
        <f>'ET workings base'!J31+'ET workings base'!J35</f>
        <v>25.429651204161818</v>
      </c>
      <c r="K123" s="27">
        <f>'ET workings base'!K31+'ET workings base'!K35</f>
        <v>25.40838563392731</v>
      </c>
      <c r="L123" s="28">
        <f t="shared" si="21"/>
        <v>230.82055237155214</v>
      </c>
      <c r="N123" s="53"/>
    </row>
    <row r="124" spans="1:14">
      <c r="C124" s="18" t="s">
        <v>387</v>
      </c>
      <c r="D124" s="29">
        <f>'ET workings base'!D30+'ET workings base'!D36</f>
        <v>73.775027711210655</v>
      </c>
      <c r="E124" s="29">
        <f>'ET workings base'!E30+'ET workings base'!E36</f>
        <v>74.857370793520886</v>
      </c>
      <c r="F124" s="29">
        <f>'ET workings base'!F30+'ET workings base'!F36</f>
        <v>77.005994132717234</v>
      </c>
      <c r="G124" s="29">
        <f>'ET workings base'!G30+'ET workings base'!G36</f>
        <v>78.582137772280092</v>
      </c>
      <c r="H124" s="29">
        <f>'ET workings base'!H30+'ET workings base'!H36</f>
        <v>79.36050736397776</v>
      </c>
      <c r="I124" s="29">
        <f>'ET workings base'!I30+'ET workings base'!I36</f>
        <v>79.998881974263142</v>
      </c>
      <c r="J124" s="29">
        <f>'ET workings base'!J30+'ET workings base'!J36</f>
        <v>81.754729960219521</v>
      </c>
      <c r="K124" s="29">
        <f>'ET workings base'!K30+'ET workings base'!K36</f>
        <v>83.672873632490891</v>
      </c>
      <c r="L124" s="30">
        <f t="shared" si="21"/>
        <v>629.00752334068022</v>
      </c>
      <c r="N124" s="53"/>
    </row>
    <row r="125" spans="1:14">
      <c r="C125" s="19" t="s">
        <v>77</v>
      </c>
      <c r="D125" s="31">
        <f>SUM(D123:D124)</f>
        <v>113.00528970503314</v>
      </c>
      <c r="E125" s="31">
        <f t="shared" ref="E125:K125" si="23">SUM(E123:E124)</f>
        <v>109.06595756582135</v>
      </c>
      <c r="F125" s="31">
        <f t="shared" si="23"/>
        <v>106.41534028985718</v>
      </c>
      <c r="G125" s="31">
        <f t="shared" si="23"/>
        <v>105.7471980921442</v>
      </c>
      <c r="H125" s="31">
        <f t="shared" si="23"/>
        <v>108.95220657573617</v>
      </c>
      <c r="I125" s="31">
        <f t="shared" si="23"/>
        <v>100.37644305284076</v>
      </c>
      <c r="J125" s="31">
        <f t="shared" si="23"/>
        <v>107.18438116438134</v>
      </c>
      <c r="K125" s="31">
        <f t="shared" si="23"/>
        <v>109.0812592664182</v>
      </c>
      <c r="L125" s="28">
        <f t="shared" si="21"/>
        <v>859.82807571223236</v>
      </c>
    </row>
    <row r="126" spans="1:14">
      <c r="A126" t="s">
        <v>233</v>
      </c>
      <c r="C126" s="17" t="s">
        <v>388</v>
      </c>
      <c r="D126" s="27">
        <f>D120-(D120-D123)*$K$2</f>
        <v>39.230261993822481</v>
      </c>
      <c r="E126" s="27">
        <f t="shared" ref="E126:K126" si="24">E120-(E120-E123)*$K$2</f>
        <v>34.208586772300464</v>
      </c>
      <c r="F126" s="27">
        <f t="shared" si="24"/>
        <v>29.40934615713995</v>
      </c>
      <c r="G126" s="27">
        <f t="shared" si="24"/>
        <v>27.165060319864111</v>
      </c>
      <c r="H126" s="27">
        <f t="shared" si="24"/>
        <v>29.591699211758403</v>
      </c>
      <c r="I126" s="27">
        <f t="shared" si="24"/>
        <v>20.377561078577621</v>
      </c>
      <c r="J126" s="27">
        <f t="shared" si="24"/>
        <v>25.429651204161818</v>
      </c>
      <c r="K126" s="27">
        <f t="shared" si="24"/>
        <v>25.40838563392731</v>
      </c>
      <c r="L126" s="28">
        <f t="shared" si="21"/>
        <v>230.82055237155214</v>
      </c>
      <c r="N126" s="53"/>
    </row>
    <row r="127" spans="1:14">
      <c r="C127" s="18" t="s">
        <v>389</v>
      </c>
      <c r="D127" s="29">
        <f>D121-(D121-D124)*$K$2</f>
        <v>73.775027711210655</v>
      </c>
      <c r="E127" s="29">
        <f t="shared" ref="E127:K127" si="25">E121-(E121-E124)*$K$2</f>
        <v>74.857370793520886</v>
      </c>
      <c r="F127" s="29">
        <f t="shared" si="25"/>
        <v>77.005994132717234</v>
      </c>
      <c r="G127" s="29">
        <f t="shared" si="25"/>
        <v>78.582137772280092</v>
      </c>
      <c r="H127" s="29">
        <f t="shared" si="25"/>
        <v>79.36050736397776</v>
      </c>
      <c r="I127" s="29">
        <f t="shared" si="25"/>
        <v>79.998881974263142</v>
      </c>
      <c r="J127" s="29">
        <f t="shared" si="25"/>
        <v>81.754729960219521</v>
      </c>
      <c r="K127" s="29">
        <f t="shared" si="25"/>
        <v>83.672873632490891</v>
      </c>
      <c r="L127" s="30">
        <f t="shared" ref="L127:L128" si="26">SUM(D127:K127)</f>
        <v>629.00752334068022</v>
      </c>
      <c r="N127" s="53"/>
    </row>
    <row r="128" spans="1:14">
      <c r="C128" s="19" t="s">
        <v>78</v>
      </c>
      <c r="D128" s="31">
        <f>SUM(D126:D127)</f>
        <v>113.00528970503314</v>
      </c>
      <c r="E128" s="31">
        <f t="shared" ref="E128" si="27">SUM(E126:E127)</f>
        <v>109.06595756582135</v>
      </c>
      <c r="F128" s="31">
        <f t="shared" ref="F128" si="28">SUM(F126:F127)</f>
        <v>106.41534028985718</v>
      </c>
      <c r="G128" s="31">
        <f t="shared" ref="G128" si="29">SUM(G126:G127)</f>
        <v>105.7471980921442</v>
      </c>
      <c r="H128" s="31">
        <f t="shared" ref="H128" si="30">SUM(H126:H127)</f>
        <v>108.95220657573617</v>
      </c>
      <c r="I128" s="31">
        <f t="shared" ref="I128" si="31">SUM(I126:I127)</f>
        <v>100.37644305284076</v>
      </c>
      <c r="J128" s="31">
        <f t="shared" ref="J128" si="32">SUM(J126:J127)</f>
        <v>107.18438116438134</v>
      </c>
      <c r="K128" s="31">
        <f t="shared" ref="K128" si="33">SUM(K126:K127)</f>
        <v>109.0812592664182</v>
      </c>
      <c r="L128" s="28">
        <f t="shared" si="26"/>
        <v>859.82807571223236</v>
      </c>
    </row>
    <row r="129" spans="1:12">
      <c r="C129" s="20"/>
      <c r="D129" s="32"/>
      <c r="E129" s="32"/>
      <c r="F129" s="32"/>
      <c r="G129" s="32"/>
      <c r="H129" s="32"/>
      <c r="I129" s="32"/>
      <c r="J129" s="32"/>
      <c r="K129" s="32"/>
      <c r="L129" s="33"/>
    </row>
    <row r="130" spans="1:12">
      <c r="C130" s="17" t="s">
        <v>79</v>
      </c>
      <c r="D130" s="27">
        <f>'ET workings base'!D175</f>
        <v>81.476813877328894</v>
      </c>
      <c r="E130" s="27">
        <f>'ET workings base'!E175</f>
        <v>78.636555404957193</v>
      </c>
      <c r="F130" s="27">
        <f>'ET workings base'!F175</f>
        <v>76.725460348987028</v>
      </c>
      <c r="G130" s="27">
        <f>'ET workings base'!G175</f>
        <v>76.243729824435974</v>
      </c>
      <c r="H130" s="27">
        <f>'ET workings base'!H175</f>
        <v>78.55454094110577</v>
      </c>
      <c r="I130" s="27">
        <f>'ET workings base'!I175</f>
        <v>72.371415441098179</v>
      </c>
      <c r="J130" s="27">
        <f>'ET workings base'!J175</f>
        <v>77.279938819518947</v>
      </c>
      <c r="K130" s="27">
        <f>'ET workings base'!K175</f>
        <v>78.647587931087514</v>
      </c>
      <c r="L130" s="28">
        <f t="shared" ref="L130:L132" si="34">SUM(D130:K130)</f>
        <v>619.93604258851951</v>
      </c>
    </row>
    <row r="131" spans="1:12">
      <c r="C131" s="18" t="s">
        <v>80</v>
      </c>
      <c r="D131" s="29">
        <f>'ET workings base'!D174</f>
        <v>31.528475827704249</v>
      </c>
      <c r="E131" s="29">
        <f>'ET workings base'!E174</f>
        <v>30.429402160864161</v>
      </c>
      <c r="F131" s="29">
        <f>'ET workings base'!F174</f>
        <v>29.689879940870156</v>
      </c>
      <c r="G131" s="29">
        <f>'ET workings base'!G174</f>
        <v>29.503468267708236</v>
      </c>
      <c r="H131" s="29">
        <f>'ET workings base'!H174</f>
        <v>30.397665634630393</v>
      </c>
      <c r="I131" s="29">
        <f>'ET workings base'!I174</f>
        <v>28.005027611742573</v>
      </c>
      <c r="J131" s="29">
        <f>'ET workings base'!J174</f>
        <v>29.904442344862396</v>
      </c>
      <c r="K131" s="29">
        <f>'ET workings base'!K174</f>
        <v>30.433671335330679</v>
      </c>
      <c r="L131" s="30">
        <f t="shared" si="34"/>
        <v>239.89203312371282</v>
      </c>
    </row>
    <row r="132" spans="1:12" ht="13.8" thickBot="1">
      <c r="C132" s="21" t="s">
        <v>390</v>
      </c>
      <c r="D132" s="34">
        <f t="shared" ref="D132:K132" si="35">SUM(D130:D131)</f>
        <v>113.00528970503314</v>
      </c>
      <c r="E132" s="34">
        <f t="shared" si="35"/>
        <v>109.06595756582135</v>
      </c>
      <c r="F132" s="34">
        <f t="shared" si="35"/>
        <v>106.41534028985718</v>
      </c>
      <c r="G132" s="34">
        <f t="shared" si="35"/>
        <v>105.7471980921442</v>
      </c>
      <c r="H132" s="34">
        <f t="shared" si="35"/>
        <v>108.95220657573617</v>
      </c>
      <c r="I132" s="34">
        <f t="shared" si="35"/>
        <v>100.37644305284076</v>
      </c>
      <c r="J132" s="34">
        <f t="shared" si="35"/>
        <v>107.18438116438134</v>
      </c>
      <c r="K132" s="34">
        <f t="shared" si="35"/>
        <v>109.08125926641819</v>
      </c>
      <c r="L132" s="35">
        <f t="shared" si="34"/>
        <v>859.82807571223236</v>
      </c>
    </row>
    <row r="134" spans="1:12" ht="13.8" thickBot="1">
      <c r="A134" s="38" t="s">
        <v>375</v>
      </c>
    </row>
    <row r="135" spans="1:12" ht="13.8" thickBot="1">
      <c r="C135" s="7" t="s">
        <v>58</v>
      </c>
      <c r="D135" s="8" t="s">
        <v>59</v>
      </c>
      <c r="E135" s="8" t="s">
        <v>60</v>
      </c>
      <c r="F135" s="8" t="s">
        <v>61</v>
      </c>
      <c r="G135" s="8" t="s">
        <v>62</v>
      </c>
      <c r="H135" s="8" t="s">
        <v>63</v>
      </c>
      <c r="I135" s="8" t="s">
        <v>64</v>
      </c>
      <c r="J135" s="8" t="s">
        <v>65</v>
      </c>
      <c r="K135" s="8" t="s">
        <v>66</v>
      </c>
    </row>
    <row r="136" spans="1:12">
      <c r="C136" s="22" t="s">
        <v>79</v>
      </c>
      <c r="D136" s="41">
        <f>'ET workings base'!D194</f>
        <v>81.476813877328894</v>
      </c>
      <c r="E136" s="41">
        <f>'ET workings base'!E194</f>
        <v>78.636555404957193</v>
      </c>
      <c r="F136" s="41">
        <f>'ET workings base'!F194</f>
        <v>76.725460348987028</v>
      </c>
      <c r="G136" s="41">
        <f>'ET workings base'!G194</f>
        <v>76.243729824435974</v>
      </c>
      <c r="H136" s="41">
        <f>'ET workings base'!H194</f>
        <v>78.55454094110577</v>
      </c>
      <c r="I136" s="41">
        <f>'ET workings base'!I194</f>
        <v>72.371415441098179</v>
      </c>
      <c r="J136" s="41">
        <f>'ET workings base'!J194</f>
        <v>77.279938819518947</v>
      </c>
      <c r="K136" s="41">
        <f>'ET workings base'!K194</f>
        <v>78.647587931087514</v>
      </c>
      <c r="L136" s="28"/>
    </row>
    <row r="137" spans="1:12">
      <c r="C137" s="10" t="s">
        <v>98</v>
      </c>
      <c r="D137" s="42">
        <f>'ET workings base'!D195</f>
        <v>0</v>
      </c>
      <c r="E137" s="42">
        <f>'ET workings base'!E195</f>
        <v>0</v>
      </c>
      <c r="F137" s="42">
        <f>'ET workings base'!F195</f>
        <v>0</v>
      </c>
      <c r="G137" s="42">
        <f>'ET workings base'!G195</f>
        <v>0</v>
      </c>
      <c r="H137" s="42">
        <f>'ET workings base'!H195</f>
        <v>0</v>
      </c>
      <c r="I137" s="42">
        <f>'ET workings base'!I195</f>
        <v>0</v>
      </c>
      <c r="J137" s="42">
        <f>'ET workings base'!J195</f>
        <v>0</v>
      </c>
      <c r="K137" s="42">
        <f>'ET workings base'!K195</f>
        <v>0</v>
      </c>
      <c r="L137" s="28"/>
    </row>
    <row r="138" spans="1:12">
      <c r="C138" s="11" t="s">
        <v>99</v>
      </c>
      <c r="D138" s="43">
        <f>'ET workings base'!D225</f>
        <v>10.271521977223172</v>
      </c>
      <c r="E138" s="43">
        <f>'ET workings base'!E225</f>
        <v>10.215919391797028</v>
      </c>
      <c r="F138" s="43">
        <f>'ET workings base'!F225</f>
        <v>10.262337776682289</v>
      </c>
      <c r="G138" s="43">
        <f>'ET workings base'!G225</f>
        <v>10.410869126447524</v>
      </c>
      <c r="H138" s="43">
        <f>'ET workings base'!H225</f>
        <v>10.361609623254074</v>
      </c>
      <c r="I138" s="43">
        <f>'ET workings base'!I225</f>
        <v>10.414659827475258</v>
      </c>
      <c r="J138" s="43">
        <f>'ET workings base'!J225</f>
        <v>10.57012487699259</v>
      </c>
      <c r="K138" s="43">
        <f>'ET workings base'!K225</f>
        <v>10.528114695563952</v>
      </c>
      <c r="L138" s="28"/>
    </row>
    <row r="139" spans="1:12">
      <c r="C139" s="10" t="s">
        <v>100</v>
      </c>
      <c r="D139" s="42">
        <f>'ET workings base'!D198</f>
        <v>0</v>
      </c>
      <c r="E139" s="42">
        <f>'ET workings base'!E198</f>
        <v>0</v>
      </c>
      <c r="F139" s="42">
        <f>'ET workings base'!F198</f>
        <v>0</v>
      </c>
      <c r="G139" s="42">
        <f>'ET workings base'!G198</f>
        <v>0</v>
      </c>
      <c r="H139" s="42">
        <f>'ET workings base'!H198</f>
        <v>0</v>
      </c>
      <c r="I139" s="42">
        <f>'ET workings base'!I198</f>
        <v>0</v>
      </c>
      <c r="J139" s="42">
        <f>'ET workings base'!J198</f>
        <v>0</v>
      </c>
      <c r="K139" s="42">
        <f>'ET workings base'!K198</f>
        <v>0</v>
      </c>
      <c r="L139" s="28"/>
    </row>
    <row r="140" spans="1:12">
      <c r="C140" s="11" t="s">
        <v>101</v>
      </c>
      <c r="D140" s="43">
        <f>'ET workings base'!D199</f>
        <v>0.93219394583370041</v>
      </c>
      <c r="E140" s="43">
        <f>'ET workings base'!E199</f>
        <v>0.89969793099769935</v>
      </c>
      <c r="F140" s="43">
        <f>'ET workings base'!F199</f>
        <v>0.87783267686821986</v>
      </c>
      <c r="G140" s="43">
        <f>'ET workings base'!G199</f>
        <v>0.87232109317784745</v>
      </c>
      <c r="H140" s="43">
        <f>'ET workings base'!H199</f>
        <v>0.89875958568159287</v>
      </c>
      <c r="I140" s="43">
        <f>'ET workings base'!I199</f>
        <v>0.82801710222961211</v>
      </c>
      <c r="J140" s="43">
        <f>'ET workings base'!J199</f>
        <v>0.88417658562860901</v>
      </c>
      <c r="K140" s="43">
        <f>'ET workings base'!K199</f>
        <v>0.89982415652833225</v>
      </c>
      <c r="L140" s="28"/>
    </row>
    <row r="141" spans="1:12">
      <c r="C141" s="10" t="s">
        <v>102</v>
      </c>
      <c r="D141" s="42">
        <f>'ET workings base'!D201</f>
        <v>2.0016092127672556</v>
      </c>
      <c r="E141" s="42">
        <f>'ET workings base'!E201</f>
        <v>0.82522992535408668</v>
      </c>
      <c r="F141" s="42">
        <f>'ET workings base'!F201</f>
        <v>0.15069905537749376</v>
      </c>
      <c r="G141" s="42">
        <f>'ET workings base'!G201</f>
        <v>0.12384729257669767</v>
      </c>
      <c r="H141" s="42">
        <f>'ET workings base'!H201</f>
        <v>1.0117778450783115</v>
      </c>
      <c r="I141" s="42">
        <f>'ET workings base'!I201</f>
        <v>0</v>
      </c>
      <c r="J141" s="42">
        <f>'ET workings base'!J201</f>
        <v>1.0108904590811443</v>
      </c>
      <c r="K141" s="42">
        <f>'ET workings base'!K201</f>
        <v>0.90951351468726149</v>
      </c>
      <c r="L141" s="28"/>
    </row>
    <row r="142" spans="1:12">
      <c r="C142" s="11" t="s">
        <v>103</v>
      </c>
      <c r="D142" s="43">
        <f>'ET workings base'!D196+'ET workings base'!D197</f>
        <v>19.293392138839359</v>
      </c>
      <c r="E142" s="43">
        <f>'ET workings base'!E196+'ET workings base'!E197</f>
        <v>22.955462487098643</v>
      </c>
      <c r="F142" s="43">
        <f>'ET workings base'!F196+'ET workings base'!F197</f>
        <v>26.340226892105825</v>
      </c>
      <c r="G142" s="43">
        <f>'ET workings base'!G196+'ET workings base'!G197</f>
        <v>29.054666583027249</v>
      </c>
      <c r="H142" s="43">
        <f>'ET workings base'!H196+'ET workings base'!H197</f>
        <v>32.006399725287835</v>
      </c>
      <c r="I142" s="43">
        <f>'ET workings base'!I196+'ET workings base'!I197</f>
        <v>33.909490493381291</v>
      </c>
      <c r="J142" s="43">
        <f>'ET workings base'!J196+'ET workings base'!J197</f>
        <v>35.050611393786077</v>
      </c>
      <c r="K142" s="43">
        <f>'ET workings base'!K196+'ET workings base'!K197</f>
        <v>35.20611992928292</v>
      </c>
      <c r="L142" s="28"/>
    </row>
    <row r="143" spans="1:12">
      <c r="C143" s="11" t="s">
        <v>169</v>
      </c>
      <c r="D143" s="43">
        <f>'ET workings base'!D229</f>
        <v>0</v>
      </c>
      <c r="E143" s="43">
        <f>'ET workings base'!E229</f>
        <v>0</v>
      </c>
      <c r="F143" s="43">
        <f>'ET workings base'!F229</f>
        <v>0</v>
      </c>
      <c r="G143" s="43">
        <f>'ET workings base'!G229</f>
        <v>0</v>
      </c>
      <c r="H143" s="43">
        <f>'ET workings base'!H229</f>
        <v>0</v>
      </c>
      <c r="I143" s="43">
        <f>'ET workings base'!I229</f>
        <v>0</v>
      </c>
      <c r="J143" s="43">
        <f>'ET workings base'!J229</f>
        <v>0</v>
      </c>
      <c r="K143" s="43">
        <f>'ET workings base'!K229</f>
        <v>0</v>
      </c>
      <c r="L143" s="28"/>
    </row>
    <row r="144" spans="1:12" ht="13.8" thickBot="1">
      <c r="C144" s="13" t="s">
        <v>107</v>
      </c>
      <c r="D144" s="52">
        <f>SUM(D136:D142)</f>
        <v>113.97553115199239</v>
      </c>
      <c r="E144" s="52">
        <f t="shared" ref="E144:K144" si="36">SUM(E136:E142)</f>
        <v>113.53286514020465</v>
      </c>
      <c r="F144" s="52">
        <f t="shared" si="36"/>
        <v>114.35655675002084</v>
      </c>
      <c r="G144" s="52">
        <f t="shared" si="36"/>
        <v>116.7054339196653</v>
      </c>
      <c r="H144" s="52">
        <f t="shared" si="36"/>
        <v>122.83308772040758</v>
      </c>
      <c r="I144" s="52">
        <f t="shared" si="36"/>
        <v>117.52358286418433</v>
      </c>
      <c r="J144" s="52">
        <f t="shared" si="36"/>
        <v>124.79574213500737</v>
      </c>
      <c r="K144" s="52">
        <f t="shared" si="36"/>
        <v>126.19116022714999</v>
      </c>
      <c r="L144" s="28"/>
    </row>
    <row r="145" spans="4:12">
      <c r="D145" s="53">
        <f>'ET workings base'!D212-'Baseline NGET'!D144</f>
        <v>0</v>
      </c>
      <c r="E145" s="53">
        <f>'ET workings base'!E212-'Baseline NGET'!E144</f>
        <v>0</v>
      </c>
      <c r="F145" s="53">
        <f>'ET workings base'!F212-'Baseline NGET'!F144</f>
        <v>0</v>
      </c>
      <c r="G145" s="53">
        <f>'ET workings base'!G212-'Baseline NGET'!G144</f>
        <v>0</v>
      </c>
      <c r="H145" s="53">
        <f>'ET workings base'!H212-'Baseline NGET'!H144</f>
        <v>0</v>
      </c>
      <c r="I145" s="53">
        <f>'ET workings base'!I212-'Baseline NGET'!I144</f>
        <v>0</v>
      </c>
      <c r="J145" s="53">
        <f>'ET workings base'!J212-'Baseline NGET'!J144</f>
        <v>0</v>
      </c>
      <c r="K145" s="53">
        <f>'ET workings base'!K212-'Baseline NGET'!K144</f>
        <v>0</v>
      </c>
      <c r="L145" s="53"/>
    </row>
  </sheetData>
  <pageMargins left="0.7" right="0.7" top="0.75" bottom="0.75" header="0.3" footer="0.3"/>
  <pageSetup paperSize="9" orientation="portrait"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tint="-0.249977111117893"/>
  </sheetPr>
  <dimension ref="A1:Y232"/>
  <sheetViews>
    <sheetView zoomScale="70" zoomScaleNormal="70" workbookViewId="0">
      <pane xSplit="2" ySplit="4" topLeftCell="C77" activePane="bottomRight" state="frozen"/>
      <selection pane="topRight" activeCell="H35" sqref="H35"/>
      <selection pane="bottomLeft" activeCell="H35" sqref="H35"/>
      <selection pane="bottomRight" activeCell="H35" sqref="H35"/>
    </sheetView>
  </sheetViews>
  <sheetFormatPr defaultRowHeight="13.2"/>
  <cols>
    <col min="1" max="1" width="3"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339</v>
      </c>
    </row>
    <row r="7" spans="2:22">
      <c r="B7" t="s">
        <v>204</v>
      </c>
      <c r="D7" s="187">
        <v>73.775027711210655</v>
      </c>
      <c r="E7" s="187">
        <v>74.857370793520886</v>
      </c>
      <c r="F7" s="187">
        <v>77.005994132717234</v>
      </c>
      <c r="G7" s="187">
        <v>78.582137772280092</v>
      </c>
      <c r="H7" s="187">
        <v>79.36050736397776</v>
      </c>
      <c r="I7" s="187">
        <v>79.998881974263142</v>
      </c>
      <c r="J7" s="187">
        <v>81.754729960219521</v>
      </c>
      <c r="K7" s="187">
        <v>83.672873632490891</v>
      </c>
      <c r="L7" s="53">
        <f>SUM(D7:K7)</f>
        <v>629.00752334068022</v>
      </c>
      <c r="N7" s="53">
        <f>D7*N$1</f>
        <v>86.09545733898284</v>
      </c>
      <c r="O7" s="53">
        <f t="shared" ref="O7:O8" si="0">E7*O$1</f>
        <v>89.080271244289847</v>
      </c>
      <c r="P7" s="53">
        <f t="shared" ref="P7:P8" si="1">F7*P$1</f>
        <v>92.561204947526107</v>
      </c>
      <c r="Q7" s="53">
        <f t="shared" ref="Q7:Q8" si="2">G7*Q$1</f>
        <v>96.498865184359957</v>
      </c>
      <c r="R7" s="53">
        <f t="shared" ref="R7:R8" si="3">H7*R$1</f>
        <v>101.10528638170767</v>
      </c>
      <c r="S7" s="53">
        <f t="shared" ref="S7:S8" si="4">I7*S$1</f>
        <v>105.0385320322075</v>
      </c>
      <c r="T7" s="53">
        <f t="shared" ref="T7:T8" si="5">J7*T$1</f>
        <v>110.28713071633614</v>
      </c>
      <c r="U7" s="53">
        <f t="shared" ref="U7:U8" si="6">K7*U$1</f>
        <v>116.13794860189735</v>
      </c>
      <c r="V7" s="53">
        <f>SUM(N7:U7)</f>
        <v>796.80469644730749</v>
      </c>
    </row>
    <row r="8" spans="2:22">
      <c r="B8" t="s">
        <v>206</v>
      </c>
      <c r="D8" s="187">
        <v>39.230261993822481</v>
      </c>
      <c r="E8" s="187">
        <v>34.208586772300464</v>
      </c>
      <c r="F8" s="187">
        <v>29.40934615713995</v>
      </c>
      <c r="G8" s="187">
        <v>27.165060319864111</v>
      </c>
      <c r="H8" s="187">
        <v>29.591699211758403</v>
      </c>
      <c r="I8" s="187">
        <v>20.377561078577621</v>
      </c>
      <c r="J8" s="187">
        <v>25.429651204161818</v>
      </c>
      <c r="K8" s="187">
        <v>25.40838563392731</v>
      </c>
      <c r="L8" s="53">
        <f>SUM(D8:K8)</f>
        <v>230.82055237155214</v>
      </c>
      <c r="N8" s="53">
        <f t="shared" ref="N8" si="7">D8*N$1</f>
        <v>45.781715746790837</v>
      </c>
      <c r="O8" s="53">
        <f t="shared" si="0"/>
        <v>40.708218259037551</v>
      </c>
      <c r="P8" s="53">
        <f t="shared" si="1"/>
        <v>35.350034080882217</v>
      </c>
      <c r="Q8" s="53">
        <f t="shared" si="2"/>
        <v>33.358694072793128</v>
      </c>
      <c r="R8" s="53">
        <f t="shared" si="3"/>
        <v>37.699824795780209</v>
      </c>
      <c r="S8" s="53">
        <f t="shared" si="4"/>
        <v>26.755737696172414</v>
      </c>
      <c r="T8" s="53">
        <f t="shared" si="5"/>
        <v>34.304599474414289</v>
      </c>
      <c r="U8" s="53">
        <f t="shared" si="6"/>
        <v>35.266839259891107</v>
      </c>
      <c r="V8" s="53">
        <f>SUM(N8:U8)</f>
        <v>289.22566338576178</v>
      </c>
    </row>
    <row r="9" spans="2:22">
      <c r="B9" s="38" t="s">
        <v>207</v>
      </c>
      <c r="D9" s="57">
        <f>SUM(D7:D8)</f>
        <v>113.00528970503314</v>
      </c>
      <c r="E9" s="57">
        <f t="shared" ref="E9:L9" si="8">SUM(E7:E8)</f>
        <v>109.06595756582135</v>
      </c>
      <c r="F9" s="57">
        <f t="shared" si="8"/>
        <v>106.41534028985718</v>
      </c>
      <c r="G9" s="57">
        <f t="shared" si="8"/>
        <v>105.7471980921442</v>
      </c>
      <c r="H9" s="57">
        <f t="shared" si="8"/>
        <v>108.95220657573617</v>
      </c>
      <c r="I9" s="57">
        <f t="shared" si="8"/>
        <v>100.37644305284076</v>
      </c>
      <c r="J9" s="57">
        <f t="shared" si="8"/>
        <v>107.18438116438134</v>
      </c>
      <c r="K9" s="57">
        <f t="shared" si="8"/>
        <v>109.0812592664182</v>
      </c>
      <c r="L9" s="57">
        <f t="shared" si="8"/>
        <v>859.82807571223236</v>
      </c>
      <c r="N9" s="57">
        <f>SUM(N7:N8)</f>
        <v>131.87717308577368</v>
      </c>
      <c r="O9" s="57">
        <f t="shared" ref="O9" si="9">SUM(O7:O8)</f>
        <v>129.78848950332741</v>
      </c>
      <c r="P9" s="57">
        <f t="shared" ref="P9" si="10">SUM(P7:P8)</f>
        <v>127.91123902840832</v>
      </c>
      <c r="Q9" s="57">
        <f t="shared" ref="Q9" si="11">SUM(Q7:Q8)</f>
        <v>129.85755925715307</v>
      </c>
      <c r="R9" s="57">
        <f t="shared" ref="R9" si="12">SUM(R7:R8)</f>
        <v>138.80511117748787</v>
      </c>
      <c r="S9" s="57">
        <f t="shared" ref="S9" si="13">SUM(S7:S8)</f>
        <v>131.7942697283799</v>
      </c>
      <c r="T9" s="57">
        <f t="shared" ref="T9" si="14">SUM(T7:T8)</f>
        <v>144.59173019075041</v>
      </c>
      <c r="U9" s="57">
        <f t="shared" ref="U9" si="15">SUM(U7:U8)</f>
        <v>151.40478786178846</v>
      </c>
      <c r="V9" s="57">
        <f t="shared" ref="V9" si="16">SUM(V7:V8)</f>
        <v>1086.0303598330693</v>
      </c>
    </row>
    <row r="10" spans="2:22">
      <c r="D10" s="53"/>
      <c r="E10" s="53"/>
      <c r="F10" s="53"/>
      <c r="G10" s="53"/>
      <c r="H10" s="53"/>
      <c r="I10" s="53"/>
      <c r="J10" s="53"/>
      <c r="K10" s="53"/>
      <c r="N10" s="53"/>
      <c r="O10" s="53"/>
      <c r="P10" s="53"/>
      <c r="Q10" s="53"/>
      <c r="R10" s="53"/>
      <c r="S10" s="53"/>
      <c r="T10" s="53"/>
      <c r="U10" s="53"/>
      <c r="V10" s="53"/>
    </row>
    <row r="11" spans="2:22">
      <c r="B11" s="38" t="s">
        <v>340</v>
      </c>
      <c r="D11" s="53"/>
      <c r="E11" s="53"/>
      <c r="F11" s="53"/>
      <c r="G11" s="53"/>
      <c r="H11" s="53"/>
      <c r="I11" s="53"/>
      <c r="J11" s="53"/>
      <c r="K11" s="53"/>
      <c r="N11" s="53"/>
      <c r="O11" s="53"/>
      <c r="P11" s="53"/>
      <c r="Q11" s="53"/>
      <c r="R11" s="53"/>
      <c r="S11" s="53"/>
      <c r="T11" s="53"/>
      <c r="U11" s="53"/>
      <c r="V11" s="53"/>
    </row>
    <row r="12" spans="2:22">
      <c r="B12" t="s">
        <v>210</v>
      </c>
      <c r="D12" s="188">
        <v>0</v>
      </c>
      <c r="E12" s="188">
        <v>0</v>
      </c>
      <c r="F12" s="188">
        <v>0</v>
      </c>
      <c r="G12" s="188">
        <v>0</v>
      </c>
      <c r="H12" s="188">
        <v>0</v>
      </c>
      <c r="I12" s="188">
        <v>0</v>
      </c>
      <c r="J12" s="188">
        <v>0</v>
      </c>
      <c r="K12" s="188">
        <v>0</v>
      </c>
      <c r="L12" s="53">
        <f>SUM(D12:K12)</f>
        <v>0</v>
      </c>
      <c r="N12" s="53">
        <f>D12*N$1</f>
        <v>0</v>
      </c>
      <c r="O12" s="53">
        <f t="shared" ref="O12" si="17">E12*O$1</f>
        <v>0</v>
      </c>
      <c r="P12" s="53">
        <f t="shared" ref="P12" si="18">F12*P$1</f>
        <v>0</v>
      </c>
      <c r="Q12" s="53">
        <f t="shared" ref="Q12" si="19">G12*Q$1</f>
        <v>0</v>
      </c>
      <c r="R12" s="53">
        <f t="shared" ref="R12" si="20">H12*R$1</f>
        <v>0</v>
      </c>
      <c r="S12" s="53">
        <f t="shared" ref="S12" si="21">I12*S$1</f>
        <v>0</v>
      </c>
      <c r="T12" s="53">
        <f t="shared" ref="T12" si="22">J12*T$1</f>
        <v>0</v>
      </c>
      <c r="U12" s="53">
        <f t="shared" ref="U12" si="23">K12*U$1</f>
        <v>0</v>
      </c>
      <c r="V12" s="53">
        <f>SUM(N12:U12)</f>
        <v>0</v>
      </c>
    </row>
    <row r="13" spans="2:22">
      <c r="B13" t="s">
        <v>212</v>
      </c>
      <c r="D13" s="188">
        <v>0</v>
      </c>
      <c r="E13" s="188">
        <v>0</v>
      </c>
      <c r="F13" s="188">
        <v>0</v>
      </c>
      <c r="G13" s="188">
        <v>0</v>
      </c>
      <c r="H13" s="188">
        <v>0</v>
      </c>
      <c r="I13" s="188">
        <v>0</v>
      </c>
      <c r="J13" s="188">
        <v>0</v>
      </c>
      <c r="K13" s="188">
        <v>0</v>
      </c>
      <c r="L13" s="53">
        <f>SUM(D13:K13)</f>
        <v>0</v>
      </c>
      <c r="N13" s="53">
        <f>D13*N$1</f>
        <v>0</v>
      </c>
      <c r="O13" s="53">
        <f t="shared" ref="O13" si="24">E13*O$1</f>
        <v>0</v>
      </c>
      <c r="P13" s="53">
        <f t="shared" ref="P13" si="25">F13*P$1</f>
        <v>0</v>
      </c>
      <c r="Q13" s="53">
        <f t="shared" ref="Q13" si="26">G13*Q$1</f>
        <v>0</v>
      </c>
      <c r="R13" s="53">
        <f t="shared" ref="R13" si="27">H13*R$1</f>
        <v>0</v>
      </c>
      <c r="S13" s="53">
        <f t="shared" ref="S13" si="28">I13*S$1</f>
        <v>0</v>
      </c>
      <c r="T13" s="53">
        <f t="shared" ref="T13" si="29">J13*T$1</f>
        <v>0</v>
      </c>
      <c r="U13" s="53">
        <f t="shared" ref="U13" si="30">K13*U$1</f>
        <v>0</v>
      </c>
      <c r="V13" s="53">
        <f>SUM(N13:U13)</f>
        <v>0</v>
      </c>
    </row>
    <row r="14" spans="2:22">
      <c r="B14" s="38" t="s">
        <v>341</v>
      </c>
      <c r="N14" s="53"/>
      <c r="O14" s="53"/>
      <c r="P14" s="53"/>
      <c r="Q14" s="53"/>
      <c r="R14" s="53"/>
      <c r="S14" s="53"/>
      <c r="T14" s="53"/>
      <c r="U14" s="53"/>
      <c r="V14" s="53"/>
    </row>
    <row r="15" spans="2:22">
      <c r="B15" t="s">
        <v>342</v>
      </c>
      <c r="D15" s="187">
        <v>241.91835100747039</v>
      </c>
      <c r="E15" s="187">
        <v>206.22285805015076</v>
      </c>
      <c r="F15" s="187">
        <v>183.4765697039528</v>
      </c>
      <c r="G15" s="187">
        <v>187.40173539185469</v>
      </c>
      <c r="H15" s="187">
        <v>142.92705896695065</v>
      </c>
      <c r="I15" s="187">
        <v>124.46128971626086</v>
      </c>
      <c r="J15" s="187">
        <v>44.072350609794569</v>
      </c>
      <c r="K15" s="187">
        <v>28.383548641119383</v>
      </c>
      <c r="L15" s="53">
        <f t="shared" ref="L15:L17" si="31">SUM(D15:K15)</f>
        <v>1158.8637620875541</v>
      </c>
      <c r="N15" s="53">
        <f>D15*N$1</f>
        <v>282.31871562571797</v>
      </c>
      <c r="O15" s="53">
        <f t="shared" ref="O15:O17" si="32">E15*O$1</f>
        <v>245.40520107967939</v>
      </c>
      <c r="P15" s="53">
        <f t="shared" ref="P15:P17" si="33">F15*P$1</f>
        <v>220.53883678415127</v>
      </c>
      <c r="Q15" s="53">
        <f t="shared" ref="Q15:Q17" si="34">G15*Q$1</f>
        <v>230.12933106119755</v>
      </c>
      <c r="R15" s="53">
        <f t="shared" ref="R15:R17" si="35">H15*R$1</f>
        <v>182.08907312389513</v>
      </c>
      <c r="S15" s="53">
        <f t="shared" ref="S15:S17" si="36">I15*S$1</f>
        <v>163.4176733974505</v>
      </c>
      <c r="T15" s="53">
        <f t="shared" ref="T15:T17" si="37">J15*T$1</f>
        <v>59.453600972612875</v>
      </c>
      <c r="U15" s="53">
        <f t="shared" ref="U15:U17" si="38">K15*U$1</f>
        <v>39.396365513873704</v>
      </c>
      <c r="V15" s="53">
        <f t="shared" ref="V15:V17" si="39">SUM(N15:U15)</f>
        <v>1422.7487975585782</v>
      </c>
    </row>
    <row r="16" spans="2:22">
      <c r="B16" t="s">
        <v>343</v>
      </c>
      <c r="D16" s="187">
        <v>506.11836500601339</v>
      </c>
      <c r="E16" s="187">
        <v>499.20409814951984</v>
      </c>
      <c r="F16" s="187">
        <v>485.07329761796098</v>
      </c>
      <c r="G16" s="187">
        <v>489.14143160750723</v>
      </c>
      <c r="H16" s="187">
        <v>622.61892466629627</v>
      </c>
      <c r="I16" s="187">
        <v>715.79753719305393</v>
      </c>
      <c r="J16" s="187">
        <v>784.25081046797004</v>
      </c>
      <c r="K16" s="187">
        <v>704.21301595565285</v>
      </c>
      <c r="L16" s="53">
        <f t="shared" si="31"/>
        <v>4806.4174806639749</v>
      </c>
      <c r="N16" s="53">
        <f>D16*N$1</f>
        <v>590.64013196201768</v>
      </c>
      <c r="O16" s="53">
        <f t="shared" ref="O16" si="40">E16*O$1</f>
        <v>594.05287679792855</v>
      </c>
      <c r="P16" s="53">
        <f t="shared" ref="P16" si="41">F16*P$1</f>
        <v>583.05810373678912</v>
      </c>
      <c r="Q16" s="53">
        <f t="shared" ref="Q16" si="42">G16*Q$1</f>
        <v>600.66567801401891</v>
      </c>
      <c r="R16" s="53">
        <f t="shared" ref="R16" si="43">H16*R$1</f>
        <v>793.21651002486146</v>
      </c>
      <c r="S16" s="53">
        <f t="shared" ref="S16" si="44">I16*S$1</f>
        <v>939.84216633447977</v>
      </c>
      <c r="T16" s="53">
        <f t="shared" ref="T16" si="45">J16*T$1</f>
        <v>1057.9543433212916</v>
      </c>
      <c r="U16" s="53">
        <f t="shared" ref="U16" si="46">K16*U$1</f>
        <v>977.44766614644607</v>
      </c>
      <c r="V16" s="53">
        <f t="shared" ref="V16" si="47">SUM(N16:U16)</f>
        <v>6136.8774763378324</v>
      </c>
    </row>
    <row r="17" spans="1:22">
      <c r="B17" t="s">
        <v>204</v>
      </c>
      <c r="D17" s="187">
        <v>192.21282629439594</v>
      </c>
      <c r="E17" s="187">
        <v>196.41204072355288</v>
      </c>
      <c r="F17" s="187">
        <v>203.04710659109347</v>
      </c>
      <c r="G17" s="187">
        <v>204.35171680440774</v>
      </c>
      <c r="H17" s="187">
        <v>205.72203973741003</v>
      </c>
      <c r="I17" s="187">
        <v>206.0644404839947</v>
      </c>
      <c r="J17" s="187">
        <v>207.83890997781467</v>
      </c>
      <c r="K17" s="187">
        <v>208.20405529640865</v>
      </c>
      <c r="L17" s="53">
        <f t="shared" si="31"/>
        <v>1623.853135909078</v>
      </c>
      <c r="N17" s="53">
        <f>D17*N$1</f>
        <v>224.31236828556007</v>
      </c>
      <c r="O17" s="53">
        <f t="shared" si="32"/>
        <v>233.73032846102791</v>
      </c>
      <c r="P17" s="53">
        <f t="shared" si="33"/>
        <v>244.06262212249433</v>
      </c>
      <c r="Q17" s="53">
        <f t="shared" si="34"/>
        <v>250.9439082358127</v>
      </c>
      <c r="R17" s="53">
        <f t="shared" si="35"/>
        <v>262.08987862546036</v>
      </c>
      <c r="S17" s="53">
        <f t="shared" si="36"/>
        <v>270.56261035548505</v>
      </c>
      <c r="T17" s="53">
        <f t="shared" si="37"/>
        <v>280.374689560072</v>
      </c>
      <c r="U17" s="53">
        <f t="shared" si="38"/>
        <v>288.98722875141522</v>
      </c>
      <c r="V17" s="53">
        <f t="shared" si="39"/>
        <v>2055.0636343973279</v>
      </c>
    </row>
    <row r="18" spans="1:22">
      <c r="N18" s="53"/>
      <c r="O18" s="53"/>
      <c r="P18" s="53"/>
      <c r="Q18" s="53"/>
      <c r="R18" s="53"/>
      <c r="S18" s="53"/>
      <c r="T18" s="53"/>
      <c r="U18" s="53"/>
      <c r="V18" s="53"/>
    </row>
    <row r="19" spans="1:22">
      <c r="B19" s="38" t="s">
        <v>344</v>
      </c>
      <c r="N19" s="53"/>
      <c r="O19" s="53"/>
      <c r="P19" s="53"/>
      <c r="Q19" s="53"/>
      <c r="R19" s="53"/>
      <c r="S19" s="53"/>
      <c r="T19" s="53"/>
      <c r="U19" s="53"/>
      <c r="V19" s="53"/>
    </row>
    <row r="20" spans="1:22">
      <c r="B20" t="s">
        <v>206</v>
      </c>
      <c r="D20" s="187">
        <v>642.4585148217916</v>
      </c>
      <c r="E20" s="187">
        <v>823.44053335877697</v>
      </c>
      <c r="F20" s="187">
        <v>778.73360520529104</v>
      </c>
      <c r="G20" s="187">
        <v>689.31995609864691</v>
      </c>
      <c r="H20" s="187">
        <v>376.36371451971331</v>
      </c>
      <c r="I20" s="187">
        <v>248.55087531826513</v>
      </c>
      <c r="J20" s="187">
        <v>109.74796233462695</v>
      </c>
      <c r="K20" s="187">
        <v>33.43789356079359</v>
      </c>
      <c r="L20" s="53">
        <f t="shared" ref="L20:L21" si="48">SUM(D20:K20)</f>
        <v>3702.0530552179057</v>
      </c>
      <c r="N20" s="53">
        <f>D20*N$1</f>
        <v>749.74908679703083</v>
      </c>
      <c r="O20" s="53">
        <f t="shared" ref="O20:O21" si="49">E20*O$1</f>
        <v>979.89423469694452</v>
      </c>
      <c r="P20" s="53">
        <f t="shared" ref="P20:P21" si="50">F20*P$1</f>
        <v>936.0377934567598</v>
      </c>
      <c r="Q20" s="53">
        <f t="shared" ref="Q20:Q21" si="51">G20*Q$1</f>
        <v>846.48490608913835</v>
      </c>
      <c r="R20" s="53">
        <f t="shared" ref="R20:R21" si="52">H20*R$1</f>
        <v>479.48737229811479</v>
      </c>
      <c r="S20" s="53">
        <f t="shared" ref="S20:S21" si="53">I20*S$1</f>
        <v>326.3472992928821</v>
      </c>
      <c r="T20" s="53">
        <f t="shared" ref="T20:T21" si="54">J20*T$1</f>
        <v>148.05000118941174</v>
      </c>
      <c r="U20" s="53">
        <f t="shared" ref="U20:U21" si="55">K20*U$1</f>
        <v>46.4117962623815</v>
      </c>
      <c r="V20" s="53">
        <f t="shared" ref="V20:V21" si="56">SUM(N20:U20)</f>
        <v>4512.462490082663</v>
      </c>
    </row>
    <row r="21" spans="1:22">
      <c r="B21" t="s">
        <v>204</v>
      </c>
      <c r="D21" s="187">
        <v>0</v>
      </c>
      <c r="E21" s="187">
        <v>0</v>
      </c>
      <c r="F21" s="187">
        <v>0</v>
      </c>
      <c r="G21" s="187">
        <v>0</v>
      </c>
      <c r="H21" s="187">
        <v>0</v>
      </c>
      <c r="I21" s="187">
        <v>0</v>
      </c>
      <c r="J21" s="187">
        <v>0</v>
      </c>
      <c r="K21" s="187">
        <v>0</v>
      </c>
      <c r="L21" s="53">
        <f t="shared" si="48"/>
        <v>0</v>
      </c>
      <c r="N21" s="53">
        <f>D21*N$1</f>
        <v>0</v>
      </c>
      <c r="O21" s="53">
        <f t="shared" si="49"/>
        <v>0</v>
      </c>
      <c r="P21" s="53">
        <f t="shared" si="50"/>
        <v>0</v>
      </c>
      <c r="Q21" s="53">
        <f t="shared" si="51"/>
        <v>0</v>
      </c>
      <c r="R21" s="53">
        <f t="shared" si="52"/>
        <v>0</v>
      </c>
      <c r="S21" s="53">
        <f t="shared" si="53"/>
        <v>0</v>
      </c>
      <c r="T21" s="53">
        <f t="shared" si="54"/>
        <v>0</v>
      </c>
      <c r="U21" s="53">
        <f t="shared" si="55"/>
        <v>0</v>
      </c>
      <c r="V21" s="53">
        <f t="shared" si="56"/>
        <v>0</v>
      </c>
    </row>
    <row r="22" spans="1:22">
      <c r="N22" s="53"/>
      <c r="O22" s="53"/>
      <c r="P22" s="53"/>
      <c r="Q22" s="53"/>
      <c r="R22" s="53"/>
      <c r="S22" s="53"/>
      <c r="T22" s="53"/>
      <c r="U22" s="53"/>
      <c r="V22" s="53"/>
    </row>
    <row r="23" spans="1:22" ht="15.6">
      <c r="B23" s="59" t="s">
        <v>345</v>
      </c>
      <c r="C23" s="60"/>
      <c r="D23" s="61">
        <f>SUM(D15:D21)</f>
        <v>1582.7080571296713</v>
      </c>
      <c r="E23" s="61">
        <f t="shared" ref="E23:L23" si="57">SUM(E15:E21)</f>
        <v>1725.2795302820005</v>
      </c>
      <c r="F23" s="61">
        <f t="shared" si="57"/>
        <v>1650.3305791182984</v>
      </c>
      <c r="G23" s="61">
        <f t="shared" si="57"/>
        <v>1570.2148399024165</v>
      </c>
      <c r="H23" s="61">
        <f t="shared" si="57"/>
        <v>1347.6317378903702</v>
      </c>
      <c r="I23" s="61">
        <f t="shared" si="57"/>
        <v>1294.8741427115747</v>
      </c>
      <c r="J23" s="61">
        <f t="shared" si="57"/>
        <v>1145.9100333902061</v>
      </c>
      <c r="K23" s="61">
        <f t="shared" si="57"/>
        <v>974.23851345397452</v>
      </c>
      <c r="L23" s="61">
        <f t="shared" si="57"/>
        <v>11291.187433878513</v>
      </c>
      <c r="N23" s="61">
        <f>SUM(N15:N21)</f>
        <v>1847.0203026703266</v>
      </c>
      <c r="O23" s="61">
        <f t="shared" ref="O23:V23" si="58">SUM(O15:O21)</f>
        <v>2053.0826410355803</v>
      </c>
      <c r="P23" s="61">
        <f t="shared" si="58"/>
        <v>1983.6973561001946</v>
      </c>
      <c r="Q23" s="61">
        <f t="shared" si="58"/>
        <v>1928.2238234001675</v>
      </c>
      <c r="R23" s="61">
        <f t="shared" si="58"/>
        <v>1716.8828340723317</v>
      </c>
      <c r="S23" s="61">
        <f t="shared" si="58"/>
        <v>1700.1697493802974</v>
      </c>
      <c r="T23" s="61">
        <f t="shared" si="58"/>
        <v>1545.8326350433881</v>
      </c>
      <c r="U23" s="61">
        <f t="shared" si="58"/>
        <v>1352.2430566741166</v>
      </c>
      <c r="V23" s="61">
        <f t="shared" si="58"/>
        <v>14127.152398376402</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1">
        <v>94.24723304227993</v>
      </c>
      <c r="E26" s="191">
        <v>87.678224204681584</v>
      </c>
      <c r="F26" s="191">
        <v>87.676243763178761</v>
      </c>
      <c r="G26" s="191">
        <v>87.677481779017953</v>
      </c>
      <c r="H26" s="191">
        <v>87.676244486345595</v>
      </c>
      <c r="I26" s="191">
        <v>87.676244488148086</v>
      </c>
      <c r="J26" s="191">
        <v>87.676244492723825</v>
      </c>
      <c r="K26" s="191">
        <v>87.676244462267519</v>
      </c>
      <c r="L26" s="58">
        <f t="shared" ref="L26" si="59">SUM(D26:K26)</f>
        <v>707.98416071864324</v>
      </c>
      <c r="N26" s="58">
        <f>D26*N$1</f>
        <v>109.98652096034068</v>
      </c>
      <c r="O26" s="58">
        <f t="shared" ref="O26" si="60">E26*O$1</f>
        <v>104.33708680357108</v>
      </c>
      <c r="P26" s="58">
        <f t="shared" ref="P26" si="61">F26*P$1</f>
        <v>105.38684500334087</v>
      </c>
      <c r="Q26" s="58">
        <f t="shared" ref="Q26" si="62">G26*Q$1</f>
        <v>107.66794762463404</v>
      </c>
      <c r="R26" s="58">
        <f t="shared" ref="R26" si="63">H26*R$1</f>
        <v>111.69953547560429</v>
      </c>
      <c r="S26" s="58">
        <f t="shared" ref="S26" si="64">I26*S$1</f>
        <v>115.11890901293843</v>
      </c>
      <c r="T26" s="58">
        <f t="shared" ref="T26" si="65">J26*T$1</f>
        <v>118.27525382068444</v>
      </c>
      <c r="U26" s="58">
        <f t="shared" ref="U26" si="66">K26*U$1</f>
        <v>121.69462731362731</v>
      </c>
      <c r="V26" s="58">
        <f t="shared" ref="V26" si="67">SUM(N26:U26)</f>
        <v>894.16672601474102</v>
      </c>
    </row>
    <row r="27" spans="1:22">
      <c r="N27" s="53"/>
      <c r="O27" s="53"/>
      <c r="P27" s="53"/>
      <c r="Q27" s="53"/>
      <c r="R27" s="53"/>
      <c r="S27" s="53"/>
      <c r="T27" s="53"/>
      <c r="U27" s="53"/>
      <c r="V27" s="53"/>
    </row>
    <row r="28" spans="1:22">
      <c r="A28" t="s">
        <v>346</v>
      </c>
      <c r="N28" s="53"/>
      <c r="O28" s="53"/>
      <c r="P28" s="53"/>
      <c r="Q28" s="53"/>
      <c r="R28" s="53"/>
      <c r="S28" s="53"/>
      <c r="T28" s="53"/>
      <c r="U28" s="53"/>
      <c r="V28" s="53"/>
    </row>
    <row r="29" spans="1:22">
      <c r="B29" s="38" t="s">
        <v>339</v>
      </c>
    </row>
    <row r="30" spans="1:22">
      <c r="B30" t="s">
        <v>204</v>
      </c>
      <c r="D30" s="223">
        <v>73.775027711210655</v>
      </c>
      <c r="E30" s="223">
        <v>74.857370793520886</v>
      </c>
      <c r="F30" s="223">
        <v>77.005994132717234</v>
      </c>
      <c r="G30" s="223">
        <v>78.582137772280092</v>
      </c>
      <c r="H30" s="223">
        <v>79.36050736397776</v>
      </c>
      <c r="I30" s="223">
        <v>79.998881974263142</v>
      </c>
      <c r="J30" s="223">
        <v>81.754729960219521</v>
      </c>
      <c r="K30" s="223">
        <v>83.672873632490891</v>
      </c>
      <c r="L30" s="53">
        <f>SUM(D30:K30)</f>
        <v>629.00752334068022</v>
      </c>
      <c r="N30" s="53">
        <f>D30*N$1</f>
        <v>86.09545733898284</v>
      </c>
      <c r="O30" s="53">
        <f t="shared" ref="O30:U31" si="68">E30*O$1</f>
        <v>89.080271244289847</v>
      </c>
      <c r="P30" s="53">
        <f t="shared" si="68"/>
        <v>92.561204947526107</v>
      </c>
      <c r="Q30" s="53">
        <f t="shared" si="68"/>
        <v>96.498865184359957</v>
      </c>
      <c r="R30" s="53">
        <f t="shared" si="68"/>
        <v>101.10528638170767</v>
      </c>
      <c r="S30" s="53">
        <f t="shared" si="68"/>
        <v>105.0385320322075</v>
      </c>
      <c r="T30" s="53">
        <f t="shared" si="68"/>
        <v>110.28713071633614</v>
      </c>
      <c r="U30" s="53">
        <f t="shared" si="68"/>
        <v>116.13794860189735</v>
      </c>
      <c r="V30" s="53">
        <f>SUM(N30:U30)</f>
        <v>796.80469644730749</v>
      </c>
    </row>
    <row r="31" spans="1:22">
      <c r="B31" t="s">
        <v>206</v>
      </c>
      <c r="D31" s="223">
        <v>39.230261993822481</v>
      </c>
      <c r="E31" s="223">
        <v>34.208586772300464</v>
      </c>
      <c r="F31" s="223">
        <v>29.40934615713995</v>
      </c>
      <c r="G31" s="223">
        <v>27.165060319864111</v>
      </c>
      <c r="H31" s="223">
        <v>29.591699211758403</v>
      </c>
      <c r="I31" s="223">
        <v>20.377561078577621</v>
      </c>
      <c r="J31" s="223">
        <v>25.429651204161818</v>
      </c>
      <c r="K31" s="223">
        <v>25.40838563392731</v>
      </c>
      <c r="L31" s="53">
        <f>SUM(D31:K31)</f>
        <v>230.82055237155214</v>
      </c>
      <c r="N31" s="53">
        <f t="shared" ref="N31" si="69">D31*N$1</f>
        <v>45.781715746790837</v>
      </c>
      <c r="O31" s="53">
        <f t="shared" si="68"/>
        <v>40.708218259037551</v>
      </c>
      <c r="P31" s="53">
        <f t="shared" si="68"/>
        <v>35.350034080882217</v>
      </c>
      <c r="Q31" s="53">
        <f t="shared" si="68"/>
        <v>33.358694072793128</v>
      </c>
      <c r="R31" s="53">
        <f t="shared" si="68"/>
        <v>37.699824795780209</v>
      </c>
      <c r="S31" s="53">
        <f t="shared" si="68"/>
        <v>26.755737696172414</v>
      </c>
      <c r="T31" s="53">
        <f t="shared" si="68"/>
        <v>34.304599474414289</v>
      </c>
      <c r="U31" s="53">
        <f t="shared" si="68"/>
        <v>35.266839259891107</v>
      </c>
      <c r="V31" s="53">
        <f>SUM(N31:U31)</f>
        <v>289.22566338576178</v>
      </c>
    </row>
    <row r="32" spans="1:22">
      <c r="B32" s="38" t="s">
        <v>207</v>
      </c>
      <c r="D32" s="57">
        <f>SUM(D30:D31)</f>
        <v>113.00528970503314</v>
      </c>
      <c r="E32" s="57">
        <f t="shared" ref="E32:L32" si="70">SUM(E30:E31)</f>
        <v>109.06595756582135</v>
      </c>
      <c r="F32" s="57">
        <f t="shared" si="70"/>
        <v>106.41534028985718</v>
      </c>
      <c r="G32" s="57">
        <f t="shared" si="70"/>
        <v>105.7471980921442</v>
      </c>
      <c r="H32" s="57">
        <f t="shared" si="70"/>
        <v>108.95220657573617</v>
      </c>
      <c r="I32" s="57">
        <f t="shared" si="70"/>
        <v>100.37644305284076</v>
      </c>
      <c r="J32" s="57">
        <f t="shared" si="70"/>
        <v>107.18438116438134</v>
      </c>
      <c r="K32" s="57">
        <f t="shared" si="70"/>
        <v>109.0812592664182</v>
      </c>
      <c r="L32" s="57">
        <f t="shared" si="70"/>
        <v>859.82807571223236</v>
      </c>
      <c r="N32" s="57">
        <f>SUM(N30:N31)</f>
        <v>131.87717308577368</v>
      </c>
      <c r="O32" s="57">
        <f t="shared" ref="O32:V32" si="71">SUM(O30:O31)</f>
        <v>129.78848950332741</v>
      </c>
      <c r="P32" s="57">
        <f t="shared" si="71"/>
        <v>127.91123902840832</v>
      </c>
      <c r="Q32" s="57">
        <f t="shared" si="71"/>
        <v>129.85755925715307</v>
      </c>
      <c r="R32" s="57">
        <f t="shared" si="71"/>
        <v>138.80511117748787</v>
      </c>
      <c r="S32" s="57">
        <f t="shared" si="71"/>
        <v>131.7942697283799</v>
      </c>
      <c r="T32" s="57">
        <f t="shared" si="71"/>
        <v>144.59173019075041</v>
      </c>
      <c r="U32" s="57">
        <f t="shared" si="71"/>
        <v>151.40478786178846</v>
      </c>
      <c r="V32" s="57">
        <f t="shared" si="71"/>
        <v>1086.0303598330693</v>
      </c>
    </row>
    <row r="33" spans="2:22">
      <c r="D33" s="53"/>
      <c r="E33" s="53"/>
      <c r="F33" s="53"/>
      <c r="G33" s="53"/>
      <c r="H33" s="53"/>
      <c r="I33" s="53"/>
      <c r="J33" s="53"/>
      <c r="K33" s="53"/>
      <c r="N33" s="53"/>
      <c r="O33" s="53"/>
      <c r="P33" s="53"/>
      <c r="Q33" s="53"/>
      <c r="R33" s="53"/>
      <c r="S33" s="53"/>
      <c r="T33" s="53"/>
      <c r="U33" s="53"/>
      <c r="V33" s="53"/>
    </row>
    <row r="34" spans="2:22">
      <c r="B34" s="38" t="s">
        <v>340</v>
      </c>
      <c r="D34" s="53"/>
      <c r="E34" s="53"/>
      <c r="F34" s="53"/>
      <c r="G34" s="53"/>
      <c r="H34" s="53"/>
      <c r="I34" s="53"/>
      <c r="J34" s="53"/>
      <c r="K34" s="53"/>
      <c r="N34" s="53"/>
      <c r="O34" s="53"/>
      <c r="P34" s="53"/>
      <c r="Q34" s="53"/>
      <c r="R34" s="53"/>
      <c r="S34" s="53"/>
      <c r="T34" s="53"/>
      <c r="U34" s="53"/>
      <c r="V34" s="53"/>
    </row>
    <row r="35" spans="2:22">
      <c r="B35" t="s">
        <v>210</v>
      </c>
      <c r="D35" s="222">
        <v>0</v>
      </c>
      <c r="E35" s="222">
        <v>0</v>
      </c>
      <c r="F35" s="222">
        <v>0</v>
      </c>
      <c r="G35" s="222">
        <v>0</v>
      </c>
      <c r="H35" s="222">
        <v>0</v>
      </c>
      <c r="I35" s="222">
        <v>0</v>
      </c>
      <c r="J35" s="222">
        <v>0</v>
      </c>
      <c r="K35" s="222">
        <v>0</v>
      </c>
      <c r="L35" s="53">
        <f>SUM(D35:K35)</f>
        <v>0</v>
      </c>
      <c r="N35" s="53">
        <f>D35*N$1</f>
        <v>0</v>
      </c>
      <c r="O35" s="53">
        <f t="shared" ref="O35:U36" si="72">E35*O$1</f>
        <v>0</v>
      </c>
      <c r="P35" s="53">
        <f t="shared" si="72"/>
        <v>0</v>
      </c>
      <c r="Q35" s="53">
        <f t="shared" si="72"/>
        <v>0</v>
      </c>
      <c r="R35" s="53">
        <f t="shared" si="72"/>
        <v>0</v>
      </c>
      <c r="S35" s="53">
        <f t="shared" si="72"/>
        <v>0</v>
      </c>
      <c r="T35" s="53">
        <f t="shared" si="72"/>
        <v>0</v>
      </c>
      <c r="U35" s="53">
        <f t="shared" si="72"/>
        <v>0</v>
      </c>
      <c r="V35" s="53">
        <f>SUM(N35:U35)</f>
        <v>0</v>
      </c>
    </row>
    <row r="36" spans="2:22">
      <c r="B36" t="s">
        <v>212</v>
      </c>
      <c r="D36" s="222">
        <v>0</v>
      </c>
      <c r="E36" s="222">
        <v>0</v>
      </c>
      <c r="F36" s="222">
        <v>0</v>
      </c>
      <c r="G36" s="222">
        <v>0</v>
      </c>
      <c r="H36" s="222">
        <v>0</v>
      </c>
      <c r="I36" s="222">
        <v>0</v>
      </c>
      <c r="J36" s="222">
        <v>0</v>
      </c>
      <c r="K36" s="222">
        <v>0</v>
      </c>
      <c r="L36" s="53">
        <f>SUM(D36:K36)</f>
        <v>0</v>
      </c>
      <c r="N36" s="53">
        <f>D36*N$1</f>
        <v>0</v>
      </c>
      <c r="O36" s="53">
        <f t="shared" si="72"/>
        <v>0</v>
      </c>
      <c r="P36" s="53">
        <f t="shared" si="72"/>
        <v>0</v>
      </c>
      <c r="Q36" s="53">
        <f t="shared" si="72"/>
        <v>0</v>
      </c>
      <c r="R36" s="53">
        <f t="shared" si="72"/>
        <v>0</v>
      </c>
      <c r="S36" s="53">
        <f t="shared" si="72"/>
        <v>0</v>
      </c>
      <c r="T36" s="53">
        <f t="shared" si="72"/>
        <v>0</v>
      </c>
      <c r="U36" s="53">
        <f t="shared" si="72"/>
        <v>0</v>
      </c>
      <c r="V36" s="53">
        <f>SUM(N36:U36)</f>
        <v>0</v>
      </c>
    </row>
    <row r="37" spans="2:22">
      <c r="B37" s="38" t="s">
        <v>341</v>
      </c>
      <c r="N37" s="53"/>
      <c r="O37" s="53"/>
      <c r="P37" s="53"/>
      <c r="Q37" s="53"/>
      <c r="R37" s="53"/>
      <c r="S37" s="53"/>
      <c r="T37" s="53"/>
      <c r="U37" s="53"/>
      <c r="V37" s="53"/>
    </row>
    <row r="38" spans="2:22">
      <c r="B38" t="s">
        <v>342</v>
      </c>
      <c r="D38" s="223">
        <v>884.37686582926199</v>
      </c>
      <c r="E38" s="223">
        <v>1029.6633914089277</v>
      </c>
      <c r="F38" s="223">
        <v>962.21017490924385</v>
      </c>
      <c r="G38" s="223">
        <v>876.7216914905016</v>
      </c>
      <c r="H38" s="223">
        <v>519.29077348666397</v>
      </c>
      <c r="I38" s="223">
        <v>373.01216503452599</v>
      </c>
      <c r="J38" s="223">
        <v>153.82031294442152</v>
      </c>
      <c r="K38" s="223">
        <v>61.821442201912973</v>
      </c>
      <c r="L38" s="53">
        <f t="shared" ref="L38:L40" si="73">SUM(D38:K38)</f>
        <v>4860.9168173054604</v>
      </c>
      <c r="N38" s="53">
        <f>D38*N$1</f>
        <v>1032.0678024227489</v>
      </c>
      <c r="O38" s="53">
        <f t="shared" ref="O38:U40" si="74">E38*O$1</f>
        <v>1225.299435776624</v>
      </c>
      <c r="P38" s="53">
        <f t="shared" si="74"/>
        <v>1156.5766302409111</v>
      </c>
      <c r="Q38" s="53">
        <f t="shared" si="74"/>
        <v>1076.6142371503358</v>
      </c>
      <c r="R38" s="53">
        <f t="shared" si="74"/>
        <v>661.5764454220099</v>
      </c>
      <c r="S38" s="53">
        <f t="shared" si="74"/>
        <v>489.76497269033263</v>
      </c>
      <c r="T38" s="53">
        <f t="shared" si="74"/>
        <v>207.50360216202463</v>
      </c>
      <c r="U38" s="53">
        <f t="shared" si="74"/>
        <v>85.808161776255204</v>
      </c>
      <c r="V38" s="53">
        <f t="shared" ref="V38" si="75">SUM(N38:U38)</f>
        <v>5935.2112876412421</v>
      </c>
    </row>
    <row r="39" spans="2:22">
      <c r="B39" t="s">
        <v>343</v>
      </c>
      <c r="D39" s="223">
        <v>506.11836500601339</v>
      </c>
      <c r="E39" s="223">
        <v>499.20409814951984</v>
      </c>
      <c r="F39" s="223">
        <v>485.07329761796098</v>
      </c>
      <c r="G39" s="223">
        <v>489.14143160750723</v>
      </c>
      <c r="H39" s="223">
        <v>622.61892466629627</v>
      </c>
      <c r="I39" s="223">
        <v>715.79753719305393</v>
      </c>
      <c r="J39" s="223">
        <v>784.25081046797004</v>
      </c>
      <c r="K39" s="223">
        <v>704.21301595565285</v>
      </c>
      <c r="L39" s="53">
        <f t="shared" si="73"/>
        <v>4806.4174806639749</v>
      </c>
      <c r="N39" s="53">
        <f>D39*N$1</f>
        <v>590.64013196201768</v>
      </c>
      <c r="O39" s="53">
        <f t="shared" si="74"/>
        <v>594.05287679792855</v>
      </c>
      <c r="P39" s="53">
        <f t="shared" si="74"/>
        <v>583.05810373678912</v>
      </c>
      <c r="Q39" s="53">
        <f t="shared" si="74"/>
        <v>600.66567801401891</v>
      </c>
      <c r="R39" s="53">
        <f t="shared" si="74"/>
        <v>793.21651002486146</v>
      </c>
      <c r="S39" s="53">
        <f t="shared" si="74"/>
        <v>939.84216633447977</v>
      </c>
      <c r="T39" s="53">
        <f t="shared" si="74"/>
        <v>1057.9543433212916</v>
      </c>
      <c r="U39" s="53">
        <f t="shared" si="74"/>
        <v>977.44766614644607</v>
      </c>
      <c r="V39" s="53">
        <f t="shared" ref="V39" si="76">SUM(N39:U39)</f>
        <v>6136.8774763378324</v>
      </c>
    </row>
    <row r="40" spans="2:22">
      <c r="B40" t="s">
        <v>204</v>
      </c>
      <c r="D40" s="223">
        <v>192.21282629439594</v>
      </c>
      <c r="E40" s="223">
        <v>196.41204072355288</v>
      </c>
      <c r="F40" s="223">
        <v>203.04710659109347</v>
      </c>
      <c r="G40" s="223">
        <v>204.35171680440774</v>
      </c>
      <c r="H40" s="223">
        <v>205.72203973741003</v>
      </c>
      <c r="I40" s="223">
        <v>206.0644404839947</v>
      </c>
      <c r="J40" s="223">
        <v>207.83890997781467</v>
      </c>
      <c r="K40" s="223">
        <v>208.20405529640865</v>
      </c>
      <c r="L40" s="53">
        <f t="shared" si="73"/>
        <v>1623.853135909078</v>
      </c>
      <c r="N40" s="53">
        <f>D40*N$1</f>
        <v>224.31236828556007</v>
      </c>
      <c r="O40" s="53">
        <f t="shared" si="74"/>
        <v>233.73032846102791</v>
      </c>
      <c r="P40" s="53">
        <f t="shared" si="74"/>
        <v>244.06262212249433</v>
      </c>
      <c r="Q40" s="53">
        <f t="shared" si="74"/>
        <v>250.9439082358127</v>
      </c>
      <c r="R40" s="53">
        <f t="shared" si="74"/>
        <v>262.08987862546036</v>
      </c>
      <c r="S40" s="53">
        <f t="shared" si="74"/>
        <v>270.56261035548505</v>
      </c>
      <c r="T40" s="53">
        <f t="shared" si="74"/>
        <v>280.374689560072</v>
      </c>
      <c r="U40" s="53">
        <f t="shared" si="74"/>
        <v>288.98722875141522</v>
      </c>
      <c r="V40" s="53">
        <f t="shared" ref="V40" si="77">SUM(N40:U40)</f>
        <v>2055.0636343973279</v>
      </c>
    </row>
    <row r="41" spans="2:22">
      <c r="N41" s="53"/>
      <c r="O41" s="53"/>
      <c r="P41" s="53"/>
      <c r="Q41" s="53"/>
      <c r="R41" s="53"/>
      <c r="S41" s="53"/>
      <c r="T41" s="53"/>
      <c r="U41" s="53"/>
      <c r="V41" s="53"/>
    </row>
    <row r="42" spans="2:22">
      <c r="B42" s="38" t="s">
        <v>344</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 t="shared" ref="L43:L44" si="78">SUM(D43:K43)</f>
        <v>0</v>
      </c>
      <c r="N43" s="53">
        <f>D43*N$1</f>
        <v>0</v>
      </c>
      <c r="O43" s="53">
        <f t="shared" ref="O43:U44" si="79">E43*O$1</f>
        <v>0</v>
      </c>
      <c r="P43" s="53">
        <f t="shared" si="79"/>
        <v>0</v>
      </c>
      <c r="Q43" s="53">
        <f t="shared" si="79"/>
        <v>0</v>
      </c>
      <c r="R43" s="53">
        <f t="shared" si="79"/>
        <v>0</v>
      </c>
      <c r="S43" s="53">
        <f t="shared" si="79"/>
        <v>0</v>
      </c>
      <c r="T43" s="53">
        <f t="shared" si="79"/>
        <v>0</v>
      </c>
      <c r="U43" s="53">
        <f t="shared" si="79"/>
        <v>0</v>
      </c>
      <c r="V43" s="53">
        <f t="shared" ref="V43:V44" si="80">SUM(N43:U43)</f>
        <v>0</v>
      </c>
    </row>
    <row r="44" spans="2:22">
      <c r="B44" t="s">
        <v>204</v>
      </c>
      <c r="D44" s="223">
        <v>0</v>
      </c>
      <c r="E44" s="223">
        <v>0</v>
      </c>
      <c r="F44" s="223">
        <v>0</v>
      </c>
      <c r="G44" s="223">
        <v>0</v>
      </c>
      <c r="H44" s="223">
        <v>0</v>
      </c>
      <c r="I44" s="223">
        <v>0</v>
      </c>
      <c r="J44" s="223">
        <v>0</v>
      </c>
      <c r="K44" s="223">
        <v>0</v>
      </c>
      <c r="L44" s="53">
        <f t="shared" si="78"/>
        <v>0</v>
      </c>
      <c r="N44" s="53">
        <f>D44*N$1</f>
        <v>0</v>
      </c>
      <c r="O44" s="53">
        <f t="shared" si="79"/>
        <v>0</v>
      </c>
      <c r="P44" s="53">
        <f t="shared" si="79"/>
        <v>0</v>
      </c>
      <c r="Q44" s="53">
        <f t="shared" si="79"/>
        <v>0</v>
      </c>
      <c r="R44" s="53">
        <f t="shared" si="79"/>
        <v>0</v>
      </c>
      <c r="S44" s="53">
        <f t="shared" si="79"/>
        <v>0</v>
      </c>
      <c r="T44" s="53">
        <f t="shared" si="79"/>
        <v>0</v>
      </c>
      <c r="U44" s="53">
        <f t="shared" si="79"/>
        <v>0</v>
      </c>
      <c r="V44" s="53">
        <f t="shared" si="80"/>
        <v>0</v>
      </c>
    </row>
    <row r="45" spans="2:22">
      <c r="N45" s="53"/>
      <c r="O45" s="53"/>
      <c r="P45" s="53"/>
      <c r="Q45" s="53"/>
      <c r="R45" s="53"/>
      <c r="S45" s="53"/>
      <c r="T45" s="53"/>
      <c r="U45" s="53"/>
      <c r="V45" s="53"/>
    </row>
    <row r="46" spans="2:22" ht="15.6">
      <c r="B46" s="59" t="s">
        <v>345</v>
      </c>
      <c r="C46" s="60"/>
      <c r="D46" s="61">
        <f>SUM(D38:D44)</f>
        <v>1582.7080571296713</v>
      </c>
      <c r="E46" s="61">
        <f t="shared" ref="E46:L46" si="81">SUM(E38:E44)</f>
        <v>1725.2795302820005</v>
      </c>
      <c r="F46" s="61">
        <f t="shared" si="81"/>
        <v>1650.3305791182984</v>
      </c>
      <c r="G46" s="61">
        <f t="shared" si="81"/>
        <v>1570.2148399024165</v>
      </c>
      <c r="H46" s="61">
        <f t="shared" si="81"/>
        <v>1347.6317378903702</v>
      </c>
      <c r="I46" s="61">
        <f t="shared" si="81"/>
        <v>1294.8741427115747</v>
      </c>
      <c r="J46" s="61">
        <f t="shared" si="81"/>
        <v>1145.9100333902063</v>
      </c>
      <c r="K46" s="61">
        <f t="shared" si="81"/>
        <v>974.23851345397452</v>
      </c>
      <c r="L46" s="61">
        <f t="shared" si="81"/>
        <v>11291.187433878513</v>
      </c>
      <c r="N46" s="61">
        <f>SUM(N38:N44)</f>
        <v>1847.0203026703266</v>
      </c>
      <c r="O46" s="61">
        <f t="shared" ref="O46:V46" si="82">SUM(O38:O44)</f>
        <v>2053.0826410355803</v>
      </c>
      <c r="P46" s="61">
        <f t="shared" si="82"/>
        <v>1983.6973561001946</v>
      </c>
      <c r="Q46" s="61">
        <f t="shared" si="82"/>
        <v>1928.2238234001675</v>
      </c>
      <c r="R46" s="61">
        <f t="shared" si="82"/>
        <v>1716.8828340723319</v>
      </c>
      <c r="S46" s="61">
        <f t="shared" si="82"/>
        <v>1700.1697493802974</v>
      </c>
      <c r="T46" s="61">
        <f t="shared" si="82"/>
        <v>1545.8326350433883</v>
      </c>
      <c r="U46" s="61">
        <f t="shared" si="82"/>
        <v>1352.2430566741164</v>
      </c>
      <c r="V46" s="61">
        <f t="shared" si="82"/>
        <v>14127.152398376402</v>
      </c>
    </row>
    <row r="47" spans="2:22">
      <c r="N47" s="53"/>
      <c r="O47" s="53"/>
      <c r="P47" s="53"/>
      <c r="Q47" s="53"/>
      <c r="R47" s="53"/>
      <c r="S47" s="53"/>
      <c r="T47" s="53"/>
      <c r="U47" s="53"/>
      <c r="V47" s="53"/>
    </row>
    <row r="49" spans="1:12" s="188" customFormat="1"/>
    <row r="50" spans="1:12" ht="13.8" thickBot="1"/>
    <row r="51" spans="1:12" ht="16.8">
      <c r="A51" s="68"/>
      <c r="B51" s="69" t="s">
        <v>237</v>
      </c>
      <c r="D51" s="70">
        <v>41729</v>
      </c>
      <c r="E51" s="71">
        <v>42094</v>
      </c>
      <c r="F51" s="71">
        <v>42460</v>
      </c>
      <c r="G51" s="71">
        <v>42825</v>
      </c>
      <c r="H51" s="71">
        <v>43190</v>
      </c>
      <c r="I51" s="71">
        <v>43555</v>
      </c>
      <c r="J51" s="71">
        <v>43921</v>
      </c>
      <c r="K51" s="72">
        <v>44286</v>
      </c>
      <c r="L51" s="73" t="s">
        <v>238</v>
      </c>
    </row>
    <row r="52" spans="1:12" ht="16.8">
      <c r="A52" s="74"/>
      <c r="B52" s="75" t="s">
        <v>239</v>
      </c>
      <c r="D52" s="76" t="s">
        <v>240</v>
      </c>
      <c r="E52" s="77" t="s">
        <v>240</v>
      </c>
      <c r="F52" s="77" t="s">
        <v>240</v>
      </c>
      <c r="G52" s="77" t="s">
        <v>240</v>
      </c>
      <c r="H52" s="77" t="s">
        <v>240</v>
      </c>
      <c r="I52" s="77" t="s">
        <v>240</v>
      </c>
      <c r="J52" s="77" t="s">
        <v>240</v>
      </c>
      <c r="K52" s="78" t="s">
        <v>240</v>
      </c>
      <c r="L52" s="79" t="s">
        <v>240</v>
      </c>
    </row>
    <row r="53" spans="1:12" ht="16.8">
      <c r="A53" s="80"/>
      <c r="B53" s="81" t="s">
        <v>207</v>
      </c>
      <c r="D53" s="82"/>
      <c r="E53" s="83"/>
      <c r="F53" s="83"/>
      <c r="G53" s="83"/>
      <c r="H53" s="83"/>
      <c r="I53" s="83"/>
      <c r="J53" s="83"/>
      <c r="K53" s="84"/>
      <c r="L53" s="85"/>
    </row>
    <row r="54" spans="1:12" ht="16.8">
      <c r="A54" s="86">
        <v>1</v>
      </c>
      <c r="B54" s="75" t="s">
        <v>241</v>
      </c>
      <c r="D54" s="87">
        <v>1345.3018485602204</v>
      </c>
      <c r="E54" s="88">
        <v>1466.4876007397002</v>
      </c>
      <c r="F54" s="88">
        <v>1402.7809922505535</v>
      </c>
      <c r="G54" s="88">
        <v>1334.6826139170541</v>
      </c>
      <c r="H54" s="88">
        <v>1145.4869772068148</v>
      </c>
      <c r="I54" s="88">
        <v>1100.6430213048384</v>
      </c>
      <c r="J54" s="88">
        <v>974.02352838167531</v>
      </c>
      <c r="K54" s="89">
        <v>828.10273643587834</v>
      </c>
      <c r="L54" s="90">
        <v>9597.5093187967341</v>
      </c>
    </row>
    <row r="55" spans="1:12" ht="16.8">
      <c r="A55" s="86">
        <v>2</v>
      </c>
      <c r="B55" s="75" t="s">
        <v>242</v>
      </c>
      <c r="D55" s="87">
        <v>237.40620856945091</v>
      </c>
      <c r="E55" s="88">
        <v>258.79192954230029</v>
      </c>
      <c r="F55" s="88">
        <v>247.54958686774498</v>
      </c>
      <c r="G55" s="88">
        <v>235.53222598536234</v>
      </c>
      <c r="H55" s="88">
        <v>202.1447606835556</v>
      </c>
      <c r="I55" s="88">
        <v>194.23112140673624</v>
      </c>
      <c r="J55" s="88">
        <v>171.88650500853097</v>
      </c>
      <c r="K55" s="89">
        <v>146.13577701809621</v>
      </c>
      <c r="L55" s="90">
        <v>1693.6781150817776</v>
      </c>
    </row>
    <row r="56" spans="1:12" ht="16.8">
      <c r="A56" s="86">
        <v>3</v>
      </c>
      <c r="B56" s="75" t="s">
        <v>243</v>
      </c>
      <c r="D56" s="87">
        <v>1582.7080571296713</v>
      </c>
      <c r="E56" s="88">
        <v>1725.2795302820005</v>
      </c>
      <c r="F56" s="88">
        <v>1650.3305791182984</v>
      </c>
      <c r="G56" s="88">
        <v>1570.2148399024165</v>
      </c>
      <c r="H56" s="88">
        <v>1347.6317378903705</v>
      </c>
      <c r="I56" s="88">
        <v>1294.8741427115747</v>
      </c>
      <c r="J56" s="88">
        <v>1145.9100333902063</v>
      </c>
      <c r="K56" s="89">
        <v>974.23851345397452</v>
      </c>
      <c r="L56" s="90">
        <v>11291.187433878511</v>
      </c>
    </row>
    <row r="57" spans="1:12" ht="16.8">
      <c r="A57" s="80"/>
      <c r="B57" s="81" t="s">
        <v>244</v>
      </c>
      <c r="D57" s="82">
        <v>0</v>
      </c>
      <c r="E57" s="83">
        <v>0</v>
      </c>
      <c r="F57" s="83">
        <v>0</v>
      </c>
      <c r="G57" s="83">
        <v>0</v>
      </c>
      <c r="H57" s="83">
        <v>0</v>
      </c>
      <c r="I57" s="83">
        <v>0</v>
      </c>
      <c r="J57" s="83">
        <v>0</v>
      </c>
      <c r="K57" s="84">
        <v>0</v>
      </c>
      <c r="L57" s="85">
        <v>0</v>
      </c>
    </row>
    <row r="58" spans="1:12" ht="16.8">
      <c r="A58" s="86">
        <v>4</v>
      </c>
      <c r="B58" s="75" t="s">
        <v>245</v>
      </c>
      <c r="D58" s="87">
        <v>8691.0913006079008</v>
      </c>
      <c r="E58" s="88">
        <v>9472.6460836408442</v>
      </c>
      <c r="F58" s="88">
        <v>10337.189798842121</v>
      </c>
      <c r="G58" s="88">
        <v>11095.172027603159</v>
      </c>
      <c r="H58" s="88">
        <v>11827.350682729724</v>
      </c>
      <c r="I58" s="88">
        <v>12259.617554227727</v>
      </c>
      <c r="J58" s="88">
        <v>12626.157132660297</v>
      </c>
      <c r="K58" s="89">
        <v>12857.201859613157</v>
      </c>
      <c r="L58" s="90">
        <v>0</v>
      </c>
    </row>
    <row r="59" spans="1:12" ht="16.8">
      <c r="A59" s="86">
        <v>5</v>
      </c>
      <c r="B59" s="75" t="s">
        <v>246</v>
      </c>
      <c r="D59" s="87">
        <v>0</v>
      </c>
      <c r="E59" s="88">
        <v>0</v>
      </c>
      <c r="F59" s="88">
        <v>0</v>
      </c>
      <c r="G59" s="88">
        <v>82.388628473992952</v>
      </c>
      <c r="H59" s="88">
        <v>0</v>
      </c>
      <c r="I59" s="88">
        <v>0</v>
      </c>
      <c r="J59" s="88">
        <v>0</v>
      </c>
      <c r="K59" s="89">
        <v>0</v>
      </c>
      <c r="L59" s="90">
        <v>82.388628473992952</v>
      </c>
    </row>
    <row r="60" spans="1:12" ht="16.8">
      <c r="A60" s="86">
        <v>6</v>
      </c>
      <c r="B60" s="75" t="s">
        <v>247</v>
      </c>
      <c r="D60" s="87">
        <v>8691.0913006079008</v>
      </c>
      <c r="E60" s="88">
        <v>9472.6460836408442</v>
      </c>
      <c r="F60" s="88">
        <v>10337.189798842121</v>
      </c>
      <c r="G60" s="88">
        <v>11177.560656077152</v>
      </c>
      <c r="H60" s="88">
        <v>11827.350682729724</v>
      </c>
      <c r="I60" s="88">
        <v>12259.617554227727</v>
      </c>
      <c r="J60" s="88">
        <v>12626.157132660297</v>
      </c>
      <c r="K60" s="89">
        <v>12857.201859613157</v>
      </c>
      <c r="L60" s="90">
        <v>0</v>
      </c>
    </row>
    <row r="61" spans="1:12" ht="16.8">
      <c r="A61" s="86">
        <v>7</v>
      </c>
      <c r="B61" s="75" t="s">
        <v>248</v>
      </c>
      <c r="D61" s="87">
        <v>1345.3018485602204</v>
      </c>
      <c r="E61" s="88">
        <v>1466.4876007397002</v>
      </c>
      <c r="F61" s="88">
        <v>1402.7809922505535</v>
      </c>
      <c r="G61" s="88">
        <v>1334.6826139170541</v>
      </c>
      <c r="H61" s="88">
        <v>1145.4869772068148</v>
      </c>
      <c r="I61" s="88">
        <v>1100.6430213048384</v>
      </c>
      <c r="J61" s="88">
        <v>974.02352838167531</v>
      </c>
      <c r="K61" s="89">
        <v>828.10273643587834</v>
      </c>
      <c r="L61" s="90">
        <v>9597.5093187967341</v>
      </c>
    </row>
    <row r="62" spans="1:12" ht="16.8">
      <c r="A62" s="86">
        <v>8</v>
      </c>
      <c r="B62" s="75" t="s">
        <v>249</v>
      </c>
      <c r="D62" s="87">
        <v>-563.74706552727753</v>
      </c>
      <c r="E62" s="88">
        <v>-601.9438855384235</v>
      </c>
      <c r="F62" s="88">
        <v>-644.79876348951439</v>
      </c>
      <c r="G62" s="88">
        <v>-684.89258726448122</v>
      </c>
      <c r="H62" s="88">
        <v>-713.22010570881355</v>
      </c>
      <c r="I62" s="88">
        <v>-734.1034428722661</v>
      </c>
      <c r="J62" s="88">
        <v>-742.97880142881684</v>
      </c>
      <c r="K62" s="89">
        <v>-748.89084842182604</v>
      </c>
      <c r="L62" s="90">
        <v>-5434.5755002514197</v>
      </c>
    </row>
    <row r="63" spans="1:12" ht="16.8">
      <c r="A63" s="86">
        <v>9</v>
      </c>
      <c r="B63" s="75" t="s">
        <v>250</v>
      </c>
      <c r="D63" s="87">
        <v>9472.6460836408442</v>
      </c>
      <c r="E63" s="88">
        <v>10337.189798842121</v>
      </c>
      <c r="F63" s="88">
        <v>11095.172027603159</v>
      </c>
      <c r="G63" s="88">
        <v>11827.350682729724</v>
      </c>
      <c r="H63" s="88">
        <v>12259.617554227725</v>
      </c>
      <c r="I63" s="88">
        <v>12626.157132660299</v>
      </c>
      <c r="J63" s="88">
        <v>12857.201859613155</v>
      </c>
      <c r="K63" s="89">
        <v>12936.413747627208</v>
      </c>
      <c r="L63" s="90">
        <v>0</v>
      </c>
    </row>
    <row r="64" spans="1:12" ht="16.8">
      <c r="A64" s="80"/>
      <c r="B64" s="81" t="s">
        <v>251</v>
      </c>
      <c r="D64" s="91">
        <v>0</v>
      </c>
      <c r="E64" s="92">
        <v>0</v>
      </c>
      <c r="F64" s="92">
        <v>0</v>
      </c>
      <c r="G64" s="92">
        <v>0</v>
      </c>
      <c r="H64" s="92">
        <v>0</v>
      </c>
      <c r="I64" s="92">
        <v>0</v>
      </c>
      <c r="J64" s="92">
        <v>0</v>
      </c>
      <c r="K64" s="93">
        <v>0</v>
      </c>
      <c r="L64" s="94">
        <v>0</v>
      </c>
    </row>
    <row r="65" spans="1:12" ht="16.8">
      <c r="A65" s="86">
        <v>10</v>
      </c>
      <c r="B65" s="75" t="s">
        <v>252</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8">
      <c r="A66" s="86">
        <v>11</v>
      </c>
      <c r="B66" s="75" t="s">
        <v>253</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8">
      <c r="A67" s="86">
        <v>12</v>
      </c>
      <c r="B67" s="75" t="s">
        <v>254</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8">
      <c r="A68" s="86">
        <v>13</v>
      </c>
      <c r="B68" s="75" t="s">
        <v>255</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8">
      <c r="A69" s="86">
        <v>14</v>
      </c>
      <c r="B69" s="75" t="s">
        <v>256</v>
      </c>
      <c r="D69" s="87">
        <v>0</v>
      </c>
      <c r="E69" s="88">
        <v>16.036529091209541</v>
      </c>
      <c r="F69" s="88">
        <v>0</v>
      </c>
      <c r="G69" s="88">
        <v>22.217944632296209</v>
      </c>
      <c r="H69" s="88">
        <v>0</v>
      </c>
      <c r="I69" s="88">
        <v>0</v>
      </c>
      <c r="J69" s="88">
        <v>0</v>
      </c>
      <c r="K69" s="89">
        <v>0</v>
      </c>
      <c r="L69" s="90">
        <v>38.254473723505754</v>
      </c>
    </row>
    <row r="70" spans="1:12" ht="16.8">
      <c r="A70" s="86">
        <v>15</v>
      </c>
      <c r="B70" s="75" t="s">
        <v>257</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8">
      <c r="A71" s="86">
        <v>16</v>
      </c>
      <c r="B71" s="75" t="s">
        <v>258</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8">
      <c r="A72" s="86">
        <v>17</v>
      </c>
      <c r="B72" s="75" t="s">
        <v>259</v>
      </c>
      <c r="D72" s="87">
        <v>85.34203792729511</v>
      </c>
      <c r="E72" s="88">
        <v>80.003502133565092</v>
      </c>
      <c r="F72" s="88">
        <v>67.020034930168393</v>
      </c>
      <c r="G72" s="88">
        <v>74.593894624638466</v>
      </c>
      <c r="H72" s="88">
        <v>63.574864578134488</v>
      </c>
      <c r="I72" s="88">
        <v>65.957440437742363</v>
      </c>
      <c r="J72" s="88">
        <v>64.828336598496691</v>
      </c>
      <c r="K72" s="89">
        <v>65.626883395958743</v>
      </c>
      <c r="L72" s="90">
        <v>566.94699462599942</v>
      </c>
    </row>
    <row r="73" spans="1:12" ht="16.8">
      <c r="A73" s="80"/>
      <c r="B73" s="81" t="s">
        <v>260</v>
      </c>
      <c r="D73" s="91">
        <v>0</v>
      </c>
      <c r="E73" s="92">
        <v>0</v>
      </c>
      <c r="F73" s="92">
        <v>0</v>
      </c>
      <c r="G73" s="92">
        <v>0</v>
      </c>
      <c r="H73" s="92">
        <v>0</v>
      </c>
      <c r="I73" s="92">
        <v>0</v>
      </c>
      <c r="J73" s="92">
        <v>0</v>
      </c>
      <c r="K73" s="93">
        <v>0</v>
      </c>
      <c r="L73" s="94">
        <v>0</v>
      </c>
    </row>
    <row r="74" spans="1:12" ht="16.8">
      <c r="A74" s="86">
        <v>18</v>
      </c>
      <c r="B74" s="75" t="s">
        <v>252</v>
      </c>
      <c r="D74" s="87">
        <v>237.40620856945091</v>
      </c>
      <c r="E74" s="88">
        <v>258.79192954230029</v>
      </c>
      <c r="F74" s="88">
        <v>247.54958686774498</v>
      </c>
      <c r="G74" s="88">
        <v>235.53222598536234</v>
      </c>
      <c r="H74" s="88">
        <v>202.1447606835556</v>
      </c>
      <c r="I74" s="88">
        <v>194.23112140673624</v>
      </c>
      <c r="J74" s="88">
        <v>171.88650500853097</v>
      </c>
      <c r="K74" s="89">
        <v>146.13577701809621</v>
      </c>
      <c r="L74" s="90">
        <v>1693.6781150817776</v>
      </c>
    </row>
    <row r="75" spans="1:12" ht="16.8">
      <c r="A75" s="86">
        <v>19</v>
      </c>
      <c r="B75" s="75" t="s">
        <v>253</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8">
      <c r="A76" s="86">
        <v>20</v>
      </c>
      <c r="B76" s="75" t="s">
        <v>254</v>
      </c>
      <c r="D76" s="87">
        <v>563.74706552727753</v>
      </c>
      <c r="E76" s="88">
        <v>601.9438855384235</v>
      </c>
      <c r="F76" s="88">
        <v>644.79876348951439</v>
      </c>
      <c r="G76" s="88">
        <v>684.89258726448122</v>
      </c>
      <c r="H76" s="88">
        <v>713.22010570881355</v>
      </c>
      <c r="I76" s="88">
        <v>734.1034428722661</v>
      </c>
      <c r="J76" s="88">
        <v>742.97880142881684</v>
      </c>
      <c r="K76" s="89">
        <v>748.89084842182604</v>
      </c>
      <c r="L76" s="90">
        <v>5434.5755002514197</v>
      </c>
    </row>
    <row r="77" spans="1:12" ht="16.8">
      <c r="A77" s="86">
        <v>21</v>
      </c>
      <c r="B77" s="75" t="s">
        <v>255</v>
      </c>
      <c r="D77" s="87">
        <v>404.01995120068966</v>
      </c>
      <c r="E77" s="88">
        <v>440.62845231569594</v>
      </c>
      <c r="F77" s="88">
        <v>476.8060368721554</v>
      </c>
      <c r="G77" s="88">
        <v>511.8717273328827</v>
      </c>
      <c r="H77" s="88">
        <v>536.07099692325698</v>
      </c>
      <c r="I77" s="88">
        <v>553.88861733710439</v>
      </c>
      <c r="J77" s="88">
        <v>567.26068740369476</v>
      </c>
      <c r="K77" s="89">
        <v>574.24363467064757</v>
      </c>
      <c r="L77" s="90">
        <v>4064.7901040561273</v>
      </c>
    </row>
    <row r="78" spans="1:12" ht="16.8">
      <c r="A78" s="86">
        <v>22</v>
      </c>
      <c r="B78" s="75" t="s">
        <v>256</v>
      </c>
      <c r="D78" s="87">
        <v>0</v>
      </c>
      <c r="E78" s="88">
        <v>16.036529091209541</v>
      </c>
      <c r="F78" s="88">
        <v>0</v>
      </c>
      <c r="G78" s="88">
        <v>22.217944632296209</v>
      </c>
      <c r="H78" s="88">
        <v>0</v>
      </c>
      <c r="I78" s="88">
        <v>0</v>
      </c>
      <c r="J78" s="88">
        <v>0</v>
      </c>
      <c r="K78" s="89">
        <v>0</v>
      </c>
      <c r="L78" s="90">
        <v>38.254473723505754</v>
      </c>
    </row>
    <row r="79" spans="1:12" ht="16.8">
      <c r="A79" s="86">
        <v>23</v>
      </c>
      <c r="B79" s="75" t="s">
        <v>257</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8">
      <c r="A80" s="86">
        <v>24</v>
      </c>
      <c r="B80" s="75" t="s">
        <v>258</v>
      </c>
      <c r="D80" s="87">
        <v>-57.649451741429942</v>
      </c>
      <c r="E80" s="88">
        <v>-57.528171097000921</v>
      </c>
      <c r="F80" s="88">
        <v>-63.872795597637484</v>
      </c>
      <c r="G80" s="88">
        <v>-60.310726285543012</v>
      </c>
      <c r="H80" s="88">
        <v>-60.778245898362016</v>
      </c>
      <c r="I80" s="88">
        <v>-60.785513483956521</v>
      </c>
      <c r="J80" s="88">
        <v>-60.686558770047299</v>
      </c>
      <c r="K80" s="89">
        <v>-60.81527627756094</v>
      </c>
      <c r="L80" s="90">
        <v>-482.42673915153813</v>
      </c>
    </row>
    <row r="81" spans="1:12" ht="16.8">
      <c r="A81" s="86">
        <v>25</v>
      </c>
      <c r="B81" s="75" t="s">
        <v>259</v>
      </c>
      <c r="D81" s="87">
        <v>85.34203792729511</v>
      </c>
      <c r="E81" s="88">
        <v>80.003502133565092</v>
      </c>
      <c r="F81" s="88">
        <v>67.020034930168393</v>
      </c>
      <c r="G81" s="88">
        <v>74.593894624638466</v>
      </c>
      <c r="H81" s="88">
        <v>63.574864578134488</v>
      </c>
      <c r="I81" s="88">
        <v>65.957440437742363</v>
      </c>
      <c r="J81" s="88">
        <v>64.828336598496691</v>
      </c>
      <c r="K81" s="89">
        <v>65.626883395958743</v>
      </c>
      <c r="L81" s="90">
        <v>566.94699462599942</v>
      </c>
    </row>
    <row r="82" spans="1:12" ht="16.8">
      <c r="A82" s="80"/>
      <c r="B82" s="81" t="s">
        <v>261</v>
      </c>
      <c r="D82" s="91">
        <v>0</v>
      </c>
      <c r="E82" s="92">
        <v>0</v>
      </c>
      <c r="F82" s="92">
        <v>0</v>
      </c>
      <c r="G82" s="92">
        <v>0</v>
      </c>
      <c r="H82" s="92">
        <v>0</v>
      </c>
      <c r="I82" s="92">
        <v>0</v>
      </c>
      <c r="J82" s="92">
        <v>0</v>
      </c>
      <c r="K82" s="93">
        <v>0</v>
      </c>
      <c r="L82" s="95">
        <v>0</v>
      </c>
    </row>
    <row r="83" spans="1:12" ht="16.8">
      <c r="A83" s="86">
        <v>26</v>
      </c>
      <c r="B83" s="75" t="s">
        <v>262</v>
      </c>
      <c r="D83" s="87">
        <v>1342.2812908140818</v>
      </c>
      <c r="E83" s="88">
        <v>1443.8294617348479</v>
      </c>
      <c r="F83" s="88">
        <v>1475.5925732296025</v>
      </c>
      <c r="G83" s="88">
        <v>1571.3868096928732</v>
      </c>
      <c r="H83" s="88">
        <v>1554.9421422395981</v>
      </c>
      <c r="I83" s="88">
        <v>1587.6274208238708</v>
      </c>
      <c r="J83" s="88">
        <v>1585.2291170685558</v>
      </c>
      <c r="K83" s="89">
        <v>1571.5849296331837</v>
      </c>
      <c r="L83" s="90">
        <v>12132.473745236613</v>
      </c>
    </row>
    <row r="84" spans="1:12" ht="16.8">
      <c r="A84" s="86">
        <v>27</v>
      </c>
      <c r="B84" s="75" t="s">
        <v>263</v>
      </c>
      <c r="D84" s="87">
        <v>0</v>
      </c>
      <c r="E84" s="88">
        <v>0</v>
      </c>
      <c r="F84" s="88">
        <v>0</v>
      </c>
      <c r="G84" s="88">
        <v>0</v>
      </c>
      <c r="H84" s="88">
        <v>0</v>
      </c>
      <c r="I84" s="88">
        <v>0</v>
      </c>
      <c r="J84" s="88">
        <v>0</v>
      </c>
      <c r="K84" s="89">
        <v>0</v>
      </c>
      <c r="L84" s="90">
        <v>0</v>
      </c>
    </row>
    <row r="85" spans="1:12" ht="16.8">
      <c r="A85" s="86">
        <v>28</v>
      </c>
      <c r="B85" s="75" t="s">
        <v>264</v>
      </c>
      <c r="D85" s="96">
        <v>1342.2812908140818</v>
      </c>
      <c r="E85" s="88">
        <v>1443.8294617348479</v>
      </c>
      <c r="F85" s="88">
        <v>1475.5925732296025</v>
      </c>
      <c r="G85" s="88">
        <v>1571.3868096928732</v>
      </c>
      <c r="H85" s="88">
        <v>1554.9421422395981</v>
      </c>
      <c r="I85" s="88">
        <v>1587.6274208238708</v>
      </c>
      <c r="J85" s="88">
        <v>1585.2291170685558</v>
      </c>
      <c r="K85" s="89">
        <v>1571.5849296331837</v>
      </c>
      <c r="L85" s="90">
        <v>12132.473745236613</v>
      </c>
    </row>
    <row r="86" spans="1:12" ht="16.8">
      <c r="A86" s="86">
        <v>29</v>
      </c>
      <c r="B86" s="75" t="s">
        <v>168</v>
      </c>
      <c r="D86" s="96">
        <v>13.751034124367685</v>
      </c>
      <c r="E86" s="88">
        <v>13.274690050778315</v>
      </c>
      <c r="F86" s="88">
        <v>12.798257977175346</v>
      </c>
      <c r="G86" s="88">
        <v>0</v>
      </c>
      <c r="H86" s="88">
        <v>0</v>
      </c>
      <c r="I86" s="88">
        <v>0</v>
      </c>
      <c r="J86" s="88">
        <v>0</v>
      </c>
      <c r="K86" s="89">
        <v>0</v>
      </c>
      <c r="L86" s="90">
        <v>39.823982152321349</v>
      </c>
    </row>
    <row r="87" spans="1:12" ht="16.8">
      <c r="A87" s="86">
        <v>30</v>
      </c>
      <c r="B87" s="75" t="s">
        <v>265</v>
      </c>
      <c r="D87" s="96">
        <v>0</v>
      </c>
      <c r="E87" s="88">
        <v>0</v>
      </c>
      <c r="F87" s="88">
        <v>0</v>
      </c>
      <c r="G87" s="88">
        <v>0</v>
      </c>
      <c r="H87" s="88">
        <v>0</v>
      </c>
      <c r="I87" s="88">
        <v>0</v>
      </c>
      <c r="J87" s="88">
        <v>0</v>
      </c>
      <c r="K87" s="89">
        <v>0</v>
      </c>
      <c r="L87" s="90">
        <v>0</v>
      </c>
    </row>
    <row r="88" spans="1:12" ht="16.8">
      <c r="A88" s="86">
        <v>31</v>
      </c>
      <c r="B88" s="75" t="s">
        <v>266</v>
      </c>
      <c r="D88" s="96">
        <v>123</v>
      </c>
      <c r="E88" s="88">
        <v>122.8</v>
      </c>
      <c r="F88" s="88">
        <v>129.80000000000001</v>
      </c>
      <c r="G88" s="88">
        <v>125.6</v>
      </c>
      <c r="H88" s="88">
        <v>127.3</v>
      </c>
      <c r="I88" s="88">
        <v>128.6</v>
      </c>
      <c r="J88" s="88">
        <v>130.19999999999999</v>
      </c>
      <c r="K88" s="89">
        <v>131.69999999999999</v>
      </c>
      <c r="L88" s="90">
        <v>1019</v>
      </c>
    </row>
    <row r="89" spans="1:12" ht="16.8">
      <c r="A89" s="86">
        <v>32</v>
      </c>
      <c r="B89" s="75" t="s">
        <v>267</v>
      </c>
      <c r="D89" s="96">
        <v>1479.0323249384494</v>
      </c>
      <c r="E89" s="88">
        <v>1579.9041517856263</v>
      </c>
      <c r="F89" s="88">
        <v>1618.1908312067778</v>
      </c>
      <c r="G89" s="88">
        <v>1696.9868096928731</v>
      </c>
      <c r="H89" s="88">
        <v>1682.242142239598</v>
      </c>
      <c r="I89" s="88">
        <v>1716.2274208238707</v>
      </c>
      <c r="J89" s="88">
        <v>1715.4291170685558</v>
      </c>
      <c r="K89" s="89">
        <v>1703.2849296331838</v>
      </c>
      <c r="L89" s="90">
        <v>13191.297727388936</v>
      </c>
    </row>
    <row r="90" spans="1:12" ht="16.8">
      <c r="A90" s="80"/>
      <c r="B90" s="81" t="s">
        <v>268</v>
      </c>
      <c r="D90" s="91">
        <v>0</v>
      </c>
      <c r="E90" s="92">
        <v>0</v>
      </c>
      <c r="F90" s="92">
        <v>0</v>
      </c>
      <c r="G90" s="92">
        <v>0</v>
      </c>
      <c r="H90" s="92">
        <v>0</v>
      </c>
      <c r="I90" s="97">
        <v>0</v>
      </c>
      <c r="J90" s="92">
        <v>0</v>
      </c>
      <c r="K90" s="93">
        <v>0</v>
      </c>
      <c r="L90" s="95">
        <v>0</v>
      </c>
    </row>
    <row r="91" spans="1:12" ht="16.8">
      <c r="A91" s="86">
        <v>33</v>
      </c>
      <c r="B91" s="75" t="s">
        <v>268</v>
      </c>
      <c r="D91" s="87">
        <v>1342.2812908140818</v>
      </c>
      <c r="E91" s="88">
        <v>1443.8294617348479</v>
      </c>
      <c r="F91" s="88">
        <v>1475.5925732296025</v>
      </c>
      <c r="G91" s="88">
        <v>1571.3868096928732</v>
      </c>
      <c r="H91" s="88">
        <v>1554.9421422395981</v>
      </c>
      <c r="I91" s="88">
        <v>1587.6274208238708</v>
      </c>
      <c r="J91" s="88">
        <v>1585.2291170685558</v>
      </c>
      <c r="K91" s="89">
        <v>1571.5849296331837</v>
      </c>
      <c r="L91" s="90">
        <v>12132.473745236613</v>
      </c>
    </row>
    <row r="92" spans="1:12" ht="16.8">
      <c r="A92" s="86">
        <v>34</v>
      </c>
      <c r="B92" s="75" t="s">
        <v>269</v>
      </c>
      <c r="D92" s="87">
        <v>0</v>
      </c>
      <c r="E92" s="88">
        <v>0</v>
      </c>
      <c r="F92" s="88">
        <v>0</v>
      </c>
      <c r="G92" s="88">
        <v>0</v>
      </c>
      <c r="H92" s="88">
        <v>0</v>
      </c>
      <c r="I92" s="88">
        <v>0</v>
      </c>
      <c r="J92" s="88">
        <v>0</v>
      </c>
      <c r="K92" s="89">
        <v>0</v>
      </c>
      <c r="L92" s="90">
        <v>0</v>
      </c>
    </row>
    <row r="93" spans="1:12" ht="16.8">
      <c r="A93" s="80"/>
      <c r="B93" s="81" t="s">
        <v>270</v>
      </c>
      <c r="D93" s="91">
        <v>0</v>
      </c>
      <c r="E93" s="92">
        <v>0</v>
      </c>
      <c r="F93" s="92">
        <v>0</v>
      </c>
      <c r="G93" s="92">
        <v>0</v>
      </c>
      <c r="H93" s="92">
        <v>0</v>
      </c>
      <c r="I93" s="97">
        <v>0</v>
      </c>
      <c r="J93" s="92">
        <v>0</v>
      </c>
      <c r="K93" s="93">
        <v>0</v>
      </c>
      <c r="L93" s="95">
        <v>0</v>
      </c>
    </row>
    <row r="94" spans="1:12" ht="16.8">
      <c r="A94" s="86">
        <v>35</v>
      </c>
      <c r="B94" s="98">
        <v>41729</v>
      </c>
      <c r="D94" s="96">
        <v>1342.2812908140818</v>
      </c>
      <c r="E94" s="88">
        <v>1443.8294617348479</v>
      </c>
      <c r="F94" s="88">
        <v>1475.5925732296025</v>
      </c>
      <c r="G94" s="88">
        <v>1571.3868096928732</v>
      </c>
      <c r="H94" s="88">
        <v>1554.9421422395981</v>
      </c>
      <c r="I94" s="88">
        <v>1587.6274208238708</v>
      </c>
      <c r="J94" s="88">
        <v>1585.2291170685558</v>
      </c>
      <c r="K94" s="89">
        <v>1571.5849296331837</v>
      </c>
      <c r="L94" s="90">
        <v>12132.473745236613</v>
      </c>
    </row>
    <row r="95" spans="1:12" ht="16.8">
      <c r="A95" s="86">
        <v>36</v>
      </c>
      <c r="B95" s="98">
        <v>42094</v>
      </c>
      <c r="D95" s="96">
        <v>0</v>
      </c>
      <c r="E95" s="88">
        <v>0</v>
      </c>
      <c r="F95" s="88">
        <v>0</v>
      </c>
      <c r="G95" s="88">
        <v>0</v>
      </c>
      <c r="H95" s="88">
        <v>0</v>
      </c>
      <c r="I95" s="88">
        <v>0</v>
      </c>
      <c r="J95" s="88">
        <v>0</v>
      </c>
      <c r="K95" s="89">
        <v>0</v>
      </c>
      <c r="L95" s="90">
        <v>0</v>
      </c>
    </row>
    <row r="96" spans="1:12" ht="16.8">
      <c r="A96" s="86">
        <v>37</v>
      </c>
      <c r="B96" s="98">
        <v>42460</v>
      </c>
      <c r="D96" s="96">
        <v>0</v>
      </c>
      <c r="E96" s="88">
        <v>0</v>
      </c>
      <c r="F96" s="88">
        <v>0</v>
      </c>
      <c r="G96" s="88">
        <v>0</v>
      </c>
      <c r="H96" s="88">
        <v>0</v>
      </c>
      <c r="I96" s="88">
        <v>0</v>
      </c>
      <c r="J96" s="88">
        <v>0</v>
      </c>
      <c r="K96" s="89">
        <v>0</v>
      </c>
      <c r="L96" s="90">
        <v>0</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271</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0</v>
      </c>
      <c r="F104" s="88">
        <v>0</v>
      </c>
      <c r="G104" s="88">
        <v>0</v>
      </c>
      <c r="H104" s="88">
        <v>0</v>
      </c>
      <c r="I104" s="88">
        <v>0</v>
      </c>
      <c r="J104" s="88">
        <v>0</v>
      </c>
      <c r="K104" s="89">
        <v>0</v>
      </c>
      <c r="L104" s="90">
        <v>0</v>
      </c>
    </row>
    <row r="105" spans="1:12" ht="16.8">
      <c r="A105" s="86">
        <v>45</v>
      </c>
      <c r="B105" s="98">
        <v>42460</v>
      </c>
      <c r="D105" s="96">
        <v>0</v>
      </c>
      <c r="E105" s="88">
        <v>0</v>
      </c>
      <c r="F105" s="88">
        <v>0</v>
      </c>
      <c r="G105" s="88">
        <v>0</v>
      </c>
      <c r="H105" s="88">
        <v>0</v>
      </c>
      <c r="I105" s="88">
        <v>0</v>
      </c>
      <c r="J105" s="88">
        <v>0</v>
      </c>
      <c r="K105" s="89">
        <v>0</v>
      </c>
      <c r="L105" s="90">
        <v>0</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272</v>
      </c>
      <c r="D111" s="91">
        <v>0</v>
      </c>
      <c r="E111" s="92">
        <v>0</v>
      </c>
      <c r="F111" s="92">
        <v>0</v>
      </c>
      <c r="G111" s="92">
        <v>0</v>
      </c>
      <c r="H111" s="92">
        <v>0</v>
      </c>
      <c r="I111" s="97">
        <v>0</v>
      </c>
      <c r="J111" s="92">
        <v>0</v>
      </c>
      <c r="K111" s="93">
        <v>0</v>
      </c>
      <c r="L111" s="95">
        <v>0</v>
      </c>
    </row>
    <row r="112" spans="1:12" ht="16.8">
      <c r="A112" s="86">
        <v>51</v>
      </c>
      <c r="B112" s="75" t="s">
        <v>273</v>
      </c>
      <c r="D112" s="87">
        <v>8875.6579789255193</v>
      </c>
      <c r="E112" s="88">
        <v>9679.8869137894526</v>
      </c>
      <c r="F112" s="88">
        <v>10474.64931617213</v>
      </c>
      <c r="G112" s="88">
        <v>11244.985222602871</v>
      </c>
      <c r="H112" s="88">
        <v>11776.603623094397</v>
      </c>
      <c r="I112" s="88">
        <v>12168.027621641133</v>
      </c>
      <c r="J112" s="88">
        <v>12461.79014507238</v>
      </c>
      <c r="K112" s="89">
        <v>12615.194083274331</v>
      </c>
      <c r="L112" s="90">
        <v>89296.794904572205</v>
      </c>
    </row>
    <row r="113" spans="1:12" ht="16.8">
      <c r="A113" s="86">
        <v>52</v>
      </c>
      <c r="B113" s="75" t="s">
        <v>26</v>
      </c>
      <c r="D113" s="99">
        <v>0.6</v>
      </c>
      <c r="E113" s="100">
        <v>0.6</v>
      </c>
      <c r="F113" s="100">
        <v>0.6</v>
      </c>
      <c r="G113" s="100">
        <v>0.6</v>
      </c>
      <c r="H113" s="100">
        <v>0.6</v>
      </c>
      <c r="I113" s="100">
        <v>0.6</v>
      </c>
      <c r="J113" s="100">
        <v>0.6</v>
      </c>
      <c r="K113" s="101">
        <v>0.6</v>
      </c>
      <c r="L113" s="102">
        <v>0.6</v>
      </c>
    </row>
    <row r="114" spans="1:12" ht="16.8">
      <c r="A114" s="86">
        <v>53</v>
      </c>
      <c r="B114" s="75" t="s">
        <v>274</v>
      </c>
      <c r="D114" s="87">
        <v>3550.2631915702077</v>
      </c>
      <c r="E114" s="88">
        <v>3871.9547655157812</v>
      </c>
      <c r="F114" s="88">
        <v>4189.8597264688524</v>
      </c>
      <c r="G114" s="88">
        <v>4497.9940890411481</v>
      </c>
      <c r="H114" s="88">
        <v>4710.6414492377589</v>
      </c>
      <c r="I114" s="88">
        <v>4867.2110486564534</v>
      </c>
      <c r="J114" s="88">
        <v>4984.7160580289528</v>
      </c>
      <c r="K114" s="89">
        <v>5046.0776333097328</v>
      </c>
      <c r="L114" s="90">
        <v>35718.717961828886</v>
      </c>
    </row>
    <row r="115" spans="1:12" ht="16.8">
      <c r="A115" s="86">
        <v>54</v>
      </c>
      <c r="B115" s="75" t="s">
        <v>275</v>
      </c>
      <c r="D115" s="87">
        <v>155.5015277907751</v>
      </c>
      <c r="E115" s="88">
        <v>169.5916187295912</v>
      </c>
      <c r="F115" s="88">
        <v>183.5158560193357</v>
      </c>
      <c r="G115" s="88">
        <v>197.01214110000231</v>
      </c>
      <c r="H115" s="88">
        <v>206.32609547661383</v>
      </c>
      <c r="I115" s="88">
        <v>213.18384393115264</v>
      </c>
      <c r="J115" s="88">
        <v>218.3305633416681</v>
      </c>
      <c r="K115" s="89">
        <v>221.01820033896627</v>
      </c>
      <c r="L115" s="90">
        <v>1564.4798467281053</v>
      </c>
    </row>
    <row r="116" spans="1:12" ht="17.399999999999999" thickBot="1">
      <c r="A116" s="103">
        <v>55</v>
      </c>
      <c r="B116" s="104" t="s">
        <v>276</v>
      </c>
      <c r="D116" s="105">
        <v>248.51842340991456</v>
      </c>
      <c r="E116" s="106">
        <v>271.03683358610476</v>
      </c>
      <c r="F116" s="106">
        <v>293.29018085281973</v>
      </c>
      <c r="G116" s="106">
        <v>314.85958623288036</v>
      </c>
      <c r="H116" s="106">
        <v>329.74490144664315</v>
      </c>
      <c r="I116" s="106">
        <v>340.70477340595176</v>
      </c>
      <c r="J116" s="106">
        <v>348.93012406202666</v>
      </c>
      <c r="K116" s="107">
        <v>353.2254343316813</v>
      </c>
      <c r="L116" s="108">
        <v>2500.3102573280221</v>
      </c>
    </row>
    <row r="120" spans="1:12">
      <c r="B120" t="s">
        <v>348</v>
      </c>
      <c r="D120" s="53">
        <v>0</v>
      </c>
    </row>
    <row r="123" spans="1:12">
      <c r="D123" s="53"/>
      <c r="E123" s="53"/>
    </row>
    <row r="124" spans="1:12">
      <c r="D124" s="53">
        <f>D131+D128-D127</f>
        <v>1439.9523733763365</v>
      </c>
      <c r="E124" s="53">
        <f t="shared" ref="E124:K124" si="83">E131+E128-E127</f>
        <v>1555.0071773847544</v>
      </c>
      <c r="F124" s="53">
        <f t="shared" si="83"/>
        <v>1485.1696207245463</v>
      </c>
      <c r="G124" s="53">
        <f t="shared" si="83"/>
        <v>1334.6826139170541</v>
      </c>
      <c r="H124" s="53">
        <f t="shared" si="83"/>
        <v>1145.4869772068148</v>
      </c>
      <c r="I124" s="53">
        <f t="shared" si="83"/>
        <v>1100.6430213048384</v>
      </c>
      <c r="J124" s="53">
        <f t="shared" si="83"/>
        <v>974.02352838167531</v>
      </c>
      <c r="K124" s="53">
        <f t="shared" si="83"/>
        <v>828.10273643587834</v>
      </c>
    </row>
    <row r="127" spans="1:12" ht="16.8">
      <c r="B127" s="110" t="s">
        <v>287</v>
      </c>
      <c r="D127" s="187">
        <v>5.1119303278452115</v>
      </c>
      <c r="E127" s="187">
        <v>6.1309481710615064</v>
      </c>
      <c r="F127" s="187">
        <v>6.1309481710615064</v>
      </c>
      <c r="G127" s="187">
        <v>0</v>
      </c>
      <c r="H127" s="187">
        <v>0</v>
      </c>
      <c r="I127" s="187">
        <v>0</v>
      </c>
      <c r="J127" s="187">
        <v>0</v>
      </c>
      <c r="K127" s="187">
        <v>0</v>
      </c>
    </row>
    <row r="128" spans="1:12" ht="16.8">
      <c r="B128" s="110" t="s">
        <v>288</v>
      </c>
      <c r="D128" s="187">
        <v>99.762455143961176</v>
      </c>
      <c r="E128" s="187">
        <v>94.650524816115961</v>
      </c>
      <c r="F128" s="187">
        <v>88.519576645054457</v>
      </c>
      <c r="G128" s="187">
        <v>0</v>
      </c>
      <c r="H128" s="187">
        <v>0</v>
      </c>
      <c r="I128" s="187">
        <v>0</v>
      </c>
      <c r="J128" s="187">
        <v>0</v>
      </c>
      <c r="K128" s="187">
        <v>0</v>
      </c>
    </row>
    <row r="129" spans="2:25">
      <c r="D129" s="53"/>
      <c r="E129" s="53"/>
      <c r="F129" s="53"/>
      <c r="G129" s="53"/>
      <c r="H129" s="53"/>
      <c r="I129" s="53"/>
      <c r="J129" s="53"/>
      <c r="K129" s="53"/>
    </row>
    <row r="130" spans="2:25">
      <c r="B130" t="s">
        <v>289</v>
      </c>
      <c r="D130" s="53">
        <f>D128+D60</f>
        <v>8790.8537557518612</v>
      </c>
      <c r="E130" s="53">
        <f t="shared" ref="E130:K130" si="84">E128+E60</f>
        <v>9567.2966084569598</v>
      </c>
      <c r="F130" s="53">
        <f t="shared" si="84"/>
        <v>10425.709375487175</v>
      </c>
      <c r="G130" s="53">
        <f t="shared" si="84"/>
        <v>11177.560656077152</v>
      </c>
      <c r="H130" s="53">
        <f t="shared" si="84"/>
        <v>11827.350682729724</v>
      </c>
      <c r="I130" s="53">
        <f t="shared" si="84"/>
        <v>12259.617554227727</v>
      </c>
      <c r="J130" s="53">
        <f t="shared" si="84"/>
        <v>12626.157132660297</v>
      </c>
      <c r="K130" s="53">
        <f t="shared" si="84"/>
        <v>12857.201859613157</v>
      </c>
      <c r="L130" s="53"/>
      <c r="N130" s="53">
        <f>D130*N$1</f>
        <v>10258.926332962423</v>
      </c>
      <c r="O130" s="53">
        <f t="shared" ref="O130" si="85">E130*O$1</f>
        <v>11385.082964063782</v>
      </c>
      <c r="P130" s="53">
        <f t="shared" ref="P130" si="86">F130*P$1</f>
        <v>12531.702669335584</v>
      </c>
      <c r="Q130" s="53">
        <f t="shared" ref="Q130" si="87">G130*Q$1</f>
        <v>13726.044485662742</v>
      </c>
      <c r="R130" s="53">
        <f t="shared" ref="R130" si="88">H130*R$1</f>
        <v>15068.044769797669</v>
      </c>
      <c r="S130" s="53">
        <f t="shared" ref="S130" si="89">I130*S$1</f>
        <v>16096.877848701004</v>
      </c>
      <c r="T130" s="53">
        <f t="shared" ref="T130" si="90">J130*T$1</f>
        <v>17032.685971958741</v>
      </c>
      <c r="U130" s="53">
        <f t="shared" ref="U130" si="91">K130*U$1</f>
        <v>17845.796181143061</v>
      </c>
    </row>
    <row r="131" spans="2:25">
      <c r="B131" t="str">
        <f>B61</f>
        <v>RAV additions (after disposals)</v>
      </c>
      <c r="D131" s="53">
        <f>D61</f>
        <v>1345.3018485602204</v>
      </c>
      <c r="E131" s="53">
        <f t="shared" ref="E131:K131" si="92">E61</f>
        <v>1466.4876007397002</v>
      </c>
      <c r="F131" s="53">
        <f t="shared" si="92"/>
        <v>1402.7809922505535</v>
      </c>
      <c r="G131" s="53">
        <f t="shared" si="92"/>
        <v>1334.6826139170541</v>
      </c>
      <c r="H131" s="53">
        <f t="shared" si="92"/>
        <v>1145.4869772068148</v>
      </c>
      <c r="I131" s="53">
        <f t="shared" si="92"/>
        <v>1100.6430213048384</v>
      </c>
      <c r="J131" s="53">
        <f t="shared" si="92"/>
        <v>974.02352838167531</v>
      </c>
      <c r="K131" s="53">
        <f t="shared" si="92"/>
        <v>828.10273643587834</v>
      </c>
    </row>
    <row r="132" spans="2:25">
      <c r="B132" t="str">
        <f t="shared" ref="B132:B133" si="93">B62</f>
        <v>Depreciation</v>
      </c>
      <c r="D132" s="53">
        <f>D62-D127</f>
        <v>-568.85899585512277</v>
      </c>
      <c r="E132" s="53">
        <f t="shared" ref="E132:K132" si="94">E62-E127</f>
        <v>-608.07483370948501</v>
      </c>
      <c r="F132" s="53">
        <f t="shared" si="94"/>
        <v>-650.92971166057589</v>
      </c>
      <c r="G132" s="53">
        <f t="shared" si="94"/>
        <v>-684.89258726448122</v>
      </c>
      <c r="H132" s="53">
        <f t="shared" si="94"/>
        <v>-713.22010570881355</v>
      </c>
      <c r="I132" s="53">
        <f t="shared" si="94"/>
        <v>-734.1034428722661</v>
      </c>
      <c r="J132" s="53">
        <f t="shared" si="94"/>
        <v>-742.97880142881684</v>
      </c>
      <c r="K132" s="53">
        <f t="shared" si="94"/>
        <v>-748.89084842182604</v>
      </c>
    </row>
    <row r="133" spans="2:25">
      <c r="B133" t="str">
        <f t="shared" si="93"/>
        <v>Closing asset value</v>
      </c>
      <c r="D133" s="53">
        <f>SUM(D130:D132)</f>
        <v>9567.2966084569598</v>
      </c>
      <c r="E133" s="53">
        <f t="shared" ref="E133:K133" si="95">SUM(E130:E132)</f>
        <v>10425.709375487175</v>
      </c>
      <c r="F133" s="53">
        <f t="shared" si="95"/>
        <v>11177.560656077152</v>
      </c>
      <c r="G133" s="53">
        <f t="shared" si="95"/>
        <v>11827.350682729724</v>
      </c>
      <c r="H133" s="53">
        <f t="shared" si="95"/>
        <v>12259.617554227725</v>
      </c>
      <c r="I133" s="53">
        <f t="shared" si="95"/>
        <v>12626.157132660299</v>
      </c>
      <c r="J133" s="53">
        <f t="shared" si="95"/>
        <v>12857.201859613155</v>
      </c>
      <c r="K133" s="53">
        <f t="shared" si="95"/>
        <v>12936.413747627208</v>
      </c>
      <c r="N133" s="53">
        <f>D133*N$1</f>
        <v>11165.035142069273</v>
      </c>
      <c r="O133" s="53">
        <f t="shared" ref="O133:U133" si="96">E133*O$1</f>
        <v>12406.594156829737</v>
      </c>
      <c r="P133" s="53">
        <f t="shared" si="96"/>
        <v>13435.427908604737</v>
      </c>
      <c r="Q133" s="53">
        <f t="shared" si="96"/>
        <v>14523.986638392102</v>
      </c>
      <c r="R133" s="53">
        <f t="shared" si="96"/>
        <v>15618.752764086123</v>
      </c>
      <c r="S133" s="53">
        <f t="shared" si="96"/>
        <v>16578.144315182974</v>
      </c>
      <c r="T133" s="53">
        <f t="shared" si="96"/>
        <v>17344.365308618144</v>
      </c>
      <c r="U133" s="53">
        <f t="shared" si="96"/>
        <v>17955.742281706564</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290</v>
      </c>
      <c r="D136" s="187">
        <v>1.5</v>
      </c>
      <c r="E136" s="187">
        <v>1.3</v>
      </c>
      <c r="F136" s="187">
        <v>1.3</v>
      </c>
      <c r="G136" s="187">
        <v>1.5</v>
      </c>
      <c r="H136" s="187">
        <v>1.3</v>
      </c>
      <c r="I136" s="187">
        <v>1.3</v>
      </c>
      <c r="J136" s="187">
        <v>1.5</v>
      </c>
      <c r="K136" s="187">
        <v>1.3</v>
      </c>
    </row>
    <row r="137" spans="2:25">
      <c r="B137" t="s">
        <v>291</v>
      </c>
      <c r="D137" s="187">
        <v>28.929052554944597</v>
      </c>
      <c r="E137" s="187">
        <v>28.929052554944597</v>
      </c>
      <c r="F137" s="187">
        <v>28.929052554944597</v>
      </c>
      <c r="G137" s="187">
        <v>28.929052554944597</v>
      </c>
      <c r="H137" s="187">
        <v>28.929052554944597</v>
      </c>
      <c r="I137" s="187">
        <v>28.929052554944597</v>
      </c>
      <c r="J137" s="187">
        <v>28.929052554944597</v>
      </c>
      <c r="K137" s="187">
        <v>28.929052554944597</v>
      </c>
    </row>
    <row r="138" spans="2:25">
      <c r="B138" t="s">
        <v>292</v>
      </c>
      <c r="D138" s="187">
        <v>30.429052554944597</v>
      </c>
      <c r="E138" s="187">
        <v>30.229052554944598</v>
      </c>
      <c r="F138" s="187">
        <v>30.229052554944598</v>
      </c>
      <c r="G138" s="187">
        <v>30.429052554944597</v>
      </c>
      <c r="H138" s="187">
        <v>30.229052554944598</v>
      </c>
      <c r="I138" s="187">
        <v>30.229052554944598</v>
      </c>
      <c r="J138" s="187">
        <v>30.429052554944597</v>
      </c>
      <c r="K138" s="187">
        <v>30.229052554944598</v>
      </c>
    </row>
    <row r="139" spans="2:25">
      <c r="B139" t="s">
        <v>293</v>
      </c>
      <c r="D139" s="187">
        <v>1.6281727480620216</v>
      </c>
      <c r="E139" s="187">
        <v>1.7022871715538046</v>
      </c>
      <c r="F139" s="187">
        <v>1.7797752836029339</v>
      </c>
      <c r="G139" s="187">
        <v>1.8607906545125394</v>
      </c>
      <c r="H139" s="187">
        <v>1.94549384510595</v>
      </c>
      <c r="I139" s="187">
        <v>2.0340527249351732</v>
      </c>
      <c r="J139" s="187">
        <v>2.1266428049742219</v>
      </c>
      <c r="K139" s="187">
        <v>2.2234475854566487</v>
      </c>
    </row>
    <row r="140" spans="2:25">
      <c r="B140" s="38" t="s">
        <v>294</v>
      </c>
      <c r="C140" s="38"/>
      <c r="D140" s="58">
        <f>D138+D139</f>
        <v>32.057225303006618</v>
      </c>
      <c r="E140" s="58">
        <f t="shared" ref="E140:K140" si="97">E138+E139</f>
        <v>31.931339726498404</v>
      </c>
      <c r="F140" s="58">
        <f t="shared" si="97"/>
        <v>32.008827838547532</v>
      </c>
      <c r="G140" s="58">
        <f t="shared" si="97"/>
        <v>32.289843209457139</v>
      </c>
      <c r="H140" s="58">
        <f t="shared" si="97"/>
        <v>32.174546400050545</v>
      </c>
      <c r="I140" s="58">
        <f t="shared" si="97"/>
        <v>32.263105279879774</v>
      </c>
      <c r="J140" s="58">
        <f t="shared" si="97"/>
        <v>32.555695359918822</v>
      </c>
      <c r="K140" s="58">
        <f t="shared" si="97"/>
        <v>32.452500140401249</v>
      </c>
    </row>
    <row r="141" spans="2:25">
      <c r="D141" s="53"/>
      <c r="E141" s="53"/>
      <c r="F141" s="53"/>
      <c r="G141" s="53"/>
      <c r="H141" s="53"/>
      <c r="I141" s="53"/>
      <c r="J141" s="53"/>
      <c r="K141" s="53"/>
    </row>
    <row r="142" spans="2:25">
      <c r="B142" t="s">
        <v>350</v>
      </c>
      <c r="D142" s="187">
        <v>19.092223163426969</v>
      </c>
      <c r="E142" s="187">
        <v>19.961301161826164</v>
      </c>
      <c r="F142" s="187">
        <v>20.869939590712491</v>
      </c>
      <c r="G142" s="187">
        <v>21.819939240881723</v>
      </c>
      <c r="H142" s="187">
        <v>22.813182875126657</v>
      </c>
      <c r="I142" s="187">
        <v>23.851638959602422</v>
      </c>
      <c r="J142" s="187">
        <v>24.937365565043525</v>
      </c>
      <c r="K142" s="187">
        <v>26.072514445564305</v>
      </c>
    </row>
    <row r="143" spans="2:25">
      <c r="B143" t="s">
        <v>296</v>
      </c>
      <c r="D143" s="187">
        <v>6.8340997921364668</v>
      </c>
      <c r="E143" s="187">
        <v>7.1451880146745186</v>
      </c>
      <c r="F143" s="187">
        <v>7.470436973102502</v>
      </c>
      <c r="G143" s="187">
        <v>7.8104912641181281</v>
      </c>
      <c r="H143" s="187">
        <v>8.1660248264607844</v>
      </c>
      <c r="I143" s="187">
        <v>8.5377422765612803</v>
      </c>
      <c r="J143" s="187">
        <v>8.9263803049903494</v>
      </c>
      <c r="K143" s="187">
        <v>9.3327091364735093</v>
      </c>
    </row>
    <row r="144" spans="2:25" ht="16.8">
      <c r="B144" s="179" t="s">
        <v>266</v>
      </c>
      <c r="D144" s="187">
        <f>-D88</f>
        <v>-123</v>
      </c>
      <c r="E144" s="187">
        <f t="shared" ref="E144:K144" si="98">-E88</f>
        <v>-122.8</v>
      </c>
      <c r="F144" s="187">
        <f t="shared" si="98"/>
        <v>-129.80000000000001</v>
      </c>
      <c r="G144" s="187">
        <f t="shared" si="98"/>
        <v>-125.6</v>
      </c>
      <c r="H144" s="187">
        <f t="shared" si="98"/>
        <v>-127.3</v>
      </c>
      <c r="I144" s="187">
        <f t="shared" si="98"/>
        <v>-128.6</v>
      </c>
      <c r="J144" s="187">
        <f t="shared" si="98"/>
        <v>-130.19999999999999</v>
      </c>
      <c r="K144" s="187">
        <f t="shared" si="98"/>
        <v>-131.69999999999999</v>
      </c>
    </row>
    <row r="145" spans="2:21" ht="16.8">
      <c r="B145" s="179" t="s">
        <v>351</v>
      </c>
      <c r="D145" s="187">
        <v>7.367</v>
      </c>
      <c r="E145" s="187">
        <v>6.234</v>
      </c>
      <c r="F145" s="187">
        <v>5.5780000000000003</v>
      </c>
      <c r="G145" s="187">
        <v>3.3689999999999998</v>
      </c>
      <c r="H145" s="187">
        <v>3.3680000000000003</v>
      </c>
      <c r="I145" s="187">
        <v>3.1619999999999999</v>
      </c>
      <c r="J145" s="187">
        <v>3.0940000000000003</v>
      </c>
      <c r="K145" s="187">
        <v>3.0270000000000001</v>
      </c>
    </row>
    <row r="146" spans="2:21">
      <c r="B146" s="38" t="s">
        <v>298</v>
      </c>
      <c r="D146" s="58">
        <f>SUM(D140:D145)</f>
        <v>-57.649451741429949</v>
      </c>
      <c r="E146" s="58">
        <f t="shared" ref="E146:K146" si="99">SUM(E140:E145)</f>
        <v>-57.528171097000914</v>
      </c>
      <c r="F146" s="58">
        <f t="shared" si="99"/>
        <v>-63.872795597637491</v>
      </c>
      <c r="G146" s="58">
        <f t="shared" si="99"/>
        <v>-60.310726285543005</v>
      </c>
      <c r="H146" s="58">
        <f t="shared" si="99"/>
        <v>-60.778245898362009</v>
      </c>
      <c r="I146" s="58">
        <f t="shared" si="99"/>
        <v>-60.785513483956528</v>
      </c>
      <c r="J146" s="58">
        <f t="shared" si="99"/>
        <v>-60.686558770047291</v>
      </c>
      <c r="K146" s="58">
        <f t="shared" si="99"/>
        <v>-60.815276277560926</v>
      </c>
    </row>
    <row r="147" spans="2:21">
      <c r="B147" t="s">
        <v>299</v>
      </c>
      <c r="D147" s="187">
        <v>13.751034124367685</v>
      </c>
      <c r="E147" s="187">
        <v>13.274690050778315</v>
      </c>
      <c r="F147" s="187">
        <v>12.798257977175346</v>
      </c>
      <c r="G147" s="187">
        <v>0</v>
      </c>
      <c r="H147" s="187">
        <v>0</v>
      </c>
      <c r="I147" s="187">
        <v>0</v>
      </c>
      <c r="J147" s="187">
        <v>0</v>
      </c>
      <c r="K147" s="187">
        <v>0</v>
      </c>
    </row>
    <row r="148" spans="2:21">
      <c r="D148" s="53"/>
      <c r="E148" s="53"/>
      <c r="F148" s="53"/>
      <c r="G148" s="53"/>
      <c r="H148" s="53"/>
      <c r="I148" s="53"/>
      <c r="J148" s="53"/>
      <c r="K148" s="53"/>
    </row>
    <row r="149" spans="2:21">
      <c r="B149" t="s">
        <v>300</v>
      </c>
      <c r="D149" s="53">
        <f>SUM(D142:D145,D147)</f>
        <v>-75.955642920068868</v>
      </c>
      <c r="E149" s="53">
        <f t="shared" ref="E149:K149" si="100">SUM(E142:E145,E147)</f>
        <v>-76.184820772720997</v>
      </c>
      <c r="F149" s="53">
        <f t="shared" si="100"/>
        <v>-83.083365459009656</v>
      </c>
      <c r="G149" s="53">
        <f t="shared" si="100"/>
        <v>-92.600569495000144</v>
      </c>
      <c r="H149" s="53">
        <f t="shared" si="100"/>
        <v>-92.952792298412561</v>
      </c>
      <c r="I149" s="53">
        <f t="shared" si="100"/>
        <v>-93.048618763836288</v>
      </c>
      <c r="J149" s="53">
        <f t="shared" si="100"/>
        <v>-93.242254129966113</v>
      </c>
      <c r="K149" s="53">
        <f t="shared" si="100"/>
        <v>-93.267776417962168</v>
      </c>
    </row>
    <row r="152" spans="2:21" ht="16.8">
      <c r="B152" s="75" t="s">
        <v>247</v>
      </c>
      <c r="D152" s="87">
        <f>D189</f>
        <v>74.160747515587701</v>
      </c>
      <c r="E152" s="88">
        <f t="shared" ref="E152:K152" si="101">E189</f>
        <v>90.043901989927761</v>
      </c>
      <c r="F152" s="88">
        <f t="shared" si="101"/>
        <v>101.78296147436569</v>
      </c>
      <c r="G152" s="88">
        <f t="shared" si="101"/>
        <v>109.84031646742848</v>
      </c>
      <c r="H152" s="88">
        <f t="shared" si="101"/>
        <v>115.2990367705342</v>
      </c>
      <c r="I152" s="88">
        <f t="shared" si="101"/>
        <v>118.90291485332088</v>
      </c>
      <c r="J152" s="88">
        <f t="shared" si="101"/>
        <v>118.27951763137527</v>
      </c>
      <c r="K152" s="89">
        <f t="shared" si="101"/>
        <v>118.40291190007433</v>
      </c>
    </row>
    <row r="153" spans="2:21" ht="16.8">
      <c r="B153" s="75" t="s">
        <v>248</v>
      </c>
      <c r="D153" s="87">
        <f>D190</f>
        <v>31.528475827704249</v>
      </c>
      <c r="E153" s="88">
        <f t="shared" ref="E153:K153" si="102">E190</f>
        <v>30.429402160864161</v>
      </c>
      <c r="F153" s="88">
        <f t="shared" si="102"/>
        <v>29.689879940870156</v>
      </c>
      <c r="G153" s="88">
        <f t="shared" si="102"/>
        <v>29.503468267708236</v>
      </c>
      <c r="H153" s="88">
        <f t="shared" si="102"/>
        <v>30.397665634630393</v>
      </c>
      <c r="I153" s="88">
        <f t="shared" si="102"/>
        <v>28.005027611742573</v>
      </c>
      <c r="J153" s="88">
        <f t="shared" si="102"/>
        <v>29.904442344862396</v>
      </c>
      <c r="K153" s="89">
        <f t="shared" si="102"/>
        <v>30.433671335330679</v>
      </c>
    </row>
    <row r="154" spans="2:21" ht="16.8">
      <c r="B154" s="75" t="s">
        <v>249</v>
      </c>
      <c r="D154" s="87">
        <f>D191</f>
        <v>-15.645321353364194</v>
      </c>
      <c r="E154" s="88">
        <f t="shared" ref="E154:K154" si="103">E191</f>
        <v>-18.690342676426219</v>
      </c>
      <c r="F154" s="88">
        <f t="shared" si="103"/>
        <v>-21.632524947807369</v>
      </c>
      <c r="G154" s="88">
        <f t="shared" si="103"/>
        <v>-24.044747964602518</v>
      </c>
      <c r="H154" s="88">
        <f t="shared" si="103"/>
        <v>-26.793787551843703</v>
      </c>
      <c r="I154" s="88">
        <f t="shared" si="103"/>
        <v>-28.628424833688189</v>
      </c>
      <c r="J154" s="88">
        <f t="shared" si="103"/>
        <v>-29.781048076163348</v>
      </c>
      <c r="K154" s="89">
        <f t="shared" si="103"/>
        <v>-29.92262311262602</v>
      </c>
    </row>
    <row r="155" spans="2:21" ht="16.8">
      <c r="B155" s="75" t="s">
        <v>250</v>
      </c>
      <c r="D155" s="87">
        <f>D192</f>
        <v>90.043901989927761</v>
      </c>
      <c r="E155" s="88">
        <f t="shared" ref="E155:K155" si="104">E192</f>
        <v>101.78296147436569</v>
      </c>
      <c r="F155" s="88">
        <f t="shared" si="104"/>
        <v>109.84031646742848</v>
      </c>
      <c r="G155" s="88">
        <f t="shared" si="104"/>
        <v>115.2990367705342</v>
      </c>
      <c r="H155" s="88">
        <f t="shared" si="104"/>
        <v>118.90291485332088</v>
      </c>
      <c r="I155" s="88">
        <f t="shared" si="104"/>
        <v>118.27951763137527</v>
      </c>
      <c r="J155" s="88">
        <f t="shared" si="104"/>
        <v>118.40291190007433</v>
      </c>
      <c r="K155" s="89">
        <f t="shared" si="104"/>
        <v>118.913960122779</v>
      </c>
    </row>
    <row r="157" spans="2:21" ht="15.6">
      <c r="L157" s="119" t="s">
        <v>301</v>
      </c>
    </row>
    <row r="158" spans="2:21" ht="15.6">
      <c r="B158" t="s">
        <v>289</v>
      </c>
      <c r="D158" s="122">
        <f>D130+D152</f>
        <v>8865.0145032674482</v>
      </c>
      <c r="E158" s="122">
        <f t="shared" ref="E158:K158" si="105">E130+E152</f>
        <v>9657.3405104468875</v>
      </c>
      <c r="F158" s="122">
        <f t="shared" si="105"/>
        <v>10527.492336961541</v>
      </c>
      <c r="G158" s="122">
        <f t="shared" si="105"/>
        <v>11287.400972544581</v>
      </c>
      <c r="H158" s="122">
        <f t="shared" si="105"/>
        <v>11942.649719500258</v>
      </c>
      <c r="I158" s="122">
        <f t="shared" si="105"/>
        <v>12378.520469081048</v>
      </c>
      <c r="J158" s="122">
        <f t="shared" si="105"/>
        <v>12744.436650291673</v>
      </c>
      <c r="K158" s="122">
        <f t="shared" si="105"/>
        <v>12975.604771513232</v>
      </c>
      <c r="L158" s="120">
        <f>(K158/D158)^(1/7)-1</f>
        <v>5.5930783876074086E-2</v>
      </c>
      <c r="M158" t="s">
        <v>302</v>
      </c>
      <c r="N158" s="114">
        <f t="shared" ref="N158:N159" si="106">D158*N$1</f>
        <v>10345.471925313112</v>
      </c>
      <c r="O158" s="109">
        <f t="shared" ref="O158:O159" si="107">E158*O$1</f>
        <v>11492.235207431795</v>
      </c>
      <c r="P158" s="109">
        <f t="shared" ref="P158:P159" si="108">F158*P$1</f>
        <v>12654.045789027772</v>
      </c>
      <c r="Q158" s="109">
        <f t="shared" ref="Q158:Q159" si="109">G158*Q$1</f>
        <v>13860.928394284745</v>
      </c>
      <c r="R158" s="109">
        <f t="shared" ref="R158:R159" si="110">H158*R$1</f>
        <v>15214.935742643329</v>
      </c>
      <c r="S158" s="109">
        <f t="shared" ref="S158:S159" si="111">I158*S$1</f>
        <v>16252.997375903415</v>
      </c>
      <c r="T158" s="109">
        <f t="shared" ref="T158:T159" si="112">J158*T$1</f>
        <v>17192.245041243466</v>
      </c>
      <c r="U158" s="109">
        <f t="shared" ref="U158:U159" si="113">K158*U$1</f>
        <v>18010.139422860364</v>
      </c>
    </row>
    <row r="159" spans="2:21" ht="15.6">
      <c r="B159" t="s">
        <v>250</v>
      </c>
      <c r="D159" s="122">
        <f>D133+D155</f>
        <v>9657.3405104468875</v>
      </c>
      <c r="E159" s="122">
        <f t="shared" ref="E159:K159" si="114">E133+E155</f>
        <v>10527.492336961541</v>
      </c>
      <c r="F159" s="122">
        <f t="shared" si="114"/>
        <v>11287.400972544581</v>
      </c>
      <c r="G159" s="122">
        <f t="shared" si="114"/>
        <v>11942.649719500258</v>
      </c>
      <c r="H159" s="122">
        <f t="shared" si="114"/>
        <v>12378.520469081046</v>
      </c>
      <c r="I159" s="122">
        <f t="shared" si="114"/>
        <v>12744.436650291675</v>
      </c>
      <c r="J159" s="122">
        <f t="shared" si="114"/>
        <v>12975.60477151323</v>
      </c>
      <c r="K159" s="122">
        <f t="shared" si="114"/>
        <v>13055.327707749988</v>
      </c>
      <c r="L159" s="121">
        <f>(K159/D159)^(1/7)-1</f>
        <v>4.4009183788924267E-2</v>
      </c>
      <c r="N159" s="109">
        <f t="shared" si="106"/>
        <v>11270.116375691518</v>
      </c>
      <c r="O159" s="109">
        <f t="shared" si="107"/>
        <v>12527.715880984233</v>
      </c>
      <c r="P159" s="109">
        <f t="shared" si="108"/>
        <v>13567.455968998585</v>
      </c>
      <c r="Q159" s="109">
        <f t="shared" si="109"/>
        <v>14665.573855546316</v>
      </c>
      <c r="R159" s="109">
        <f t="shared" si="110"/>
        <v>15770.235077609253</v>
      </c>
      <c r="S159" s="109">
        <f t="shared" si="111"/>
        <v>16733.445321832969</v>
      </c>
      <c r="T159" s="109">
        <f t="shared" si="112"/>
        <v>17504.090836771345</v>
      </c>
      <c r="U159" s="114">
        <f t="shared" si="113"/>
        <v>18120.794858356981</v>
      </c>
    </row>
    <row r="160" spans="2:21">
      <c r="N160" s="109"/>
      <c r="O160" s="109"/>
      <c r="P160" s="109"/>
      <c r="Q160" s="109"/>
      <c r="R160" s="109"/>
      <c r="S160" s="109"/>
      <c r="T160" s="109"/>
      <c r="U160" s="109"/>
    </row>
    <row r="161" spans="1:21">
      <c r="B161" t="s">
        <v>289</v>
      </c>
      <c r="D161" s="53"/>
      <c r="M161" t="s">
        <v>303</v>
      </c>
      <c r="N161" s="115">
        <f>D158*N$3</f>
        <v>10190.343073497943</v>
      </c>
      <c r="O161" s="109">
        <f t="shared" ref="O161:U161" si="115">E158*O$2</f>
        <v>11507.348579804862</v>
      </c>
      <c r="P161" s="109">
        <f t="shared" si="115"/>
        <v>12739.355395553803</v>
      </c>
      <c r="Q161" s="109">
        <f t="shared" si="115"/>
        <v>14087.89007526459</v>
      </c>
      <c r="R161" s="109">
        <f t="shared" si="115"/>
        <v>15403.859494532317</v>
      </c>
      <c r="S161" s="109">
        <f t="shared" si="115"/>
        <v>16356.169561571178</v>
      </c>
      <c r="T161" s="109">
        <f t="shared" si="115"/>
        <v>17347.633450597859</v>
      </c>
      <c r="U161" s="109">
        <f t="shared" si="115"/>
        <v>18191.505221919142</v>
      </c>
    </row>
    <row r="162" spans="1:21">
      <c r="B162" t="s">
        <v>250</v>
      </c>
      <c r="D162" s="53"/>
      <c r="E162" s="53"/>
      <c r="F162" s="53"/>
      <c r="G162" s="53"/>
      <c r="H162" s="53"/>
      <c r="I162" s="53"/>
      <c r="J162" s="53"/>
      <c r="K162" s="53"/>
      <c r="N162" s="109">
        <f t="shared" ref="N162:U162" si="116">D159*N$2</f>
        <v>11404.404582397039</v>
      </c>
      <c r="O162" s="109">
        <f t="shared" si="116"/>
        <v>12544.191008030957</v>
      </c>
      <c r="P162" s="109">
        <f t="shared" si="116"/>
        <v>13658.923500377217</v>
      </c>
      <c r="Q162" s="109">
        <f t="shared" si="116"/>
        <v>14905.710966142839</v>
      </c>
      <c r="R162" s="109">
        <f t="shared" si="116"/>
        <v>15966.053977500029</v>
      </c>
      <c r="S162" s="109">
        <f t="shared" si="116"/>
        <v>16839.667336620536</v>
      </c>
      <c r="T162" s="109">
        <f t="shared" si="116"/>
        <v>17662.297797281492</v>
      </c>
      <c r="U162" s="115">
        <f t="shared" si="116"/>
        <v>18303.274980353955</v>
      </c>
    </row>
    <row r="163" spans="1:21">
      <c r="D163" s="189"/>
      <c r="E163" s="189"/>
      <c r="F163" s="189"/>
      <c r="G163" s="189"/>
      <c r="H163" s="189"/>
      <c r="I163" s="189"/>
      <c r="J163" s="189"/>
      <c r="K163" s="189"/>
    </row>
    <row r="164" spans="1:21">
      <c r="D164" s="53"/>
    </row>
    <row r="165" spans="1:21">
      <c r="B165" t="s">
        <v>304</v>
      </c>
      <c r="D165" s="190">
        <f t="shared" ref="D165" si="117">D62-D127-D166</f>
        <v>-568.85899585512277</v>
      </c>
      <c r="E165" s="190">
        <f>E62-E127-E166</f>
        <v>-549.89961863661063</v>
      </c>
      <c r="F165" s="190">
        <f t="shared" ref="F165:K165" si="118">F62-F127-F166</f>
        <v>-536.88830227380822</v>
      </c>
      <c r="G165" s="190">
        <f t="shared" si="118"/>
        <v>-523.0969313330138</v>
      </c>
      <c r="H165" s="190">
        <f t="shared" si="118"/>
        <v>-510.35729242605214</v>
      </c>
      <c r="I165" s="190">
        <f t="shared" si="118"/>
        <v>-499.0866091766818</v>
      </c>
      <c r="J165" s="190">
        <f t="shared" si="118"/>
        <v>-479.55827686084962</v>
      </c>
      <c r="K165" s="190">
        <f t="shared" si="118"/>
        <v>-462.21006048952029</v>
      </c>
    </row>
    <row r="166" spans="1:21">
      <c r="B166" t="s">
        <v>305</v>
      </c>
      <c r="D166" s="193">
        <v>0</v>
      </c>
      <c r="E166" s="193">
        <v>-58.175215072874394</v>
      </c>
      <c r="F166" s="193">
        <v>-114.04140938676773</v>
      </c>
      <c r="G166" s="193">
        <v>-161.79565593146742</v>
      </c>
      <c r="H166" s="193">
        <v>-202.86281328276141</v>
      </c>
      <c r="I166" s="193">
        <v>-235.0168336955843</v>
      </c>
      <c r="J166" s="193">
        <v>-263.42052456796722</v>
      </c>
      <c r="K166" s="193">
        <v>-286.68078793230575</v>
      </c>
    </row>
    <row r="167" spans="1:21">
      <c r="D167" s="53"/>
      <c r="E167" s="53"/>
      <c r="F167" s="53"/>
      <c r="G167" s="53"/>
      <c r="H167" s="53"/>
      <c r="I167" s="53"/>
      <c r="J167" s="53"/>
      <c r="K167" s="53"/>
    </row>
    <row r="169" spans="1:21">
      <c r="B169" t="s">
        <v>352</v>
      </c>
      <c r="D169" s="192">
        <v>98.2</v>
      </c>
      <c r="E169" s="192">
        <v>86.4</v>
      </c>
      <c r="F169" s="192">
        <v>80.599999999999994</v>
      </c>
      <c r="G169" s="192">
        <v>94.8</v>
      </c>
      <c r="H169" s="192">
        <v>80.2</v>
      </c>
      <c r="I169" s="192">
        <v>54.8</v>
      </c>
      <c r="J169" s="192">
        <v>15.6</v>
      </c>
      <c r="K169" s="192">
        <v>1.4</v>
      </c>
    </row>
    <row r="170" spans="1:21">
      <c r="B170" t="s">
        <v>353</v>
      </c>
      <c r="D170" s="192">
        <v>-45.1</v>
      </c>
      <c r="E170" s="192">
        <v>-33.4</v>
      </c>
      <c r="F170" s="192">
        <v>-29.6</v>
      </c>
      <c r="G170" s="192">
        <v>-37.299999999999997</v>
      </c>
      <c r="H170" s="192">
        <v>-31.2</v>
      </c>
      <c r="I170" s="192">
        <v>-26.3</v>
      </c>
      <c r="J170" s="192">
        <v>-11.9</v>
      </c>
      <c r="K170" s="192">
        <v>-1.4</v>
      </c>
    </row>
    <row r="171" spans="1:21">
      <c r="D171" s="192"/>
      <c r="E171" s="192"/>
      <c r="F171" s="192"/>
      <c r="G171" s="192"/>
      <c r="H171" s="192"/>
      <c r="I171" s="192"/>
      <c r="J171" s="192"/>
      <c r="K171" s="192"/>
    </row>
    <row r="172" spans="1:21" s="188" customFormat="1">
      <c r="D172" s="194"/>
      <c r="E172" s="194"/>
      <c r="F172" s="194"/>
      <c r="G172" s="194"/>
      <c r="H172" s="194"/>
      <c r="I172" s="194"/>
      <c r="J172" s="194"/>
      <c r="K172" s="194"/>
    </row>
    <row r="174" spans="1:21" ht="16.8">
      <c r="A174" s="86">
        <v>1</v>
      </c>
      <c r="B174" s="75" t="s">
        <v>241</v>
      </c>
      <c r="D174" s="87">
        <f>D183</f>
        <v>31.528475827704249</v>
      </c>
      <c r="E174" s="88">
        <f t="shared" ref="E174:K174" si="119">E183</f>
        <v>30.429402160864161</v>
      </c>
      <c r="F174" s="88">
        <f t="shared" si="119"/>
        <v>29.689879940870156</v>
      </c>
      <c r="G174" s="88">
        <f t="shared" si="119"/>
        <v>29.503468267708236</v>
      </c>
      <c r="H174" s="88">
        <f t="shared" si="119"/>
        <v>30.397665634630393</v>
      </c>
      <c r="I174" s="88">
        <f t="shared" si="119"/>
        <v>28.005027611742573</v>
      </c>
      <c r="J174" s="88">
        <f t="shared" si="119"/>
        <v>29.904442344862396</v>
      </c>
      <c r="K174" s="89">
        <f t="shared" si="119"/>
        <v>30.433671335330679</v>
      </c>
      <c r="L174" s="172">
        <v>243.40743312371282</v>
      </c>
    </row>
    <row r="175" spans="1:21" ht="16.8">
      <c r="A175" s="86">
        <v>2</v>
      </c>
      <c r="B175" s="75" t="s">
        <v>242</v>
      </c>
      <c r="D175" s="87">
        <f t="shared" ref="D175:K175" si="120">D184</f>
        <v>81.476813877328894</v>
      </c>
      <c r="E175" s="88">
        <f t="shared" si="120"/>
        <v>78.636555404957193</v>
      </c>
      <c r="F175" s="88">
        <f t="shared" si="120"/>
        <v>76.725460348987028</v>
      </c>
      <c r="G175" s="88">
        <f t="shared" si="120"/>
        <v>76.243729824435974</v>
      </c>
      <c r="H175" s="88">
        <f t="shared" si="120"/>
        <v>78.55454094110577</v>
      </c>
      <c r="I175" s="88">
        <f t="shared" si="120"/>
        <v>72.371415441098179</v>
      </c>
      <c r="J175" s="88">
        <f t="shared" si="120"/>
        <v>77.279938819518947</v>
      </c>
      <c r="K175" s="89">
        <f t="shared" si="120"/>
        <v>78.647587931087514</v>
      </c>
      <c r="L175" s="172">
        <v>629.02064258851954</v>
      </c>
    </row>
    <row r="176" spans="1:21" ht="16.8">
      <c r="A176" s="86">
        <v>3</v>
      </c>
      <c r="B176" s="75" t="s">
        <v>243</v>
      </c>
      <c r="D176" s="87">
        <f t="shared" ref="D176:K176" si="121">D185</f>
        <v>113.00528970503314</v>
      </c>
      <c r="E176" s="88">
        <f t="shared" si="121"/>
        <v>109.06595756582135</v>
      </c>
      <c r="F176" s="88">
        <f t="shared" si="121"/>
        <v>106.41534028985718</v>
      </c>
      <c r="G176" s="88">
        <f t="shared" si="121"/>
        <v>105.7471980921442</v>
      </c>
      <c r="H176" s="88">
        <f t="shared" si="121"/>
        <v>108.95220657573617</v>
      </c>
      <c r="I176" s="88">
        <f t="shared" si="121"/>
        <v>100.37644305284076</v>
      </c>
      <c r="J176" s="88">
        <f t="shared" si="121"/>
        <v>107.18438116438134</v>
      </c>
      <c r="K176" s="89">
        <f t="shared" si="121"/>
        <v>109.0812592664182</v>
      </c>
      <c r="L176" s="172">
        <v>872.42807571223227</v>
      </c>
    </row>
    <row r="179" spans="1:13" ht="17.399999999999999" thickBot="1">
      <c r="B179" s="185" t="s">
        <v>354</v>
      </c>
    </row>
    <row r="180" spans="1:13" ht="16.8">
      <c r="A180" s="68"/>
      <c r="B180" s="69" t="s">
        <v>237</v>
      </c>
      <c r="D180" s="70">
        <v>41729</v>
      </c>
      <c r="E180" s="71">
        <v>42094</v>
      </c>
      <c r="F180" s="71">
        <v>42460</v>
      </c>
      <c r="G180" s="71">
        <v>42825</v>
      </c>
      <c r="H180" s="71">
        <v>43190</v>
      </c>
      <c r="I180" s="71">
        <v>43555</v>
      </c>
      <c r="J180" s="71">
        <v>43921</v>
      </c>
      <c r="K180" s="72">
        <v>44286</v>
      </c>
      <c r="L180" s="180" t="s">
        <v>238</v>
      </c>
      <c r="M180" s="181" t="s">
        <v>310</v>
      </c>
    </row>
    <row r="181" spans="1:13" ht="16.8">
      <c r="A181" s="74"/>
      <c r="B181" s="75" t="s">
        <v>239</v>
      </c>
      <c r="D181" s="76" t="s">
        <v>240</v>
      </c>
      <c r="E181" s="77" t="s">
        <v>240</v>
      </c>
      <c r="F181" s="77" t="s">
        <v>240</v>
      </c>
      <c r="G181" s="77" t="s">
        <v>240</v>
      </c>
      <c r="H181" s="77" t="s">
        <v>240</v>
      </c>
      <c r="I181" s="77" t="s">
        <v>240</v>
      </c>
      <c r="J181" s="77" t="s">
        <v>240</v>
      </c>
      <c r="K181" s="78" t="s">
        <v>240</v>
      </c>
      <c r="L181" s="182" t="s">
        <v>240</v>
      </c>
      <c r="M181" s="79" t="s">
        <v>240</v>
      </c>
    </row>
    <row r="182" spans="1:13" ht="16.8">
      <c r="A182" s="80"/>
      <c r="B182" s="81" t="s">
        <v>207</v>
      </c>
      <c r="D182" s="82"/>
      <c r="E182" s="83"/>
      <c r="F182" s="83"/>
      <c r="G182" s="83"/>
      <c r="H182" s="83"/>
      <c r="I182" s="83"/>
      <c r="J182" s="83"/>
      <c r="K182" s="84"/>
      <c r="L182" s="183"/>
      <c r="M182" s="85"/>
    </row>
    <row r="183" spans="1:13" ht="16.8">
      <c r="A183" s="86">
        <v>1</v>
      </c>
      <c r="B183" s="75" t="s">
        <v>241</v>
      </c>
      <c r="D183" s="87">
        <v>31.528475827704249</v>
      </c>
      <c r="E183" s="88">
        <v>30.429402160864161</v>
      </c>
      <c r="F183" s="88">
        <v>29.689879940870156</v>
      </c>
      <c r="G183" s="88">
        <v>29.503468267708236</v>
      </c>
      <c r="H183" s="88">
        <v>30.397665634630393</v>
      </c>
      <c r="I183" s="88">
        <v>28.005027611742573</v>
      </c>
      <c r="J183" s="88">
        <v>29.904442344862396</v>
      </c>
      <c r="K183" s="89">
        <v>30.433671335330679</v>
      </c>
      <c r="L183" s="172">
        <v>239.89203312371282</v>
      </c>
      <c r="M183" s="90">
        <v>29.986504140464103</v>
      </c>
    </row>
    <row r="184" spans="1:13" ht="16.8">
      <c r="A184" s="86">
        <v>2</v>
      </c>
      <c r="B184" s="75" t="s">
        <v>242</v>
      </c>
      <c r="D184" s="87">
        <v>81.476813877328894</v>
      </c>
      <c r="E184" s="88">
        <v>78.636555404957193</v>
      </c>
      <c r="F184" s="88">
        <v>76.725460348987028</v>
      </c>
      <c r="G184" s="88">
        <v>76.243729824435974</v>
      </c>
      <c r="H184" s="88">
        <v>78.55454094110577</v>
      </c>
      <c r="I184" s="88">
        <v>72.371415441098179</v>
      </c>
      <c r="J184" s="88">
        <v>77.279938819518947</v>
      </c>
      <c r="K184" s="89">
        <v>78.647587931087514</v>
      </c>
      <c r="L184" s="172">
        <v>619.93604258851951</v>
      </c>
      <c r="M184" s="90">
        <v>77.492005323564939</v>
      </c>
    </row>
    <row r="185" spans="1:13" ht="16.8">
      <c r="A185" s="86">
        <v>3</v>
      </c>
      <c r="B185" s="75" t="s">
        <v>243</v>
      </c>
      <c r="D185" s="87">
        <v>113.00528970503314</v>
      </c>
      <c r="E185" s="88">
        <v>109.06595756582135</v>
      </c>
      <c r="F185" s="88">
        <v>106.41534028985718</v>
      </c>
      <c r="G185" s="88">
        <v>105.7471980921442</v>
      </c>
      <c r="H185" s="88">
        <v>108.95220657573617</v>
      </c>
      <c r="I185" s="88">
        <v>100.37644305284076</v>
      </c>
      <c r="J185" s="88">
        <v>107.18438116438134</v>
      </c>
      <c r="K185" s="89">
        <v>109.0812592664182</v>
      </c>
      <c r="L185" s="172">
        <v>859.82807571223236</v>
      </c>
      <c r="M185" s="90">
        <v>107.47850946402905</v>
      </c>
    </row>
    <row r="186" spans="1:13" ht="16.8">
      <c r="A186" s="80"/>
      <c r="B186" s="81" t="s">
        <v>244</v>
      </c>
      <c r="D186" s="82">
        <v>0</v>
      </c>
      <c r="E186" s="83">
        <v>0</v>
      </c>
      <c r="F186" s="83">
        <v>0</v>
      </c>
      <c r="G186" s="83">
        <v>0</v>
      </c>
      <c r="H186" s="83">
        <v>0</v>
      </c>
      <c r="I186" s="83">
        <v>0</v>
      </c>
      <c r="J186" s="83">
        <v>0</v>
      </c>
      <c r="K186" s="84">
        <v>0</v>
      </c>
      <c r="L186" s="183">
        <v>0</v>
      </c>
      <c r="M186" s="85">
        <v>0</v>
      </c>
    </row>
    <row r="187" spans="1:13" ht="16.8">
      <c r="A187" s="86">
        <v>4</v>
      </c>
      <c r="B187" s="75" t="s">
        <v>311</v>
      </c>
      <c r="D187" s="87">
        <v>74.160747515587701</v>
      </c>
      <c r="E187" s="88">
        <v>90.043901989927761</v>
      </c>
      <c r="F187" s="88">
        <v>101.78296147436569</v>
      </c>
      <c r="G187" s="88">
        <v>109.84031646742848</v>
      </c>
      <c r="H187" s="88">
        <v>115.2990367705342</v>
      </c>
      <c r="I187" s="88">
        <v>118.90291485332088</v>
      </c>
      <c r="J187" s="88">
        <v>118.27951763137527</v>
      </c>
      <c r="K187" s="89">
        <v>118.40291190007433</v>
      </c>
      <c r="L187" s="172">
        <v>0</v>
      </c>
      <c r="M187" s="90">
        <v>105.83903857532678</v>
      </c>
    </row>
    <row r="188" spans="1:13" ht="16.8">
      <c r="A188" s="86">
        <v>5</v>
      </c>
      <c r="B188" s="75" t="s">
        <v>246</v>
      </c>
      <c r="D188" s="87">
        <v>0</v>
      </c>
      <c r="E188" s="88">
        <v>0</v>
      </c>
      <c r="F188" s="88">
        <v>0</v>
      </c>
      <c r="G188" s="88">
        <v>0</v>
      </c>
      <c r="H188" s="88">
        <v>0</v>
      </c>
      <c r="I188" s="88">
        <v>0</v>
      </c>
      <c r="J188" s="88">
        <v>0</v>
      </c>
      <c r="K188" s="89">
        <v>0</v>
      </c>
      <c r="L188" s="172">
        <v>0</v>
      </c>
      <c r="M188" s="90">
        <v>0</v>
      </c>
    </row>
    <row r="189" spans="1:13" ht="16.8">
      <c r="A189" s="86">
        <v>6</v>
      </c>
      <c r="B189" s="75" t="s">
        <v>247</v>
      </c>
      <c r="D189" s="87">
        <v>74.160747515587701</v>
      </c>
      <c r="E189" s="88">
        <v>90.043901989927761</v>
      </c>
      <c r="F189" s="88">
        <v>101.78296147436569</v>
      </c>
      <c r="G189" s="88">
        <v>109.84031646742848</v>
      </c>
      <c r="H189" s="88">
        <v>115.2990367705342</v>
      </c>
      <c r="I189" s="88">
        <v>118.90291485332088</v>
      </c>
      <c r="J189" s="88">
        <v>118.27951763137527</v>
      </c>
      <c r="K189" s="89">
        <v>118.40291190007433</v>
      </c>
      <c r="L189" s="172">
        <v>0</v>
      </c>
      <c r="M189" s="90">
        <v>105.83903857532678</v>
      </c>
    </row>
    <row r="190" spans="1:13" ht="16.8">
      <c r="A190" s="86">
        <v>7</v>
      </c>
      <c r="B190" s="75" t="s">
        <v>248</v>
      </c>
      <c r="D190" s="87">
        <v>31.528475827704249</v>
      </c>
      <c r="E190" s="88">
        <v>30.429402160864161</v>
      </c>
      <c r="F190" s="88">
        <v>29.689879940870156</v>
      </c>
      <c r="G190" s="88">
        <v>29.503468267708236</v>
      </c>
      <c r="H190" s="88">
        <v>30.397665634630393</v>
      </c>
      <c r="I190" s="88">
        <v>28.005027611742573</v>
      </c>
      <c r="J190" s="88">
        <v>29.904442344862396</v>
      </c>
      <c r="K190" s="89">
        <v>30.433671335330679</v>
      </c>
      <c r="L190" s="172">
        <v>239.89203312371282</v>
      </c>
      <c r="M190" s="90">
        <v>29.986504140464103</v>
      </c>
    </row>
    <row r="191" spans="1:13" ht="16.8">
      <c r="A191" s="86">
        <v>8</v>
      </c>
      <c r="B191" s="75" t="s">
        <v>249</v>
      </c>
      <c r="D191" s="87">
        <v>-15.645321353364194</v>
      </c>
      <c r="E191" s="88">
        <v>-18.690342676426219</v>
      </c>
      <c r="F191" s="88">
        <v>-21.632524947807369</v>
      </c>
      <c r="G191" s="88">
        <v>-24.044747964602518</v>
      </c>
      <c r="H191" s="88">
        <v>-26.793787551843703</v>
      </c>
      <c r="I191" s="88">
        <v>-28.628424833688189</v>
      </c>
      <c r="J191" s="88">
        <v>-29.781048076163348</v>
      </c>
      <c r="K191" s="89">
        <v>-29.92262311262602</v>
      </c>
      <c r="L191" s="172">
        <v>-195.13882051652158</v>
      </c>
      <c r="M191" s="90">
        <v>-24.392352564565197</v>
      </c>
    </row>
    <row r="192" spans="1:13" ht="16.8">
      <c r="A192" s="86">
        <v>9</v>
      </c>
      <c r="B192" s="75" t="s">
        <v>250</v>
      </c>
      <c r="D192" s="87">
        <v>90.043901989927761</v>
      </c>
      <c r="E192" s="88">
        <v>101.78296147436569</v>
      </c>
      <c r="F192" s="88">
        <v>109.84031646742848</v>
      </c>
      <c r="G192" s="88">
        <v>115.2990367705342</v>
      </c>
      <c r="H192" s="88">
        <v>118.90291485332088</v>
      </c>
      <c r="I192" s="88">
        <v>118.27951763137527</v>
      </c>
      <c r="J192" s="88">
        <v>118.40291190007433</v>
      </c>
      <c r="K192" s="89">
        <v>118.913960122779</v>
      </c>
      <c r="L192" s="172">
        <v>0</v>
      </c>
      <c r="M192" s="90">
        <v>111.4331901512257</v>
      </c>
    </row>
    <row r="193" spans="1:13" ht="16.8">
      <c r="A193" s="80"/>
      <c r="B193" s="81" t="s">
        <v>251</v>
      </c>
      <c r="D193" s="91">
        <v>0</v>
      </c>
      <c r="E193" s="92">
        <v>0</v>
      </c>
      <c r="F193" s="92">
        <v>0</v>
      </c>
      <c r="G193" s="92">
        <v>0</v>
      </c>
      <c r="H193" s="92">
        <v>0</v>
      </c>
      <c r="I193" s="92">
        <v>0</v>
      </c>
      <c r="J193" s="92">
        <v>0</v>
      </c>
      <c r="K193" s="93">
        <v>0</v>
      </c>
      <c r="L193" s="184">
        <v>0</v>
      </c>
      <c r="M193" s="94">
        <v>0</v>
      </c>
    </row>
    <row r="194" spans="1:13" ht="16.8">
      <c r="A194" s="86">
        <v>10</v>
      </c>
      <c r="B194" s="75" t="s">
        <v>252</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72">
        <v>619.93604258851951</v>
      </c>
      <c r="M194" s="90">
        <v>77.492005323564939</v>
      </c>
    </row>
    <row r="195" spans="1:13" ht="16.8">
      <c r="A195" s="86">
        <v>11</v>
      </c>
      <c r="B195" s="75" t="s">
        <v>253</v>
      </c>
      <c r="D195" s="87">
        <v>0</v>
      </c>
      <c r="E195" s="88">
        <v>0</v>
      </c>
      <c r="F195" s="88">
        <v>0</v>
      </c>
      <c r="G195" s="88">
        <v>0</v>
      </c>
      <c r="H195" s="88">
        <v>0</v>
      </c>
      <c r="I195" s="88">
        <v>0</v>
      </c>
      <c r="J195" s="88">
        <v>0</v>
      </c>
      <c r="K195" s="89">
        <v>0</v>
      </c>
      <c r="L195" s="172">
        <v>0</v>
      </c>
      <c r="M195" s="90">
        <v>0</v>
      </c>
    </row>
    <row r="196" spans="1:13" ht="16.8">
      <c r="A196" s="86">
        <v>12</v>
      </c>
      <c r="B196" s="75" t="s">
        <v>254</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72">
        <v>195.13882051652158</v>
      </c>
      <c r="M196" s="90">
        <v>24.392352564565197</v>
      </c>
    </row>
    <row r="197" spans="1:13" ht="16.8">
      <c r="A197" s="86">
        <v>13</v>
      </c>
      <c r="B197" s="75" t="s">
        <v>255</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72">
        <v>38.677549126287644</v>
      </c>
      <c r="M197" s="90">
        <v>4.8346936407859555</v>
      </c>
    </row>
    <row r="198" spans="1:13" ht="16.8">
      <c r="A198" s="86">
        <v>14</v>
      </c>
      <c r="B198" s="75" t="s">
        <v>256</v>
      </c>
      <c r="D198" s="87">
        <v>0</v>
      </c>
      <c r="E198" s="88">
        <v>0</v>
      </c>
      <c r="F198" s="88">
        <v>0</v>
      </c>
      <c r="G198" s="88">
        <v>0</v>
      </c>
      <c r="H198" s="88">
        <v>0</v>
      </c>
      <c r="I198" s="88">
        <v>0</v>
      </c>
      <c r="J198" s="88">
        <v>0</v>
      </c>
      <c r="K198" s="89">
        <v>0</v>
      </c>
      <c r="L198" s="172">
        <v>0</v>
      </c>
      <c r="M198" s="90">
        <v>0</v>
      </c>
    </row>
    <row r="199" spans="1:13" ht="16.8">
      <c r="A199" s="86">
        <v>15</v>
      </c>
      <c r="B199" s="75" t="s">
        <v>257</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72">
        <v>7.0928230769456135</v>
      </c>
      <c r="M199" s="90">
        <v>0.88660288461820169</v>
      </c>
    </row>
    <row r="200" spans="1:13" ht="16.8">
      <c r="A200" s="86">
        <v>16</v>
      </c>
      <c r="B200" s="75" t="s">
        <v>258</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72">
        <v>83.035157295435894</v>
      </c>
      <c r="M200" s="90">
        <v>10.379394661929487</v>
      </c>
    </row>
    <row r="201" spans="1:13" ht="16.8">
      <c r="A201" s="86">
        <v>17</v>
      </c>
      <c r="B201" s="75" t="s">
        <v>259</v>
      </c>
      <c r="D201" s="87">
        <v>2.0016092127672556</v>
      </c>
      <c r="E201" s="88">
        <v>0.82522992535408668</v>
      </c>
      <c r="F201" s="88">
        <v>0.15069905537749376</v>
      </c>
      <c r="G201" s="88">
        <v>0.12384729257669767</v>
      </c>
      <c r="H201" s="88">
        <v>1.0117778450783115</v>
      </c>
      <c r="I201" s="88">
        <v>0</v>
      </c>
      <c r="J201" s="88">
        <v>1.0108904590811443</v>
      </c>
      <c r="K201" s="89">
        <v>0.90951351468726149</v>
      </c>
      <c r="L201" s="172">
        <v>6.0335673049222507</v>
      </c>
      <c r="M201" s="90">
        <v>0.75419591311528134</v>
      </c>
    </row>
    <row r="202" spans="1:13" ht="16.8">
      <c r="A202" s="80"/>
      <c r="B202" s="81" t="s">
        <v>260</v>
      </c>
      <c r="D202" s="91">
        <v>0</v>
      </c>
      <c r="E202" s="92">
        <v>0</v>
      </c>
      <c r="F202" s="92">
        <v>0</v>
      </c>
      <c r="G202" s="92">
        <v>0</v>
      </c>
      <c r="H202" s="92">
        <v>0</v>
      </c>
      <c r="I202" s="92">
        <v>0</v>
      </c>
      <c r="J202" s="92">
        <v>0</v>
      </c>
      <c r="K202" s="93">
        <v>0</v>
      </c>
      <c r="L202" s="184">
        <v>0</v>
      </c>
      <c r="M202" s="94">
        <v>0</v>
      </c>
    </row>
    <row r="203" spans="1:13" ht="16.8">
      <c r="A203" s="86">
        <v>18</v>
      </c>
      <c r="B203" s="75" t="s">
        <v>252</v>
      </c>
      <c r="D203" s="87">
        <v>81.476813877328894</v>
      </c>
      <c r="E203" s="88">
        <v>78.636555404957193</v>
      </c>
      <c r="F203" s="88">
        <v>76.725460348987028</v>
      </c>
      <c r="G203" s="88">
        <v>76.243729824435974</v>
      </c>
      <c r="H203" s="88">
        <v>78.55454094110577</v>
      </c>
      <c r="I203" s="88">
        <v>72.371415441098179</v>
      </c>
      <c r="J203" s="88">
        <v>77.279938819518947</v>
      </c>
      <c r="K203" s="89">
        <v>78.647587931087514</v>
      </c>
      <c r="L203" s="172">
        <v>619.93604258851951</v>
      </c>
      <c r="M203" s="90">
        <v>77.492005323564939</v>
      </c>
    </row>
    <row r="204" spans="1:13" ht="16.8">
      <c r="A204" s="86">
        <v>19</v>
      </c>
      <c r="B204" s="75" t="s">
        <v>253</v>
      </c>
      <c r="D204" s="87">
        <v>0</v>
      </c>
      <c r="E204" s="88">
        <v>0</v>
      </c>
      <c r="F204" s="88">
        <v>0</v>
      </c>
      <c r="G204" s="88">
        <v>0</v>
      </c>
      <c r="H204" s="88">
        <v>0</v>
      </c>
      <c r="I204" s="88">
        <v>0</v>
      </c>
      <c r="J204" s="88">
        <v>0</v>
      </c>
      <c r="K204" s="89">
        <v>0</v>
      </c>
      <c r="L204" s="172">
        <v>0</v>
      </c>
      <c r="M204" s="90">
        <v>0</v>
      </c>
    </row>
    <row r="205" spans="1:13" ht="16.8">
      <c r="A205" s="86">
        <v>20</v>
      </c>
      <c r="B205" s="75" t="s">
        <v>254</v>
      </c>
      <c r="D205" s="87">
        <v>15.645321353364194</v>
      </c>
      <c r="E205" s="88">
        <v>18.690342676426219</v>
      </c>
      <c r="F205" s="88">
        <v>21.632524947807369</v>
      </c>
      <c r="G205" s="88">
        <v>24.044747964602518</v>
      </c>
      <c r="H205" s="88">
        <v>26.793787551843703</v>
      </c>
      <c r="I205" s="88">
        <v>28.628424833688189</v>
      </c>
      <c r="J205" s="88">
        <v>29.781048076163348</v>
      </c>
      <c r="K205" s="89">
        <v>29.92262311262602</v>
      </c>
      <c r="L205" s="172">
        <v>195.13882051652158</v>
      </c>
      <c r="M205" s="90">
        <v>24.392352564565197</v>
      </c>
    </row>
    <row r="206" spans="1:13" ht="16.8">
      <c r="A206" s="86">
        <v>21</v>
      </c>
      <c r="B206" s="75" t="s">
        <v>255</v>
      </c>
      <c r="D206" s="87">
        <v>3.6480707854751642</v>
      </c>
      <c r="E206" s="88">
        <v>4.2651198106724255</v>
      </c>
      <c r="F206" s="88">
        <v>4.7077019442984573</v>
      </c>
      <c r="G206" s="88">
        <v>5.0099186184247326</v>
      </c>
      <c r="H206" s="88">
        <v>5.2126121734441337</v>
      </c>
      <c r="I206" s="88">
        <v>5.2810656596930992</v>
      </c>
      <c r="J206" s="88">
        <v>5.2695633176227323</v>
      </c>
      <c r="K206" s="89">
        <v>5.2834968166568972</v>
      </c>
      <c r="L206" s="172">
        <v>38.677549126287644</v>
      </c>
      <c r="M206" s="90">
        <v>4.8346936407859555</v>
      </c>
    </row>
    <row r="207" spans="1:13" ht="16.8">
      <c r="A207" s="86">
        <v>22</v>
      </c>
      <c r="B207" s="75" t="s">
        <v>256</v>
      </c>
      <c r="D207" s="87">
        <v>0</v>
      </c>
      <c r="E207" s="88">
        <v>0</v>
      </c>
      <c r="F207" s="88">
        <v>0</v>
      </c>
      <c r="G207" s="88">
        <v>0</v>
      </c>
      <c r="H207" s="88">
        <v>0</v>
      </c>
      <c r="I207" s="88">
        <v>0</v>
      </c>
      <c r="J207" s="88">
        <v>0</v>
      </c>
      <c r="K207" s="89">
        <v>0</v>
      </c>
      <c r="L207" s="172">
        <v>0</v>
      </c>
      <c r="M207" s="90">
        <v>0</v>
      </c>
    </row>
    <row r="208" spans="1:13" ht="16.8">
      <c r="A208" s="86">
        <v>23</v>
      </c>
      <c r="B208" s="75" t="s">
        <v>257</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72">
        <v>7.0928230769456135</v>
      </c>
      <c r="M208" s="90">
        <v>0.88660288461820169</v>
      </c>
    </row>
    <row r="209" spans="1:13" ht="16.8">
      <c r="A209" s="86">
        <v>24</v>
      </c>
      <c r="B209" s="75" t="s">
        <v>258</v>
      </c>
      <c r="D209" s="87">
        <v>10.271521977223172</v>
      </c>
      <c r="E209" s="88">
        <v>10.215919391797028</v>
      </c>
      <c r="F209" s="88">
        <v>10.262337776682289</v>
      </c>
      <c r="G209" s="88">
        <v>10.410869126447524</v>
      </c>
      <c r="H209" s="88">
        <v>10.361609623254074</v>
      </c>
      <c r="I209" s="88">
        <v>10.414659827475258</v>
      </c>
      <c r="J209" s="88">
        <v>10.57012487699259</v>
      </c>
      <c r="K209" s="89">
        <v>10.528114695563952</v>
      </c>
      <c r="L209" s="172">
        <v>83.035157295435894</v>
      </c>
      <c r="M209" s="90">
        <v>10.379394661929487</v>
      </c>
    </row>
    <row r="210" spans="1:13" ht="16.8">
      <c r="A210" s="86">
        <v>25</v>
      </c>
      <c r="B210" s="75" t="s">
        <v>259</v>
      </c>
      <c r="D210" s="87">
        <v>2.0016092127672556</v>
      </c>
      <c r="E210" s="88">
        <v>0.82522992535408668</v>
      </c>
      <c r="F210" s="88">
        <v>0.15069905537749376</v>
      </c>
      <c r="G210" s="88">
        <v>0.12384729257669767</v>
      </c>
      <c r="H210" s="88">
        <v>1.0117778450783115</v>
      </c>
      <c r="I210" s="88">
        <v>0</v>
      </c>
      <c r="J210" s="88">
        <v>1.0108904590811443</v>
      </c>
      <c r="K210" s="89">
        <v>0.90951351468726149</v>
      </c>
      <c r="L210" s="172">
        <v>6.0335673049222507</v>
      </c>
      <c r="M210" s="90">
        <v>0.75419591311528134</v>
      </c>
    </row>
    <row r="211" spans="1:13" ht="16.8">
      <c r="A211" s="80"/>
      <c r="B211" s="81" t="s">
        <v>261</v>
      </c>
      <c r="D211" s="91">
        <v>0</v>
      </c>
      <c r="E211" s="92">
        <v>0</v>
      </c>
      <c r="F211" s="92">
        <v>0</v>
      </c>
      <c r="G211" s="92">
        <v>0</v>
      </c>
      <c r="H211" s="92">
        <v>0</v>
      </c>
      <c r="I211" s="92">
        <v>0</v>
      </c>
      <c r="J211" s="92">
        <v>0</v>
      </c>
      <c r="K211" s="93">
        <v>0</v>
      </c>
      <c r="L211" s="91">
        <v>0</v>
      </c>
      <c r="M211" s="184">
        <v>0</v>
      </c>
    </row>
    <row r="212" spans="1:13" ht="16.8">
      <c r="A212" s="86">
        <v>26</v>
      </c>
      <c r="B212" s="75" t="s">
        <v>262</v>
      </c>
      <c r="D212" s="87">
        <v>113.97553115199239</v>
      </c>
      <c r="E212" s="88">
        <v>113.53286514020465</v>
      </c>
      <c r="F212" s="88">
        <v>114.35655675002086</v>
      </c>
      <c r="G212" s="88">
        <v>116.7054339196653</v>
      </c>
      <c r="H212" s="88">
        <v>122.83308772040758</v>
      </c>
      <c r="I212" s="88">
        <v>117.52358286418433</v>
      </c>
      <c r="J212" s="88">
        <v>124.79574213500736</v>
      </c>
      <c r="K212" s="89">
        <v>126.19116022714998</v>
      </c>
      <c r="L212" s="172">
        <v>949.91395990863236</v>
      </c>
      <c r="M212" s="90">
        <v>118.73924498857905</v>
      </c>
    </row>
    <row r="213" spans="1:13" ht="16.8">
      <c r="A213" s="86">
        <v>27</v>
      </c>
      <c r="B213" s="75" t="s">
        <v>312</v>
      </c>
      <c r="D213" s="87">
        <v>0</v>
      </c>
      <c r="E213" s="88">
        <v>0</v>
      </c>
      <c r="F213" s="88">
        <v>0</v>
      </c>
      <c r="G213" s="88">
        <v>0</v>
      </c>
      <c r="H213" s="88">
        <v>0</v>
      </c>
      <c r="I213" s="88">
        <v>0</v>
      </c>
      <c r="J213" s="88">
        <v>0</v>
      </c>
      <c r="K213" s="88">
        <v>0</v>
      </c>
      <c r="L213" s="172">
        <v>0</v>
      </c>
      <c r="M213" s="90">
        <v>0</v>
      </c>
    </row>
    <row r="214" spans="1:13" ht="16.8">
      <c r="A214" s="86">
        <v>28</v>
      </c>
      <c r="B214" s="75" t="s">
        <v>264</v>
      </c>
      <c r="D214" s="96">
        <v>113.97553115199239</v>
      </c>
      <c r="E214" s="88">
        <v>113.53286514020465</v>
      </c>
      <c r="F214" s="88">
        <v>114.35655675002086</v>
      </c>
      <c r="G214" s="88">
        <v>116.7054339196653</v>
      </c>
      <c r="H214" s="88">
        <v>122.83308772040758</v>
      </c>
      <c r="I214" s="88">
        <v>117.52358286418433</v>
      </c>
      <c r="J214" s="88">
        <v>124.79574213500736</v>
      </c>
      <c r="K214" s="88">
        <v>126.19116022714998</v>
      </c>
      <c r="L214" s="172">
        <v>949.91395990863236</v>
      </c>
      <c r="M214" s="90">
        <v>118.73924498857905</v>
      </c>
    </row>
    <row r="215" spans="1:13" ht="16.8">
      <c r="A215" s="86">
        <v>29</v>
      </c>
      <c r="B215" s="75" t="s">
        <v>168</v>
      </c>
      <c r="D215" s="96">
        <v>0</v>
      </c>
      <c r="E215" s="88">
        <v>0</v>
      </c>
      <c r="F215" s="88">
        <v>0</v>
      </c>
      <c r="G215" s="88">
        <v>0</v>
      </c>
      <c r="H215" s="88">
        <v>0</v>
      </c>
      <c r="I215" s="88">
        <v>0</v>
      </c>
      <c r="J215" s="88">
        <v>0</v>
      </c>
      <c r="K215" s="88">
        <v>0</v>
      </c>
      <c r="L215" s="172">
        <v>0</v>
      </c>
      <c r="M215" s="90">
        <v>0</v>
      </c>
    </row>
    <row r="216" spans="1:13" ht="16.8">
      <c r="A216" s="86">
        <v>30</v>
      </c>
      <c r="B216" s="75" t="s">
        <v>265</v>
      </c>
      <c r="D216" s="96">
        <v>0</v>
      </c>
      <c r="E216" s="88">
        <v>0</v>
      </c>
      <c r="F216" s="88">
        <v>0</v>
      </c>
      <c r="G216" s="88">
        <v>0</v>
      </c>
      <c r="H216" s="88">
        <v>0</v>
      </c>
      <c r="I216" s="88">
        <v>0</v>
      </c>
      <c r="J216" s="88">
        <v>0</v>
      </c>
      <c r="K216" s="88">
        <v>0</v>
      </c>
      <c r="L216" s="172">
        <v>0</v>
      </c>
      <c r="M216" s="90">
        <v>0</v>
      </c>
    </row>
    <row r="217" spans="1:13" ht="16.8">
      <c r="A217" s="86">
        <v>31</v>
      </c>
      <c r="B217" s="75" t="s">
        <v>266</v>
      </c>
      <c r="D217" s="96">
        <v>0</v>
      </c>
      <c r="E217" s="88">
        <v>0</v>
      </c>
      <c r="F217" s="88">
        <v>0</v>
      </c>
      <c r="G217" s="88">
        <v>0</v>
      </c>
      <c r="H217" s="88">
        <v>0</v>
      </c>
      <c r="I217" s="88">
        <v>0</v>
      </c>
      <c r="J217" s="88">
        <v>0</v>
      </c>
      <c r="K217" s="88">
        <v>0</v>
      </c>
      <c r="L217" s="172">
        <v>0</v>
      </c>
      <c r="M217" s="90">
        <v>0</v>
      </c>
    </row>
    <row r="218" spans="1:13" ht="16.8">
      <c r="A218" s="86">
        <v>32</v>
      </c>
      <c r="B218" s="75" t="s">
        <v>267</v>
      </c>
      <c r="D218" s="96">
        <v>113.97553115199239</v>
      </c>
      <c r="E218" s="88">
        <v>113.53286514020465</v>
      </c>
      <c r="F218" s="88">
        <v>114.35655675002086</v>
      </c>
      <c r="G218" s="88">
        <v>116.7054339196653</v>
      </c>
      <c r="H218" s="88">
        <v>122.83308772040758</v>
      </c>
      <c r="I218" s="88">
        <v>117.52358286418433</v>
      </c>
      <c r="J218" s="88">
        <v>124.79574213500736</v>
      </c>
      <c r="K218" s="88">
        <v>126.19116022714998</v>
      </c>
      <c r="L218" s="172">
        <v>949.91395990863236</v>
      </c>
      <c r="M218" s="90">
        <v>118.73924498857905</v>
      </c>
    </row>
    <row r="222" spans="1:13">
      <c r="B222" t="s">
        <v>355</v>
      </c>
      <c r="D222" s="53">
        <v>0.5</v>
      </c>
      <c r="E222" s="53">
        <v>0.4</v>
      </c>
      <c r="F222" s="53">
        <v>0.4</v>
      </c>
      <c r="G222" s="53">
        <v>0.5</v>
      </c>
      <c r="H222" s="53">
        <v>0.4</v>
      </c>
      <c r="I222" s="53">
        <v>0.4</v>
      </c>
      <c r="J222" s="53">
        <v>0.5</v>
      </c>
      <c r="K222" s="53">
        <v>0.4</v>
      </c>
    </row>
    <row r="223" spans="1:13">
      <c r="B223" t="s">
        <v>356</v>
      </c>
      <c r="D223" s="53">
        <v>8.7961833442298172</v>
      </c>
      <c r="E223" s="53">
        <v>8.7961833442298172</v>
      </c>
      <c r="F223" s="53">
        <v>8.7961833442298172</v>
      </c>
      <c r="G223" s="53">
        <v>8.7961833442298172</v>
      </c>
      <c r="H223" s="53">
        <v>8.7961833442298172</v>
      </c>
      <c r="I223" s="53">
        <v>8.7961833442298172</v>
      </c>
      <c r="J223" s="53">
        <v>8.7961833442298172</v>
      </c>
      <c r="K223" s="53">
        <v>8.7961833442298172</v>
      </c>
    </row>
    <row r="224" spans="1:13">
      <c r="B224" t="s">
        <v>293</v>
      </c>
      <c r="D224" s="53">
        <v>0.97533863299335366</v>
      </c>
      <c r="E224" s="53">
        <v>1.019736047567211</v>
      </c>
      <c r="F224" s="53">
        <v>1.0661544324524705</v>
      </c>
      <c r="G224" s="53">
        <v>1.114685782217707</v>
      </c>
      <c r="H224" s="53">
        <v>1.1654262790242569</v>
      </c>
      <c r="I224" s="53">
        <v>1.2184764832454411</v>
      </c>
      <c r="J224" s="53">
        <v>1.2739415327627734</v>
      </c>
      <c r="K224" s="53">
        <v>1.3319313513341349</v>
      </c>
    </row>
    <row r="225" spans="2:11">
      <c r="D225" s="53">
        <f>SUM(D222:D224)</f>
        <v>10.271521977223172</v>
      </c>
      <c r="E225" s="53">
        <f t="shared" ref="E225:K225" si="122">SUM(E222:E224)</f>
        <v>10.215919391797028</v>
      </c>
      <c r="F225" s="53">
        <f t="shared" si="122"/>
        <v>10.262337776682289</v>
      </c>
      <c r="G225" s="53">
        <f t="shared" si="122"/>
        <v>10.410869126447524</v>
      </c>
      <c r="H225" s="53">
        <f t="shared" si="122"/>
        <v>10.361609623254074</v>
      </c>
      <c r="I225" s="53">
        <f t="shared" si="122"/>
        <v>10.414659827475258</v>
      </c>
      <c r="J225" s="53">
        <f t="shared" si="122"/>
        <v>10.57012487699259</v>
      </c>
      <c r="K225" s="53">
        <f t="shared" si="122"/>
        <v>10.528114695563952</v>
      </c>
    </row>
    <row r="229" spans="2:11">
      <c r="B229" t="s">
        <v>357</v>
      </c>
      <c r="D229" s="53">
        <v>0</v>
      </c>
      <c r="E229" s="53">
        <v>0</v>
      </c>
      <c r="F229" s="53">
        <v>0</v>
      </c>
      <c r="G229" s="53">
        <v>0</v>
      </c>
      <c r="H229" s="53">
        <v>0</v>
      </c>
      <c r="I229" s="53">
        <v>0</v>
      </c>
      <c r="J229" s="53">
        <v>0</v>
      </c>
      <c r="K229" s="53">
        <v>0</v>
      </c>
    </row>
    <row r="232" spans="2:11">
      <c r="B232" t="s">
        <v>358</v>
      </c>
      <c r="D232" s="53">
        <v>0</v>
      </c>
    </row>
  </sheetData>
  <pageMargins left="0.7" right="0.7" top="0.75" bottom="0.75" header="0.3" footer="0.3"/>
  <pageSetup paperSize="9" orientation="portrait"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249977111117893"/>
  </sheetPr>
  <dimension ref="A2:V189"/>
  <sheetViews>
    <sheetView topLeftCell="A2" workbookViewId="0">
      <pane xSplit="3" topLeftCell="D1" activePane="topRight" state="frozen"/>
      <selection activeCell="H35" sqref="H35"/>
      <selection pane="topRight" activeCell="D23" sqref="D23"/>
    </sheetView>
  </sheetViews>
  <sheetFormatPr defaultRowHeight="13.2"/>
  <cols>
    <col min="1" max="1" width="18" bestFit="1" customWidth="1"/>
    <col min="2" max="2" width="1.6640625" customWidth="1"/>
    <col min="3" max="3" width="38.88671875" customWidth="1"/>
    <col min="4" max="5" width="11.88671875" customWidth="1"/>
    <col min="6" max="12" width="10.6640625" customWidth="1"/>
    <col min="14" max="14" width="7.5546875" customWidth="1"/>
    <col min="17" max="17" width="9.109375" customWidth="1"/>
  </cols>
  <sheetData>
    <row r="2" spans="1:8" ht="47.4" thickBot="1">
      <c r="A2" s="38" t="s">
        <v>399</v>
      </c>
      <c r="C2" s="356" t="s">
        <v>400</v>
      </c>
      <c r="D2" s="269" t="s">
        <v>40</v>
      </c>
      <c r="E2" s="269" t="s">
        <v>41</v>
      </c>
      <c r="G2" s="112" t="s">
        <v>362</v>
      </c>
      <c r="H2" s="113" t="str">
        <f>RPI!$B$1</f>
        <v>Updated Oct 2019</v>
      </c>
    </row>
    <row r="3" spans="1:8" ht="15.6">
      <c r="C3" s="270" t="s">
        <v>42</v>
      </c>
      <c r="D3" s="271">
        <f>SUMPRODUCT(D98:K98,RPI!$E$2:$L$2)/1000</f>
        <v>4.2275324931260946E-2</v>
      </c>
      <c r="E3" s="271">
        <f>L98/1000</f>
        <v>3.4797849634703379E-2</v>
      </c>
    </row>
    <row r="4" spans="1:8" ht="15.6">
      <c r="C4" s="272" t="s">
        <v>43</v>
      </c>
      <c r="D4" s="273">
        <f>SUMPRODUCT(D99:K99,RPI!$E$2:$L$2)/1000</f>
        <v>1.1283043918706692</v>
      </c>
      <c r="E4" s="273">
        <f t="shared" ref="E4:E8" si="0">L99/1000</f>
        <v>0.89423407500752217</v>
      </c>
    </row>
    <row r="5" spans="1:8" ht="15.6">
      <c r="C5" s="272" t="s">
        <v>44</v>
      </c>
      <c r="D5" s="273">
        <f>SUMPRODUCT(D100:K100,RPI!$E$2:$L$2)/1000</f>
        <v>0.20173661705217469</v>
      </c>
      <c r="E5" s="273">
        <f t="shared" si="0"/>
        <v>0.16008548752424961</v>
      </c>
    </row>
    <row r="6" spans="1:8" ht="15.6">
      <c r="C6" s="272" t="s">
        <v>45</v>
      </c>
      <c r="D6" s="273">
        <f>SUMPRODUCT(D101:K101,RPI!$E$2:$L$2)/1000</f>
        <v>0</v>
      </c>
      <c r="E6" s="273">
        <f t="shared" si="0"/>
        <v>0</v>
      </c>
    </row>
    <row r="7" spans="1:8" ht="15.6">
      <c r="C7" s="272" t="s">
        <v>46</v>
      </c>
      <c r="D7" s="273">
        <f>SUMPRODUCT(D102:K102,RPI!$E$2:$L$2)/1000</f>
        <v>0.7704305528603258</v>
      </c>
      <c r="E7" s="273">
        <f t="shared" si="0"/>
        <v>0.60703868961485508</v>
      </c>
    </row>
    <row r="8" spans="1:8" ht="15.6">
      <c r="C8" s="272" t="s">
        <v>47</v>
      </c>
      <c r="D8" s="273">
        <f>SUMPRODUCT(D103:K103,RPI!$E$2:$L$2)/1000</f>
        <v>-2.2858470359764672E-2</v>
      </c>
      <c r="E8" s="273">
        <f t="shared" si="0"/>
        <v>-1.9428781530147946E-2</v>
      </c>
    </row>
    <row r="9" spans="1:8" ht="15.6">
      <c r="C9" s="274" t="s">
        <v>48</v>
      </c>
      <c r="D9" s="275">
        <f>SUM(D3:D8)</f>
        <v>2.1198884163546658</v>
      </c>
      <c r="E9" s="275">
        <f>SUM(E3:E8)</f>
        <v>1.6767273202511823</v>
      </c>
    </row>
    <row r="10" spans="1:8">
      <c r="C10" s="276"/>
      <c r="D10" s="277"/>
      <c r="E10" s="277"/>
    </row>
    <row r="11" spans="1:8" ht="15.6">
      <c r="C11" s="272" t="s">
        <v>49</v>
      </c>
      <c r="D11" s="273">
        <f>SUMPRODUCT(D107:K107,RPI!$E$2:$L$2)/1000</f>
        <v>0.1866416825678523</v>
      </c>
      <c r="E11" s="273">
        <f>L107/1000</f>
        <v>0.15032504731952542</v>
      </c>
    </row>
    <row r="12" spans="1:8" ht="15.6">
      <c r="C12" s="272" t="s">
        <v>44</v>
      </c>
      <c r="D12" s="273">
        <f>SUMPRODUCT(D108:K108,RPI!$E$2:$L$2)/1000</f>
        <v>7.5566537857759533E-2</v>
      </c>
      <c r="E12" s="273">
        <f t="shared" ref="E12:E15" si="1">L108/1000</f>
        <v>6.1157279165104945E-2</v>
      </c>
    </row>
    <row r="13" spans="1:8" ht="15.6">
      <c r="C13" s="272" t="s">
        <v>45</v>
      </c>
      <c r="D13" s="273">
        <f>SUMPRODUCT(D109:K109,RPI!$E$2:$L$2)/1000</f>
        <v>0.10963342457264363</v>
      </c>
      <c r="E13" s="273">
        <f t="shared" si="1"/>
        <v>8.6178027958814019E-2</v>
      </c>
    </row>
    <row r="14" spans="1:8" ht="15.6">
      <c r="C14" s="272" t="s">
        <v>46</v>
      </c>
      <c r="D14" s="273">
        <f>SUMPRODUCT(D110:K110,RPI!$E$2:$L$2)/1000</f>
        <v>0.3878734949068352</v>
      </c>
      <c r="E14" s="273">
        <f t="shared" si="1"/>
        <v>0.30674480978356433</v>
      </c>
    </row>
    <row r="15" spans="1:8" ht="15.6">
      <c r="C15" s="272" t="s">
        <v>47</v>
      </c>
      <c r="D15" s="273">
        <f>SUMPRODUCT(D111:K111,RPI!$E$2:$L$2)/1000</f>
        <v>-2.4300169660732573E-2</v>
      </c>
      <c r="E15" s="273">
        <f t="shared" si="1"/>
        <v>-2.0837705524232548E-2</v>
      </c>
    </row>
    <row r="16" spans="1:8" ht="15.6">
      <c r="C16" s="274" t="s">
        <v>50</v>
      </c>
      <c r="D16" s="275">
        <f>SUM(D11:D15)</f>
        <v>0.73541497024435809</v>
      </c>
      <c r="E16" s="275">
        <f>SUM(E11:E15)</f>
        <v>0.58356745870277615</v>
      </c>
    </row>
    <row r="17" spans="1:15">
      <c r="C17" s="278"/>
      <c r="D17" s="279"/>
      <c r="E17" s="279"/>
    </row>
    <row r="18" spans="1:15" ht="15.6">
      <c r="C18" s="274" t="s">
        <v>51</v>
      </c>
      <c r="D18" s="275">
        <f>D16+D9</f>
        <v>2.8553033865990241</v>
      </c>
      <c r="E18" s="275">
        <f>E16+E9</f>
        <v>2.2602947789539583</v>
      </c>
    </row>
    <row r="19" spans="1:15" ht="15.6">
      <c r="C19" s="280"/>
      <c r="D19" s="281"/>
      <c r="E19" s="281"/>
    </row>
    <row r="20" spans="1:15" ht="15.6">
      <c r="C20" s="272" t="s">
        <v>52</v>
      </c>
      <c r="D20" s="273">
        <f>SUMPRODUCT(D114:K114,RPI!$E$2:$L$2)/1000</f>
        <v>2.8553033865990241</v>
      </c>
      <c r="E20" s="273">
        <f>L114/1000</f>
        <v>2.2602947789539587</v>
      </c>
    </row>
    <row r="21" spans="1:15" ht="16.2" thickBot="1">
      <c r="C21" s="359"/>
      <c r="D21" s="360"/>
      <c r="E21" s="360"/>
    </row>
    <row r="22" spans="1:15" ht="16.2" thickBot="1">
      <c r="C22" s="282" t="s">
        <v>53</v>
      </c>
      <c r="D22" s="283">
        <f>E22*RPI!E4</f>
        <v>5.3050164815467573</v>
      </c>
      <c r="E22" s="283">
        <f>D119/1000</f>
        <v>4.6150603281741756</v>
      </c>
    </row>
    <row r="23" spans="1:15" ht="16.2" thickBot="1">
      <c r="C23" s="282" t="s">
        <v>54</v>
      </c>
      <c r="D23" s="283">
        <f>E23*RPI!L3</f>
        <v>6.9019336161032712</v>
      </c>
      <c r="E23" s="283">
        <f>K122/1000</f>
        <v>4.9229990409957542</v>
      </c>
    </row>
    <row r="26" spans="1:15" ht="13.8" thickBot="1">
      <c r="C26" s="288"/>
    </row>
    <row r="27" spans="1:15" ht="13.8" thickBot="1">
      <c r="A27" s="38" t="s">
        <v>401</v>
      </c>
      <c r="C27" s="288" t="s">
        <v>57</v>
      </c>
      <c r="D27" s="324"/>
      <c r="E27" s="534"/>
      <c r="F27" s="534"/>
      <c r="G27" s="325"/>
      <c r="H27" s="323"/>
      <c r="I27" s="323"/>
      <c r="J27" s="323"/>
    </row>
    <row r="28" spans="1:15" ht="12.75" customHeight="1" thickBot="1">
      <c r="C28" s="288" t="s">
        <v>58</v>
      </c>
      <c r="D28" s="302" t="s">
        <v>59</v>
      </c>
      <c r="E28" s="302" t="s">
        <v>60</v>
      </c>
      <c r="F28" s="284" t="s">
        <v>61</v>
      </c>
      <c r="G28" s="284" t="s">
        <v>62</v>
      </c>
      <c r="H28" s="284" t="s">
        <v>63</v>
      </c>
      <c r="I28" s="284" t="s">
        <v>64</v>
      </c>
      <c r="J28" s="284" t="s">
        <v>65</v>
      </c>
      <c r="K28" s="284" t="s">
        <v>66</v>
      </c>
      <c r="L28" s="284" t="s">
        <v>67</v>
      </c>
    </row>
    <row r="29" spans="1:15" ht="12.75" customHeight="1">
      <c r="C29" s="257"/>
      <c r="D29" s="258"/>
      <c r="E29" s="258"/>
      <c r="F29" s="258"/>
      <c r="G29" s="258"/>
      <c r="H29" s="258"/>
      <c r="I29" s="258"/>
      <c r="J29" s="258"/>
      <c r="K29" s="258"/>
      <c r="L29" s="257"/>
    </row>
    <row r="30" spans="1:15" ht="12.75" customHeight="1">
      <c r="A30" t="s">
        <v>338</v>
      </c>
      <c r="C30" s="257" t="s">
        <v>68</v>
      </c>
      <c r="D30" s="258">
        <f>'Baseline NGGT'!D27</f>
        <v>25.459307795372435</v>
      </c>
      <c r="E30" s="258">
        <f>'Baseline NGGT'!E27</f>
        <v>14.41280752104567</v>
      </c>
      <c r="F30" s="258">
        <f>'Baseline NGGT'!F27</f>
        <v>9.6173202079823099</v>
      </c>
      <c r="G30" s="258">
        <f>'Baseline NGGT'!G27</f>
        <v>60.446777499796859</v>
      </c>
      <c r="H30" s="258">
        <f>'Baseline NGGT'!H27</f>
        <v>84.880198528547851</v>
      </c>
      <c r="I30" s="258">
        <f>'Baseline NGGT'!I27</f>
        <v>8.5249336835233791</v>
      </c>
      <c r="J30" s="258">
        <f>'Baseline NGGT'!J27</f>
        <v>0.23152878737450566</v>
      </c>
      <c r="K30" s="258">
        <f>'Baseline NGGT'!K27</f>
        <v>0</v>
      </c>
      <c r="L30" s="285">
        <f>SUM(D30:K30)</f>
        <v>203.57287402364304</v>
      </c>
    </row>
    <row r="31" spans="1:15" ht="12.75" customHeight="1">
      <c r="C31" s="257" t="s">
        <v>69</v>
      </c>
      <c r="D31" s="258">
        <f>'Baseline NGGT'!D28</f>
        <v>97.132518315217595</v>
      </c>
      <c r="E31" s="258">
        <f>'Baseline NGGT'!E28</f>
        <v>109.87971241227922</v>
      </c>
      <c r="F31" s="258">
        <f>'Baseline NGGT'!F28</f>
        <v>114.43672637584547</v>
      </c>
      <c r="G31" s="258">
        <f>'Baseline NGGT'!G28</f>
        <v>123.96977718673423</v>
      </c>
      <c r="H31" s="258">
        <f>'Baseline NGGT'!H28</f>
        <v>138.27838395379189</v>
      </c>
      <c r="I31" s="258">
        <f>'Baseline NGGT'!I28</f>
        <v>117.50342084599842</v>
      </c>
      <c r="J31" s="258">
        <f>'Baseline NGGT'!J28</f>
        <v>101.87556011564801</v>
      </c>
      <c r="K31" s="258">
        <f>'Baseline NGGT'!K28</f>
        <v>91.157975802007329</v>
      </c>
      <c r="L31" s="285">
        <f>SUM(D31:K31)</f>
        <v>894.23407500752216</v>
      </c>
    </row>
    <row r="32" spans="1:15" ht="12.75" customHeight="1">
      <c r="C32" s="257" t="s">
        <v>70</v>
      </c>
      <c r="D32" s="258">
        <f>'Baseline NGGT'!D29</f>
        <v>64.482672010544718</v>
      </c>
      <c r="E32" s="258">
        <f>'Baseline NGGT'!E29</f>
        <v>65.237874215180156</v>
      </c>
      <c r="F32" s="258">
        <f>'Baseline NGGT'!F29</f>
        <v>70.772894725011071</v>
      </c>
      <c r="G32" s="258">
        <f>'Baseline NGGT'!G29</f>
        <v>79.368338266410362</v>
      </c>
      <c r="H32" s="258">
        <f>'Baseline NGGT'!H29</f>
        <v>84.317479134504765</v>
      </c>
      <c r="I32" s="258">
        <f>'Baseline NGGT'!I29</f>
        <v>84.641346358196444</v>
      </c>
      <c r="J32" s="258">
        <f>'Baseline NGGT'!J29</f>
        <v>80.728014781566515</v>
      </c>
      <c r="K32" s="258">
        <f>'Baseline NGGT'!K29</f>
        <v>77.490070123441129</v>
      </c>
      <c r="L32" s="285">
        <f>SUM(D32:K32)</f>
        <v>607.03868961485512</v>
      </c>
      <c r="O32" s="227"/>
    </row>
    <row r="33" spans="1:15" ht="12.75" customHeight="1">
      <c r="C33" s="286" t="s">
        <v>71</v>
      </c>
      <c r="D33" s="287">
        <f>'Baseline NGGT'!D30</f>
        <v>187.07449812113475</v>
      </c>
      <c r="E33" s="287">
        <f>'Baseline NGGT'!E30</f>
        <v>189.53039414850502</v>
      </c>
      <c r="F33" s="287">
        <f>'Baseline NGGT'!F30</f>
        <v>194.82694130883885</v>
      </c>
      <c r="G33" s="287">
        <f>'Baseline NGGT'!G30</f>
        <v>263.78489295294145</v>
      </c>
      <c r="H33" s="287">
        <f>'Baseline NGGT'!H30</f>
        <v>307.4760616168445</v>
      </c>
      <c r="I33" s="287">
        <f>'Baseline NGGT'!I30</f>
        <v>210.66970088771825</v>
      </c>
      <c r="J33" s="287">
        <f>'Baseline NGGT'!J30</f>
        <v>182.83510368458903</v>
      </c>
      <c r="K33" s="287">
        <f>'Baseline NGGT'!K30</f>
        <v>168.64804592544846</v>
      </c>
      <c r="L33" s="285">
        <f>SUM(D33:K33)</f>
        <v>1704.8456386460205</v>
      </c>
    </row>
    <row r="34" spans="1:15">
      <c r="C34" s="257" t="s">
        <v>72</v>
      </c>
      <c r="D34" s="258">
        <f>D35-D33</f>
        <v>16.520121508186065</v>
      </c>
      <c r="E34" s="258">
        <f t="shared" ref="E34:L34" si="2">E35-E33</f>
        <v>9.9175749860913243</v>
      </c>
      <c r="F34" s="258">
        <f t="shared" si="2"/>
        <v>2.3617317917073706</v>
      </c>
      <c r="G34" s="258">
        <f t="shared" si="2"/>
        <v>-46.726135259062971</v>
      </c>
      <c r="H34" s="258">
        <f t="shared" si="2"/>
        <v>-46.908848600672741</v>
      </c>
      <c r="I34" s="258">
        <f t="shared" si="2"/>
        <v>29.214018654627893</v>
      </c>
      <c r="J34" s="258">
        <f t="shared" si="2"/>
        <v>20.504333599618434</v>
      </c>
      <c r="K34" s="258">
        <f t="shared" si="2"/>
        <v>6.4276664548145277</v>
      </c>
      <c r="L34" s="285">
        <f t="shared" si="2"/>
        <v>-8.6895368646903535</v>
      </c>
    </row>
    <row r="35" spans="1:15">
      <c r="C35" s="286" t="s">
        <v>73</v>
      </c>
      <c r="D35" s="287">
        <f>'18-19 NGGT'!D30</f>
        <v>203.59461962932082</v>
      </c>
      <c r="E35" s="287">
        <f>'18-19 NGGT'!E30</f>
        <v>199.44796913459635</v>
      </c>
      <c r="F35" s="287">
        <f>'18-19 NGGT'!F30</f>
        <v>197.18867310054623</v>
      </c>
      <c r="G35" s="287">
        <f>'18-19 NGGT'!G30</f>
        <v>217.05875769387848</v>
      </c>
      <c r="H35" s="287">
        <f>'18-19 NGGT'!H30</f>
        <v>260.56721301617176</v>
      </c>
      <c r="I35" s="287">
        <f>'18-19 NGGT'!I30</f>
        <v>239.88371954234614</v>
      </c>
      <c r="J35" s="287">
        <f>'18-19 NGGT'!J30</f>
        <v>203.33943728420746</v>
      </c>
      <c r="K35" s="287">
        <f>'18-19 NGGT'!K30</f>
        <v>175.07571238026298</v>
      </c>
      <c r="L35" s="285">
        <f>'18-19 NGGT'!L30</f>
        <v>1696.1561017813301</v>
      </c>
    </row>
    <row r="36" spans="1:15">
      <c r="C36" s="259"/>
      <c r="D36" s="260"/>
      <c r="E36" s="260"/>
      <c r="F36" s="260"/>
      <c r="G36" s="260"/>
      <c r="H36" s="260"/>
      <c r="I36" s="260"/>
      <c r="J36" s="260"/>
      <c r="K36" s="260"/>
      <c r="L36" s="260"/>
    </row>
    <row r="37" spans="1:15" ht="12.75" customHeight="1">
      <c r="A37" t="s">
        <v>346</v>
      </c>
      <c r="C37" s="257" t="s">
        <v>74</v>
      </c>
      <c r="D37" s="258">
        <f>'18-19 NGGT'!D31</f>
        <v>2.9479763903958496</v>
      </c>
      <c r="E37" s="258">
        <f>'18-19 NGGT'!E31</f>
        <v>1.2242742147237491</v>
      </c>
      <c r="F37" s="258">
        <f>'18-19 NGGT'!F31</f>
        <v>1.1459568646924614</v>
      </c>
      <c r="G37" s="258">
        <f>'18-19 NGGT'!G31</f>
        <v>1.3744988226661936</v>
      </c>
      <c r="H37" s="258">
        <f>'18-19 NGGT'!H31</f>
        <v>5.9459563895617578</v>
      </c>
      <c r="I37" s="258">
        <f>'18-19 NGGT'!I31</f>
        <v>5.0594200163138892</v>
      </c>
      <c r="J37" s="258">
        <f>'18-19 NGGT'!J31</f>
        <v>0.23152878737450566</v>
      </c>
      <c r="K37" s="258">
        <f>'18-19 NGGT'!K31</f>
        <v>0</v>
      </c>
      <c r="L37" s="285">
        <f>SUM(D37:K37)</f>
        <v>17.929611485728405</v>
      </c>
      <c r="O37" s="229"/>
    </row>
    <row r="38" spans="1:15" ht="12.75" customHeight="1">
      <c r="C38" s="257" t="s">
        <v>75</v>
      </c>
      <c r="D38" s="258">
        <f>'18-19 NGGT'!D32</f>
        <v>115.00604732338277</v>
      </c>
      <c r="E38" s="258">
        <f>'18-19 NGGT'!E32</f>
        <v>108.16896855194884</v>
      </c>
      <c r="F38" s="258">
        <f>'18-19 NGGT'!F32</f>
        <v>111.19867339890362</v>
      </c>
      <c r="G38" s="258">
        <f>'18-19 NGGT'!G32</f>
        <v>137.00495619324161</v>
      </c>
      <c r="H38" s="258">
        <f>'18-19 NGGT'!H32</f>
        <v>170.30377749210527</v>
      </c>
      <c r="I38" s="258">
        <f>'18-19 NGGT'!I32</f>
        <v>150.18295316783582</v>
      </c>
      <c r="J38" s="258">
        <f>'18-19 NGGT'!J32</f>
        <v>122.37989371526645</v>
      </c>
      <c r="K38" s="258">
        <f>'18-19 NGGT'!K32</f>
        <v>97.58564225682187</v>
      </c>
      <c r="L38" s="285">
        <f>SUM(D38:K38)</f>
        <v>1011.8309120995062</v>
      </c>
      <c r="O38" s="228"/>
    </row>
    <row r="39" spans="1:15" ht="12.75" customHeight="1">
      <c r="C39" s="257" t="s">
        <v>76</v>
      </c>
      <c r="D39" s="258">
        <f>'18-19 NGGT'!D33</f>
        <v>70.909659135629994</v>
      </c>
      <c r="E39" s="258">
        <f>'18-19 NGGT'!E33</f>
        <v>73.18675508063356</v>
      </c>
      <c r="F39" s="258">
        <f>'18-19 NGGT'!F33</f>
        <v>74.92750644568207</v>
      </c>
      <c r="G39" s="258">
        <f>'18-19 NGGT'!G33</f>
        <v>85.276016852206851</v>
      </c>
      <c r="H39" s="258">
        <f>'18-19 NGGT'!H33</f>
        <v>84.317479134504765</v>
      </c>
      <c r="I39" s="258">
        <f>'18-19 NGGT'!I33</f>
        <v>84.641346358196444</v>
      </c>
      <c r="J39" s="258">
        <f>'18-19 NGGT'!J33</f>
        <v>80.728014781566515</v>
      </c>
      <c r="K39" s="258">
        <f>'18-19 NGGT'!K33</f>
        <v>77.490070123441129</v>
      </c>
      <c r="L39" s="285">
        <f>SUM(D39:K39)</f>
        <v>631.47684791186123</v>
      </c>
      <c r="O39" s="228"/>
    </row>
    <row r="40" spans="1:15" ht="12.75" customHeight="1">
      <c r="C40" s="286" t="s">
        <v>77</v>
      </c>
      <c r="D40" s="287">
        <f>'18-19 NGGT'!D34</f>
        <v>188.86368284940863</v>
      </c>
      <c r="E40" s="287">
        <f>'18-19 NGGT'!E34</f>
        <v>182.57999784730615</v>
      </c>
      <c r="F40" s="287">
        <f>'18-19 NGGT'!F34</f>
        <v>187.27213670927816</v>
      </c>
      <c r="G40" s="287">
        <f>'18-19 NGGT'!G34</f>
        <v>223.65547186811466</v>
      </c>
      <c r="H40" s="287">
        <f>'18-19 NGGT'!H34</f>
        <v>260.56721301617176</v>
      </c>
      <c r="I40" s="287">
        <f>'18-19 NGGT'!I34</f>
        <v>239.88371954234614</v>
      </c>
      <c r="J40" s="287">
        <f>'18-19 NGGT'!J34</f>
        <v>203.33943728420746</v>
      </c>
      <c r="K40" s="287">
        <f>'18-19 NGGT'!K34</f>
        <v>175.07571238026298</v>
      </c>
      <c r="L40" s="285">
        <f>SUM(D40:K40)</f>
        <v>1661.2373714970959</v>
      </c>
      <c r="O40" s="228"/>
    </row>
    <row r="41" spans="1:15" ht="12.75" customHeight="1">
      <c r="C41" s="286"/>
      <c r="D41" s="287"/>
      <c r="E41" s="287"/>
      <c r="F41" s="287"/>
      <c r="G41" s="287"/>
      <c r="H41" s="287"/>
      <c r="I41" s="287"/>
      <c r="J41" s="287"/>
      <c r="K41" s="287"/>
      <c r="L41" s="285"/>
      <c r="O41" s="228"/>
    </row>
    <row r="42" spans="1:15" ht="12.75" customHeight="1">
      <c r="C42" s="286" t="s">
        <v>78</v>
      </c>
      <c r="D42" s="287">
        <f>'18-19 NGGT'!D38</f>
        <v>195.39832640497767</v>
      </c>
      <c r="E42" s="287">
        <f>'18-19 NGGT'!E38</f>
        <v>190.06262991034808</v>
      </c>
      <c r="F42" s="287">
        <f>'18-19 NGGT'!F38</f>
        <v>191.67111225244469</v>
      </c>
      <c r="G42" s="287">
        <f>'18-19 NGGT'!G38</f>
        <v>220.72916946042349</v>
      </c>
      <c r="H42" s="287">
        <f>'18-19 NGGT'!H38</f>
        <v>260.56721301617176</v>
      </c>
      <c r="I42" s="287">
        <f>'18-19 NGGT'!I38</f>
        <v>239.88371954234614</v>
      </c>
      <c r="J42" s="287">
        <f>'18-19 NGGT'!J38</f>
        <v>203.33943728420746</v>
      </c>
      <c r="K42" s="287">
        <f>'18-19 NGGT'!K38</f>
        <v>175.07571238026298</v>
      </c>
      <c r="L42" s="285">
        <f>SUM(D42:K42)</f>
        <v>1676.7273202511822</v>
      </c>
      <c r="O42" s="228"/>
    </row>
    <row r="43" spans="1:15" ht="12.75" customHeight="1">
      <c r="C43" s="257" t="s">
        <v>79</v>
      </c>
      <c r="D43" s="258">
        <f>'18-19 NGGT'!D40+'18-19 NGGT'!D44</f>
        <v>61.421077001695863</v>
      </c>
      <c r="E43" s="258">
        <f>'18-19 NGGT'!E40+'18-19 NGGT'!E44</f>
        <v>61.977785772529273</v>
      </c>
      <c r="F43" s="258">
        <f>'18-19 NGGT'!F40+'18-19 NGGT'!F44</f>
        <v>64.270362984989703</v>
      </c>
      <c r="G43" s="258">
        <f>'18-19 NGGT'!G40+'18-19 NGGT'!G44</f>
        <v>72.19746503633246</v>
      </c>
      <c r="H43" s="258">
        <f>'18-19 NGGT'!H40+'18-19 NGGT'!H44</f>
        <v>84.563427087948909</v>
      </c>
      <c r="I43" s="258">
        <f>'18-19 NGGT'!I40+'18-19 NGGT'!I44</f>
        <v>77.032643882684852</v>
      </c>
      <c r="J43" s="258">
        <f>'18-19 NGGT'!J40+'18-19 NGGT'!J44</f>
        <v>67.139730271675546</v>
      </c>
      <c r="K43" s="258">
        <f>'18-19 NGGT'!K40+'18-19 NGGT'!K44</f>
        <v>60.681470994941087</v>
      </c>
      <c r="L43" s="285">
        <f>SUM(D43:K43)</f>
        <v>549.28396303279771</v>
      </c>
      <c r="O43" s="228"/>
    </row>
    <row r="44" spans="1:15" ht="12.75" customHeight="1">
      <c r="C44" s="257" t="s">
        <v>80</v>
      </c>
      <c r="D44" s="258">
        <f>'18-19 NGGT'!D41+'18-19 NGGT'!D45</f>
        <v>133.9772494032818</v>
      </c>
      <c r="E44" s="258">
        <f>'18-19 NGGT'!E41+'18-19 NGGT'!E45</f>
        <v>128.08484413781883</v>
      </c>
      <c r="F44" s="258">
        <f>'18-19 NGGT'!F41+'18-19 NGGT'!F45</f>
        <v>127.40074926745494</v>
      </c>
      <c r="G44" s="258">
        <f>'18-19 NGGT'!G41+'18-19 NGGT'!G45</f>
        <v>148.531704424091</v>
      </c>
      <c r="H44" s="258">
        <f>'18-19 NGGT'!H41+'18-19 NGGT'!H45</f>
        <v>176.00378592822284</v>
      </c>
      <c r="I44" s="258">
        <f>'18-19 NGGT'!I41+'18-19 NGGT'!I45</f>
        <v>162.85107565966129</v>
      </c>
      <c r="J44" s="258">
        <f>'18-19 NGGT'!J41+'18-19 NGGT'!J45</f>
        <v>136.19970701253195</v>
      </c>
      <c r="K44" s="258">
        <f>'18-19 NGGT'!K41+'18-19 NGGT'!K45</f>
        <v>114.39424138532189</v>
      </c>
      <c r="L44" s="285">
        <f>SUM(D44:K44)</f>
        <v>1127.4433572183846</v>
      </c>
      <c r="O44" s="228"/>
    </row>
    <row r="45" spans="1:15" ht="13.8" thickBot="1">
      <c r="C45" s="288"/>
    </row>
    <row r="46" spans="1:15" ht="13.8" thickBot="1">
      <c r="C46" s="288" t="s">
        <v>90</v>
      </c>
      <c r="D46" s="324"/>
      <c r="E46" s="534"/>
      <c r="F46" s="534"/>
      <c r="G46" s="325"/>
      <c r="H46" s="323"/>
      <c r="O46" s="109"/>
    </row>
    <row r="47" spans="1:15" ht="13.8" thickBot="1">
      <c r="C47" s="288" t="s">
        <v>58</v>
      </c>
      <c r="D47" s="302" t="s">
        <v>59</v>
      </c>
      <c r="E47" s="302" t="s">
        <v>60</v>
      </c>
      <c r="F47" s="284" t="s">
        <v>61</v>
      </c>
      <c r="G47" s="284" t="s">
        <v>62</v>
      </c>
      <c r="H47" s="284" t="s">
        <v>63</v>
      </c>
      <c r="I47" s="284" t="s">
        <v>64</v>
      </c>
      <c r="J47" s="284" t="s">
        <v>65</v>
      </c>
      <c r="K47" s="284" t="s">
        <v>66</v>
      </c>
    </row>
    <row r="48" spans="1:15">
      <c r="C48" s="257" t="s">
        <v>91</v>
      </c>
      <c r="D48" s="258">
        <f>'18-19 NGGT'!D52</f>
        <v>4562.0597731988728</v>
      </c>
      <c r="E48" s="258">
        <f>'18-19 NGGT'!E52</f>
        <v>4632.0654999034932</v>
      </c>
      <c r="F48" s="258">
        <f>'18-19 NGGT'!F52</f>
        <v>4636.8159432230959</v>
      </c>
      <c r="G48" s="258">
        <f>'18-19 NGGT'!G52</f>
        <v>4682.5876068902207</v>
      </c>
      <c r="H48" s="258">
        <f>'18-19 NGGT'!H52</f>
        <v>4785.7344884692056</v>
      </c>
      <c r="I48" s="258">
        <f>'18-19 NGGT'!I52</f>
        <v>4873.2461117633538</v>
      </c>
      <c r="J48" s="258">
        <f>'18-19 NGGT'!J52</f>
        <v>4895.2552698244781</v>
      </c>
      <c r="K48" s="258">
        <f>'18-19 NGGT'!K52</f>
        <v>4868.2364690381974</v>
      </c>
    </row>
    <row r="49" spans="1:14">
      <c r="C49" s="257" t="s">
        <v>84</v>
      </c>
      <c r="D49" s="258">
        <f>'GT workings 18-19'!D254</f>
        <v>68.08137458436687</v>
      </c>
      <c r="E49" s="258"/>
      <c r="F49" s="258"/>
      <c r="G49" s="258"/>
      <c r="H49" s="258"/>
      <c r="I49" s="258"/>
      <c r="J49" s="258"/>
      <c r="K49" s="258"/>
    </row>
    <row r="50" spans="1:14">
      <c r="C50" s="257" t="s">
        <v>86</v>
      </c>
      <c r="D50" s="258">
        <f>D44+'GT workings 18-19'!D131</f>
        <v>148.1434486375918</v>
      </c>
      <c r="E50" s="258">
        <f>E44+'GT workings 18-19'!E131</f>
        <v>154.10162786911471</v>
      </c>
      <c r="F50" s="258">
        <f>F44+'GT workings 18-19'!F131</f>
        <v>196.87442079652607</v>
      </c>
      <c r="G50" s="258">
        <f>G44+'GT workings 18-19'!G131</f>
        <v>256.9517177977732</v>
      </c>
      <c r="H50" s="258">
        <f>H44+'GT workings 18-19'!H131</f>
        <v>245.353589646796</v>
      </c>
      <c r="I50" s="258">
        <f>I44+'GT workings 18-19'!I131</f>
        <v>183.63051836649697</v>
      </c>
      <c r="J50" s="258">
        <f>J44+'GT workings 18-19'!J131</f>
        <v>137.01032966559018</v>
      </c>
      <c r="K50" s="258">
        <f>K44+'GT workings 18-19'!K131</f>
        <v>114.39424138532189</v>
      </c>
    </row>
    <row r="51" spans="1:14">
      <c r="C51" s="257" t="s">
        <v>92</v>
      </c>
      <c r="D51" s="258">
        <f>'18-19 NGGT'!D54</f>
        <v>-146.2113385372329</v>
      </c>
      <c r="E51" s="258">
        <f>'18-19 NGGT'!E54</f>
        <v>-144.85340732479523</v>
      </c>
      <c r="F51" s="258">
        <f>'18-19 NGGT'!F54</f>
        <v>-143.75882243451284</v>
      </c>
      <c r="G51" s="258">
        <f>'18-19 NGGT'!G54</f>
        <v>-143.62994616195874</v>
      </c>
      <c r="H51" s="258">
        <f>'18-19 NGGT'!H54</f>
        <v>-144.36654415261827</v>
      </c>
      <c r="I51" s="258">
        <f>'18-19 NGGT'!I54</f>
        <v>-144.23491526205314</v>
      </c>
      <c r="J51" s="258">
        <f>'18-19 NGGT'!J54</f>
        <v>-143.02394501567161</v>
      </c>
      <c r="K51" s="258">
        <f>'18-19 NGGT'!K54</f>
        <v>-141.36922321253948</v>
      </c>
    </row>
    <row r="52" spans="1:14">
      <c r="C52" s="257" t="s">
        <v>93</v>
      </c>
      <c r="D52" s="258">
        <f>'18-19 NGGT'!D55</f>
        <v>0</v>
      </c>
      <c r="E52" s="258">
        <f>'18-19 NGGT'!E55</f>
        <v>-4.490019244612089</v>
      </c>
      <c r="F52" s="258">
        <f>'18-19 NGGT'!F55</f>
        <v>-7.3361767147835151</v>
      </c>
      <c r="G52" s="258">
        <f>'18-19 NGGT'!G55</f>
        <v>-10.167132076724632</v>
      </c>
      <c r="H52" s="258">
        <f>'18-19 NGGT'!H55</f>
        <v>-13.467664219924329</v>
      </c>
      <c r="I52" s="258">
        <f>'18-19 NGGT'!I55</f>
        <v>-17.378687063215843</v>
      </c>
      <c r="J52" s="258">
        <f>'18-19 NGGT'!J55</f>
        <v>-20.997427456094879</v>
      </c>
      <c r="K52" s="258">
        <f>'18-19 NGGT'!K55</f>
        <v>-24.02391521237104</v>
      </c>
      <c r="N52" s="208"/>
    </row>
    <row r="53" spans="1:14" ht="13.8" thickBot="1">
      <c r="C53" s="288" t="s">
        <v>94</v>
      </c>
      <c r="D53" s="289">
        <f>'18-19 NGGT'!D56</f>
        <v>4632.0654999034932</v>
      </c>
      <c r="E53" s="289">
        <f>'18-19 NGGT'!E56</f>
        <v>4636.8159432230959</v>
      </c>
      <c r="F53" s="289">
        <f>'18-19 NGGT'!F56</f>
        <v>4682.5876068902207</v>
      </c>
      <c r="G53" s="289">
        <f>'18-19 NGGT'!G56</f>
        <v>4785.7344884692056</v>
      </c>
      <c r="H53" s="289">
        <f>'18-19 NGGT'!H56</f>
        <v>4873.2461117633538</v>
      </c>
      <c r="I53" s="289">
        <f>'18-19 NGGT'!I56</f>
        <v>4895.2552698244781</v>
      </c>
      <c r="J53" s="289">
        <f>'18-19 NGGT'!J56</f>
        <v>4868.2364690381974</v>
      </c>
      <c r="K53" s="289">
        <f>'18-19 NGGT'!K56</f>
        <v>4817.2298140185039</v>
      </c>
      <c r="N53" s="209"/>
    </row>
    <row r="55" spans="1:14" ht="13.8" thickBot="1">
      <c r="C55" s="288"/>
      <c r="D55" s="53"/>
      <c r="E55" s="53"/>
      <c r="F55" s="53"/>
      <c r="G55" s="53"/>
      <c r="H55" s="53"/>
      <c r="I55" s="53"/>
      <c r="J55" s="53"/>
      <c r="K55" s="53"/>
      <c r="L55" s="53"/>
      <c r="M55" s="53"/>
    </row>
    <row r="56" spans="1:14" ht="13.8" thickBot="1">
      <c r="A56" s="38" t="s">
        <v>402</v>
      </c>
      <c r="C56" s="288" t="s">
        <v>82</v>
      </c>
      <c r="D56" s="324"/>
      <c r="E56" s="534"/>
      <c r="F56" s="534"/>
      <c r="G56" s="325"/>
      <c r="H56" s="323"/>
    </row>
    <row r="57" spans="1:14" ht="13.8" thickBot="1">
      <c r="C57" s="288" t="s">
        <v>58</v>
      </c>
      <c r="D57" s="302" t="s">
        <v>59</v>
      </c>
      <c r="E57" s="302" t="s">
        <v>60</v>
      </c>
      <c r="F57" s="284" t="s">
        <v>61</v>
      </c>
      <c r="G57" s="284" t="s">
        <v>62</v>
      </c>
      <c r="H57" s="284" t="s">
        <v>63</v>
      </c>
      <c r="I57" s="284" t="s">
        <v>64</v>
      </c>
      <c r="J57" s="284" t="s">
        <v>65</v>
      </c>
      <c r="K57" s="284" t="s">
        <v>66</v>
      </c>
    </row>
    <row r="58" spans="1:14">
      <c r="C58" s="257" t="s">
        <v>83</v>
      </c>
      <c r="D58" s="258">
        <f>'18-19 NGGT'!D61</f>
        <v>4014.3985484751774</v>
      </c>
      <c r="E58" s="258">
        <f>'18-19 NGGT'!E61</f>
        <v>4316.5793304424415</v>
      </c>
      <c r="F58" s="258">
        <f>'18-19 NGGT'!F61</f>
        <v>4304.6142158031844</v>
      </c>
      <c r="G58" s="258">
        <f>'18-19 NGGT'!G61</f>
        <v>4291.0967370209446</v>
      </c>
      <c r="H58" s="258">
        <f>'18-19 NGGT'!H61</f>
        <v>4309.9123480173475</v>
      </c>
      <c r="I58" s="258">
        <f>'18-19 NGGT'!I61</f>
        <v>4803.896308044782</v>
      </c>
      <c r="J58" s="258">
        <f>'18-19 NGGT'!J61</f>
        <v>4874.4758271176424</v>
      </c>
      <c r="K58" s="258">
        <f>'18-19 NGGT'!K61</f>
        <v>4867.4258463851384</v>
      </c>
    </row>
    <row r="59" spans="1:14">
      <c r="C59" s="257" t="s">
        <v>84</v>
      </c>
      <c r="D59" s="258">
        <f>D49</f>
        <v>68.08137458436687</v>
      </c>
      <c r="E59" s="258"/>
      <c r="F59" s="258"/>
      <c r="G59" s="258"/>
      <c r="H59" s="258"/>
      <c r="I59" s="258"/>
      <c r="J59" s="258"/>
      <c r="K59" s="258"/>
    </row>
    <row r="60" spans="1:14">
      <c r="C60" s="257" t="s">
        <v>85</v>
      </c>
      <c r="D60" s="258">
        <f>'18-19 NGGT'!D62-D59</f>
        <v>170.82711319557802</v>
      </c>
      <c r="E60" s="258">
        <f>'18-19 NGGT'!E62</f>
        <v>1.5889649604528906</v>
      </c>
      <c r="F60" s="258">
        <f>'18-19 NGGT'!F62</f>
        <v>1.9371656435515117</v>
      </c>
      <c r="G60" s="258">
        <f>'18-19 NGGT'!G62</f>
        <v>14.654700839030934</v>
      </c>
      <c r="H60" s="258">
        <f>'18-19 NGGT'!H62</f>
        <v>475.82214045185901</v>
      </c>
      <c r="I60" s="258">
        <f>'18-19 NGGT'!I62</f>
        <v>69.349803718573156</v>
      </c>
      <c r="J60" s="258">
        <f>'18-19 NGGT'!J62</f>
        <v>20.779442706835688</v>
      </c>
      <c r="K60" s="258">
        <f>'18-19 NGGT'!K62</f>
        <v>0.81062265305823133</v>
      </c>
    </row>
    <row r="61" spans="1:14">
      <c r="C61" s="257" t="s">
        <v>86</v>
      </c>
      <c r="D61" s="258">
        <f>'18-19 NGGT'!D63</f>
        <v>202.05086600754402</v>
      </c>
      <c r="E61" s="258">
        <f>'18-19 NGGT'!E63</f>
        <v>128.07708615771418</v>
      </c>
      <c r="F61" s="258">
        <f>'18-19 NGGT'!F63</f>
        <v>127.39299128735027</v>
      </c>
      <c r="G61" s="258">
        <f>'18-19 NGGT'!G63</f>
        <v>148.52394644398635</v>
      </c>
      <c r="H61" s="258">
        <f>'18-19 NGGT'!H63</f>
        <v>175.99602794811818</v>
      </c>
      <c r="I61" s="258">
        <f>'18-19 NGGT'!I63</f>
        <v>162.84331767955663</v>
      </c>
      <c r="J61" s="258">
        <f>'18-19 NGGT'!J63</f>
        <v>136.19194903242729</v>
      </c>
      <c r="K61" s="258">
        <f>'18-19 NGGT'!K63</f>
        <v>114.38648340521722</v>
      </c>
    </row>
    <row r="62" spans="1:14">
      <c r="C62" s="257" t="s">
        <v>87</v>
      </c>
      <c r="D62" s="258">
        <f>'18-19 NGGT'!D64</f>
        <v>-138.77857182022461</v>
      </c>
      <c r="E62" s="258">
        <f>'18-19 NGGT'!E64</f>
        <v>-141.63116575742444</v>
      </c>
      <c r="F62" s="258">
        <f>'18-19 NGGT'!F64</f>
        <v>-142.84763571314136</v>
      </c>
      <c r="G62" s="258">
        <f>'18-19 NGGT'!G64</f>
        <v>-144.36303628661429</v>
      </c>
      <c r="H62" s="258">
        <f>'18-19 NGGT'!H64</f>
        <v>-157.83420837254261</v>
      </c>
      <c r="I62" s="258">
        <f>'18-19 NGGT'!I64</f>
        <v>-161.61360232526897</v>
      </c>
      <c r="J62" s="258">
        <f>'18-19 NGGT'!J64</f>
        <v>-164.02137247176648</v>
      </c>
      <c r="K62" s="258">
        <f>'18-19 NGGT'!K64</f>
        <v>-165.39313842491052</v>
      </c>
    </row>
    <row r="63" spans="1:14">
      <c r="C63" s="286" t="s">
        <v>88</v>
      </c>
      <c r="D63" s="287">
        <f>'18-19 NGGT'!D65</f>
        <v>4316.5793304424415</v>
      </c>
      <c r="E63" s="287">
        <f>'18-19 NGGT'!E65</f>
        <v>4304.6142158031844</v>
      </c>
      <c r="F63" s="287">
        <f>'18-19 NGGT'!F65</f>
        <v>4291.0967370209446</v>
      </c>
      <c r="G63" s="287">
        <f>'18-19 NGGT'!G65</f>
        <v>4309.9123480173475</v>
      </c>
      <c r="H63" s="287">
        <f>'18-19 NGGT'!H65</f>
        <v>4803.896308044782</v>
      </c>
      <c r="I63" s="287">
        <f>'18-19 NGGT'!I65</f>
        <v>4874.4758271176424</v>
      </c>
      <c r="J63" s="287">
        <f>'18-19 NGGT'!J65</f>
        <v>4867.4258463851384</v>
      </c>
      <c r="K63" s="287">
        <f>'18-19 NGGT'!K65</f>
        <v>4817.229814018503</v>
      </c>
    </row>
    <row r="64" spans="1:14" ht="13.8" thickBot="1">
      <c r="C64" s="303" t="s">
        <v>89</v>
      </c>
      <c r="D64" s="304">
        <f>'Baseline NGGT'!D66</f>
        <v>315.48616946105216</v>
      </c>
      <c r="E64" s="304">
        <f>'14-15 NGGT'!E66</f>
        <v>332.20172741991223</v>
      </c>
      <c r="F64" s="304">
        <f>'15-16 NGGT'!F66</f>
        <v>391.49086986927688</v>
      </c>
      <c r="G64" s="304">
        <f>'16-17 NGGT'!G66</f>
        <v>475.82214045185907</v>
      </c>
      <c r="H64" s="304">
        <f>'18-19 NGGT'!H66</f>
        <v>69.349803718573156</v>
      </c>
      <c r="I64" s="304">
        <f>'18-19 NGGT'!I66</f>
        <v>20.779442706835688</v>
      </c>
      <c r="J64" s="304">
        <f>'18-19 NGGT'!J66</f>
        <v>0.81062265305823133</v>
      </c>
      <c r="K64" s="304">
        <f>'18-19 NGGT'!K66</f>
        <v>0</v>
      </c>
    </row>
    <row r="65" spans="1:14" s="352" customFormat="1" ht="13.8" thickBot="1">
      <c r="C65" s="361" t="s">
        <v>403</v>
      </c>
      <c r="D65" s="353">
        <f>D64+D63-D53</f>
        <v>0</v>
      </c>
      <c r="E65" s="353">
        <f t="shared" ref="E65:K65" si="3">E64+E63-E53</f>
        <v>0</v>
      </c>
      <c r="F65" s="353">
        <f t="shared" si="3"/>
        <v>0</v>
      </c>
      <c r="G65" s="353">
        <f t="shared" si="3"/>
        <v>0</v>
      </c>
      <c r="H65" s="353">
        <f t="shared" si="3"/>
        <v>0</v>
      </c>
      <c r="I65" s="353">
        <f t="shared" si="3"/>
        <v>0</v>
      </c>
      <c r="J65" s="353">
        <f t="shared" si="3"/>
        <v>0</v>
      </c>
      <c r="K65" s="353">
        <f t="shared" si="3"/>
        <v>0</v>
      </c>
      <c r="L65" s="353"/>
      <c r="M65" s="353"/>
      <c r="N65" s="353"/>
    </row>
    <row r="66" spans="1:14" ht="13.8" thickBot="1">
      <c r="A66" s="38"/>
      <c r="C66" s="288" t="s">
        <v>97</v>
      </c>
      <c r="D66" s="324"/>
      <c r="E66" s="534"/>
      <c r="F66" s="534"/>
      <c r="G66" s="325"/>
      <c r="H66" s="323"/>
    </row>
    <row r="67" spans="1:14" ht="13.8" thickBot="1">
      <c r="C67" s="288" t="s">
        <v>58</v>
      </c>
      <c r="D67" s="302" t="s">
        <v>59</v>
      </c>
      <c r="E67" s="302" t="s">
        <v>60</v>
      </c>
      <c r="F67" s="284" t="s">
        <v>61</v>
      </c>
      <c r="G67" s="284" t="s">
        <v>62</v>
      </c>
      <c r="H67" s="284" t="s">
        <v>63</v>
      </c>
      <c r="I67" s="284" t="s">
        <v>64</v>
      </c>
      <c r="J67" s="284" t="s">
        <v>65</v>
      </c>
      <c r="K67" s="284" t="s">
        <v>66</v>
      </c>
      <c r="L67" s="306"/>
    </row>
    <row r="68" spans="1:14">
      <c r="C68" s="257" t="s">
        <v>79</v>
      </c>
      <c r="D68" s="258">
        <f>'18-19 NGGT'!D70</f>
        <v>61.421077001695863</v>
      </c>
      <c r="E68" s="258">
        <f>'18-19 NGGT'!E70</f>
        <v>61.977785772529273</v>
      </c>
      <c r="F68" s="258">
        <f>'18-19 NGGT'!F70</f>
        <v>64.270362984989703</v>
      </c>
      <c r="G68" s="258">
        <f>'18-19 NGGT'!G70</f>
        <v>72.19746503633246</v>
      </c>
      <c r="H68" s="258">
        <f>'18-19 NGGT'!H70</f>
        <v>84.563427087948909</v>
      </c>
      <c r="I68" s="258">
        <f>'18-19 NGGT'!I70</f>
        <v>77.032643882684852</v>
      </c>
      <c r="J68" s="258">
        <f>'18-19 NGGT'!J70</f>
        <v>67.139730271675546</v>
      </c>
      <c r="K68" s="258">
        <f>'18-19 NGGT'!K70</f>
        <v>60.681470994941087</v>
      </c>
      <c r="L68" s="307"/>
    </row>
    <row r="69" spans="1:14">
      <c r="C69" s="257" t="s">
        <v>98</v>
      </c>
      <c r="D69" s="258">
        <f>'18-19 NGGT'!D71</f>
        <v>110.11544616012048</v>
      </c>
      <c r="E69" s="258">
        <f>'18-19 NGGT'!E71</f>
        <v>110.29121834911521</v>
      </c>
      <c r="F69" s="258">
        <f>'18-19 NGGT'!F71</f>
        <v>110.32860169190292</v>
      </c>
      <c r="G69" s="258">
        <f>'18-19 NGGT'!G71</f>
        <v>110.3596633646699</v>
      </c>
      <c r="H69" s="258">
        <f>'18-19 NGGT'!H71</f>
        <v>110.27343835902431</v>
      </c>
      <c r="I69" s="258">
        <f>'18-19 NGGT'!I71</f>
        <v>110.27662588032852</v>
      </c>
      <c r="J69" s="258">
        <f>'18-19 NGGT'!J71</f>
        <v>110.30420904525512</v>
      </c>
      <c r="K69" s="258">
        <f>'18-19 NGGT'!K71</f>
        <v>110.31067350058066</v>
      </c>
      <c r="L69" s="305"/>
    </row>
    <row r="70" spans="1:14">
      <c r="C70" s="257" t="s">
        <v>99</v>
      </c>
      <c r="D70" s="258">
        <f>'18-19 NGGT'!D72</f>
        <v>40.732299345663577</v>
      </c>
      <c r="E70" s="258">
        <f>'18-19 NGGT'!E72</f>
        <v>41.126253271024638</v>
      </c>
      <c r="F70" s="258">
        <f>'18-19 NGGT'!F72</f>
        <v>64.595975561248082</v>
      </c>
      <c r="G70" s="258">
        <f>'18-19 NGGT'!G72</f>
        <v>65.205446389282784</v>
      </c>
      <c r="H70" s="258">
        <f>'18-19 NGGT'!H72</f>
        <v>65.622359158650369</v>
      </c>
      <c r="I70" s="258">
        <f>'18-19 NGGT'!I72</f>
        <v>41.324563805036327</v>
      </c>
      <c r="J70" s="258">
        <f>'18-19 NGGT'!J72</f>
        <v>41.865524839193789</v>
      </c>
      <c r="K70" s="258">
        <f>'18-19 NGGT'!K72</f>
        <v>42.427143822843135</v>
      </c>
      <c r="L70" s="305"/>
    </row>
    <row r="71" spans="1:14">
      <c r="C71" s="257" t="s">
        <v>100</v>
      </c>
      <c r="D71" s="258">
        <f>'18-19 NGGT'!D73</f>
        <v>0</v>
      </c>
      <c r="E71" s="258">
        <f>'18-19 NGGT'!E73</f>
        <v>0</v>
      </c>
      <c r="F71" s="258">
        <f>'18-19 NGGT'!F73</f>
        <v>0</v>
      </c>
      <c r="G71" s="258">
        <f>'18-19 NGGT'!G73</f>
        <v>0</v>
      </c>
      <c r="H71" s="258">
        <f>'18-19 NGGT'!H73</f>
        <v>0</v>
      </c>
      <c r="I71" s="258">
        <f>'18-19 NGGT'!I73</f>
        <v>0</v>
      </c>
      <c r="J71" s="258">
        <f>'18-19 NGGT'!J73</f>
        <v>0</v>
      </c>
      <c r="K71" s="258">
        <f>'18-19 NGGT'!K73</f>
        <v>0</v>
      </c>
    </row>
    <row r="72" spans="1:14">
      <c r="C72" s="257" t="s">
        <v>101</v>
      </c>
      <c r="D72" s="258">
        <f>'18-19 NGGT'!D74</f>
        <v>-1.1295718210052885</v>
      </c>
      <c r="E72" s="258">
        <f>'18-19 NGGT'!E74</f>
        <v>-1.1444007312827333</v>
      </c>
      <c r="F72" s="258">
        <f>'18-19 NGGT'!F74</f>
        <v>-1.1763817360750841</v>
      </c>
      <c r="G72" s="258">
        <f>'18-19 NGGT'!G74</f>
        <v>-1.5927557463957547</v>
      </c>
      <c r="H72" s="258">
        <f>'18-19 NGGT'!H74</f>
        <v>-1.8565667598967899</v>
      </c>
      <c r="I72" s="258">
        <f>'18-19 NGGT'!I74</f>
        <v>-1.2720416735170972</v>
      </c>
      <c r="J72" s="258">
        <f>'18-19 NGGT'!J74</f>
        <v>-1.1039739947823479</v>
      </c>
      <c r="K72" s="258">
        <f>'18-19 NGGT'!K74</f>
        <v>-1.018311326547777</v>
      </c>
    </row>
    <row r="73" spans="1:14">
      <c r="C73" s="257" t="s">
        <v>102</v>
      </c>
      <c r="D73" s="258">
        <f>'18-19 NGGT'!D75</f>
        <v>8.7100178849101244</v>
      </c>
      <c r="E73" s="258">
        <f>'18-19 NGGT'!E75</f>
        <v>11.1632804138175</v>
      </c>
      <c r="F73" s="258">
        <f>'18-19 NGGT'!F75</f>
        <v>14.153814373274841</v>
      </c>
      <c r="G73" s="258">
        <f>'18-19 NGGT'!G75</f>
        <v>15.057341156206274</v>
      </c>
      <c r="H73" s="258">
        <f>'18-19 NGGT'!H75</f>
        <v>23.300828929159181</v>
      </c>
      <c r="I73" s="258">
        <f>'18-19 NGGT'!I75</f>
        <v>22.452877313481206</v>
      </c>
      <c r="J73" s="258">
        <f>'18-19 NGGT'!J75</f>
        <v>24.33470281924922</v>
      </c>
      <c r="K73" s="258">
        <f>'18-19 NGGT'!K75</f>
        <v>27.3756835117902</v>
      </c>
    </row>
    <row r="74" spans="1:14">
      <c r="C74" s="257" t="s">
        <v>103</v>
      </c>
      <c r="D74" s="258">
        <f>'18-19 NGGT'!D76</f>
        <v>322.28689471464406</v>
      </c>
      <c r="E74" s="258">
        <f>'18-19 NGGT'!E76</f>
        <v>321.13617688923728</v>
      </c>
      <c r="F74" s="258">
        <f>'18-19 NGGT'!F76</f>
        <v>317.44269235978425</v>
      </c>
      <c r="G74" s="258">
        <f>'18-19 NGGT'!G76</f>
        <v>314.91519569779041</v>
      </c>
      <c r="H74" s="258">
        <f>'18-19 NGGT'!H76</f>
        <v>343.04718275493593</v>
      </c>
      <c r="I74" s="258">
        <f>'18-19 NGGT'!I76</f>
        <v>344.31071340036647</v>
      </c>
      <c r="J74" s="258">
        <f>'18-19 NGGT'!J76</f>
        <v>347.00906170001008</v>
      </c>
      <c r="K74" s="258">
        <f>'18-19 NGGT'!K76</f>
        <v>346.94176074223805</v>
      </c>
    </row>
    <row r="75" spans="1:14">
      <c r="C75" s="257" t="s">
        <v>104</v>
      </c>
      <c r="D75" s="258">
        <f>'18-19 NGGT'!D77</f>
        <v>-9.8631906988581406</v>
      </c>
      <c r="E75" s="258">
        <f>'18-19 NGGT'!E77</f>
        <v>-9.1771263035596125</v>
      </c>
      <c r="F75" s="258">
        <f>'18-19 NGGT'!F77</f>
        <v>-8.9830722247633616</v>
      </c>
      <c r="G75" s="258">
        <f>'18-19 NGGT'!G77</f>
        <v>-8.6817387658381833</v>
      </c>
      <c r="H75" s="258">
        <f>'18-19 NGGT'!H77</f>
        <v>10.426917770256935</v>
      </c>
      <c r="I75" s="258">
        <f>'18-19 NGGT'!I77</f>
        <v>10.939658192608624</v>
      </c>
      <c r="J75" s="258">
        <f>'18-19 NGGT'!J77</f>
        <v>11.471978889838866</v>
      </c>
      <c r="K75" s="258">
        <f>'18-19 NGGT'!K77</f>
        <v>12.024627583694587</v>
      </c>
    </row>
    <row r="76" spans="1:14">
      <c r="C76" s="286" t="s">
        <v>105</v>
      </c>
      <c r="D76" s="287">
        <f>'18-19 NGGT'!D78</f>
        <v>532.27297258717067</v>
      </c>
      <c r="E76" s="287">
        <f>'18-19 NGGT'!E78</f>
        <v>535.37318766088151</v>
      </c>
      <c r="F76" s="287">
        <f>'18-19 NGGT'!F78</f>
        <v>560.63199301036138</v>
      </c>
      <c r="G76" s="287">
        <f>'18-19 NGGT'!G78</f>
        <v>567.4606171320479</v>
      </c>
      <c r="H76" s="287">
        <f>'18-19 NGGT'!H78</f>
        <v>635.37758730007886</v>
      </c>
      <c r="I76" s="287">
        <f>'18-19 NGGT'!I78</f>
        <v>605.06504080098887</v>
      </c>
      <c r="J76" s="287">
        <f>'18-19 NGGT'!J78</f>
        <v>601.02123357044024</v>
      </c>
      <c r="K76" s="287">
        <f>'18-19 NGGT'!K78</f>
        <v>598.74304882953993</v>
      </c>
    </row>
    <row r="77" spans="1:14">
      <c r="C77" s="257" t="s">
        <v>106</v>
      </c>
      <c r="D77" s="258">
        <f>'18-19 NGGT'!D79</f>
        <v>3.5</v>
      </c>
      <c r="E77" s="258">
        <f>'18-19 NGGT'!E79</f>
        <v>2.9</v>
      </c>
      <c r="F77" s="258">
        <f>'18-19 NGGT'!F79</f>
        <v>3</v>
      </c>
      <c r="G77" s="258">
        <f>'18-19 NGGT'!G79</f>
        <v>3.1</v>
      </c>
      <c r="H77" s="258">
        <f>'18-19 NGGT'!H79</f>
        <v>3</v>
      </c>
      <c r="I77" s="258">
        <f>'18-19 NGGT'!I79</f>
        <v>3</v>
      </c>
      <c r="J77" s="258">
        <f>'18-19 NGGT'!J79</f>
        <v>3</v>
      </c>
      <c r="K77" s="258">
        <f>'18-19 NGGT'!K79</f>
        <v>3</v>
      </c>
      <c r="N77" s="208"/>
    </row>
    <row r="78" spans="1:14" ht="13.8" thickBot="1">
      <c r="A78" s="38"/>
      <c r="C78" s="288" t="s">
        <v>107</v>
      </c>
      <c r="D78" s="289">
        <f>'18-19 NGGT'!D80</f>
        <v>535.77297258717067</v>
      </c>
      <c r="E78" s="289">
        <f>'18-19 NGGT'!E80</f>
        <v>538.27318766088149</v>
      </c>
      <c r="F78" s="289">
        <f>'18-19 NGGT'!F80</f>
        <v>563.63199301036138</v>
      </c>
      <c r="G78" s="289">
        <f>'18-19 NGGT'!G80</f>
        <v>570.56061713204792</v>
      </c>
      <c r="H78" s="289">
        <f>'18-19 NGGT'!H80</f>
        <v>638.37758730007886</v>
      </c>
      <c r="I78" s="289">
        <f>'18-19 NGGT'!I80</f>
        <v>608.06504080098887</v>
      </c>
      <c r="J78" s="289">
        <f>'18-19 NGGT'!J80</f>
        <v>604.02123357044024</v>
      </c>
      <c r="K78" s="289">
        <f>'18-19 NGGT'!K80</f>
        <v>601.74304882953993</v>
      </c>
      <c r="N78" s="209"/>
    </row>
    <row r="79" spans="1:14" ht="13.8" thickBot="1">
      <c r="A79" s="38"/>
      <c r="C79" s="288"/>
      <c r="D79" s="287"/>
      <c r="E79" s="287"/>
      <c r="F79" s="38"/>
      <c r="G79" s="38"/>
      <c r="H79" s="38"/>
      <c r="I79" s="38"/>
      <c r="J79" s="38"/>
      <c r="K79" s="287"/>
      <c r="N79" s="209"/>
    </row>
    <row r="80" spans="1:14" ht="13.8" thickBot="1">
      <c r="C80" s="288" t="s">
        <v>109</v>
      </c>
      <c r="D80" s="53"/>
      <c r="E80" s="53"/>
      <c r="F80" s="288"/>
      <c r="G80" s="288"/>
      <c r="H80" s="288"/>
      <c r="I80" s="288"/>
      <c r="J80" s="288"/>
    </row>
    <row r="81" spans="3:22" ht="13.8" thickBot="1">
      <c r="C81" s="330" t="s">
        <v>58</v>
      </c>
      <c r="D81" s="284" t="s">
        <v>59</v>
      </c>
      <c r="E81" s="284" t="s">
        <v>60</v>
      </c>
      <c r="F81" s="284" t="s">
        <v>61</v>
      </c>
      <c r="G81" s="284" t="s">
        <v>62</v>
      </c>
      <c r="H81" s="284" t="s">
        <v>63</v>
      </c>
      <c r="I81" s="284" t="s">
        <v>64</v>
      </c>
      <c r="J81" s="284" t="s">
        <v>65</v>
      </c>
      <c r="K81" s="284" t="s">
        <v>66</v>
      </c>
      <c r="M81" s="53"/>
      <c r="N81" s="53"/>
      <c r="O81" s="53"/>
      <c r="V81" s="189"/>
    </row>
    <row r="82" spans="3:22">
      <c r="C82" s="257" t="s">
        <v>110</v>
      </c>
      <c r="D82" s="258">
        <f>'GT workings base'!D95</f>
        <v>538.68614139232659</v>
      </c>
      <c r="E82" s="258">
        <f>'GT workings base'!E95</f>
        <v>542.92673270130729</v>
      </c>
      <c r="F82" s="258">
        <f>'GT workings base'!F95</f>
        <v>547.96393826079861</v>
      </c>
      <c r="G82" s="258">
        <f>'GT workings base'!G95</f>
        <v>580.56778765647073</v>
      </c>
      <c r="H82" s="258">
        <f>'GT workings base'!H95</f>
        <v>658.61582706975355</v>
      </c>
      <c r="I82" s="258">
        <f>'GT workings base'!I95</f>
        <v>626.86553438812439</v>
      </c>
      <c r="J82" s="258">
        <f>'GT workings base'!J95</f>
        <v>621.71896646768869</v>
      </c>
      <c r="K82" s="258">
        <f>'GT workings base'!K95</f>
        <v>620.33146114939325</v>
      </c>
      <c r="M82" s="53"/>
      <c r="N82" s="53"/>
      <c r="O82" s="53"/>
      <c r="V82" s="189"/>
    </row>
    <row r="83" spans="3:22">
      <c r="C83" s="286" t="s">
        <v>111</v>
      </c>
      <c r="D83" s="287">
        <f>'GT workings 18-19'!D108</f>
        <v>0</v>
      </c>
      <c r="E83" s="287">
        <f>'GT workings 18-19'!E108</f>
        <v>7.660590030135495</v>
      </c>
      <c r="F83" s="287">
        <f>'GT workings 18-19'!F108</f>
        <v>9.903155913025671</v>
      </c>
      <c r="G83" s="287">
        <f>'GT workings 18-19'!G108</f>
        <v>10.462384566159812</v>
      </c>
      <c r="H83" s="287">
        <f>'GT workings 18-19'!H108</f>
        <v>5.9179485259908233</v>
      </c>
      <c r="I83" s="287">
        <f>'GT workings 18-19'!I109</f>
        <v>-100.20929972541376</v>
      </c>
      <c r="J83" s="287"/>
      <c r="K83" s="287"/>
      <c r="M83" s="53"/>
      <c r="N83" s="53"/>
      <c r="O83" s="53"/>
      <c r="V83" s="189"/>
    </row>
    <row r="84" spans="3:22">
      <c r="C84" s="257" t="s">
        <v>112</v>
      </c>
      <c r="D84" s="258">
        <f t="shared" ref="D84:I84" si="4">D82+D83</f>
        <v>538.68614139232659</v>
      </c>
      <c r="E84" s="258">
        <f t="shared" si="4"/>
        <v>550.58732273144278</v>
      </c>
      <c r="F84" s="258">
        <f t="shared" si="4"/>
        <v>557.86709417382428</v>
      </c>
      <c r="G84" s="258">
        <f t="shared" si="4"/>
        <v>591.03017222263054</v>
      </c>
      <c r="H84" s="258">
        <f t="shared" si="4"/>
        <v>664.53377559574437</v>
      </c>
      <c r="I84" s="258">
        <f t="shared" si="4"/>
        <v>526.65623466271063</v>
      </c>
      <c r="J84" s="258"/>
      <c r="K84" s="258"/>
      <c r="M84" s="53"/>
      <c r="N84" s="53"/>
      <c r="O84" s="53"/>
      <c r="V84" s="189"/>
    </row>
    <row r="85" spans="3:22">
      <c r="C85" s="311" t="s">
        <v>367</v>
      </c>
      <c r="D85" s="258"/>
      <c r="E85" s="258"/>
      <c r="F85" s="258"/>
      <c r="G85" s="258"/>
      <c r="H85" s="287"/>
      <c r="J85" s="258">
        <f>I84+H84*H$94+G84*G$94+F84*F$94+E84*E$94+D84*D$94</f>
        <v>3791.1866458173727</v>
      </c>
      <c r="K85" s="258"/>
      <c r="M85" s="53"/>
      <c r="N85" s="53"/>
      <c r="O85" s="53"/>
      <c r="V85" s="189"/>
    </row>
    <row r="86" spans="3:22">
      <c r="C86" s="257" t="s">
        <v>366</v>
      </c>
      <c r="D86" s="258">
        <f>D76</f>
        <v>532.27297258717067</v>
      </c>
      <c r="E86" s="258">
        <f t="shared" ref="E86:I86" si="5">E76</f>
        <v>535.37318766088151</v>
      </c>
      <c r="F86" s="258">
        <f t="shared" si="5"/>
        <v>560.63199301036138</v>
      </c>
      <c r="G86" s="258">
        <f t="shared" si="5"/>
        <v>567.4606171320479</v>
      </c>
      <c r="H86" s="258">
        <f t="shared" si="5"/>
        <v>635.37758730007886</v>
      </c>
      <c r="I86" s="258">
        <f t="shared" si="5"/>
        <v>605.06504080098887</v>
      </c>
      <c r="J86" s="258"/>
      <c r="K86" s="258"/>
      <c r="V86" s="189"/>
    </row>
    <row r="87" spans="3:22" ht="13.8" thickBot="1">
      <c r="C87" s="288" t="s">
        <v>367</v>
      </c>
      <c r="D87" s="289"/>
      <c r="E87" s="289"/>
      <c r="F87" s="289"/>
      <c r="G87" s="289"/>
      <c r="H87" s="289"/>
      <c r="I87" s="289"/>
      <c r="J87" s="289">
        <f>I86+H86*H$94+G86*G$94+F86*F$94+E86*E$94+D86*D$94</f>
        <v>3791.1981765790965</v>
      </c>
      <c r="K87" s="289"/>
      <c r="V87" s="189"/>
    </row>
    <row r="88" spans="3:22">
      <c r="E88" s="109"/>
      <c r="F88" s="109"/>
      <c r="G88" s="109"/>
      <c r="H88" s="109"/>
      <c r="I88" s="109"/>
      <c r="J88" s="109"/>
      <c r="K88" s="109"/>
      <c r="V88" s="189"/>
    </row>
    <row r="89" spans="3:22">
      <c r="C89" t="s">
        <v>317</v>
      </c>
      <c r="D89" s="354">
        <v>4.3749999999999997E-2</v>
      </c>
      <c r="E89" s="354">
        <v>4.2500000000000003E-2</v>
      </c>
      <c r="F89" s="354">
        <v>4.1437500000000002E-2</v>
      </c>
      <c r="G89" s="354">
        <v>4.0375000000000001E-2</v>
      </c>
      <c r="H89" s="354">
        <v>3.9375E-2</v>
      </c>
      <c r="J89" s="348"/>
      <c r="V89" s="189"/>
    </row>
    <row r="90" spans="3:22">
      <c r="C90" t="s">
        <v>318</v>
      </c>
      <c r="D90" s="354">
        <f>1/((1+D89)^0.5)</f>
        <v>0.97881756846479273</v>
      </c>
      <c r="E90" s="354">
        <f>1/((1+E89)^0.5)</f>
        <v>0.97940421374878361</v>
      </c>
      <c r="F90" s="354">
        <f>1/((1+F89)^0.5)</f>
        <v>0.97990369244851017</v>
      </c>
      <c r="G90" s="354">
        <f>1/((1+G89)^0.5)</f>
        <v>0.98040393610421173</v>
      </c>
      <c r="H90" s="354">
        <f>1/((1+H89)^0.5)</f>
        <v>0.98087545419620847</v>
      </c>
      <c r="V90" s="189"/>
    </row>
    <row r="91" spans="3:22">
      <c r="C91" t="s">
        <v>319</v>
      </c>
      <c r="D91" s="354">
        <f>1/(1+D89)</f>
        <v>0.95808383233532934</v>
      </c>
      <c r="E91" s="354">
        <f>1/(1+E89)*D91</f>
        <v>0.91902525883484831</v>
      </c>
      <c r="F91" s="354">
        <f>1/(1+F89)*E91</f>
        <v>0.8824583893271063</v>
      </c>
      <c r="G91" s="354">
        <f>1/(1+G89)*F91</f>
        <v>0.84821183643119669</v>
      </c>
      <c r="H91" s="354">
        <f>1/(1+H89)*G91</f>
        <v>0.81607873619357474</v>
      </c>
      <c r="V91" s="189"/>
    </row>
    <row r="92" spans="3:22">
      <c r="C92" t="s">
        <v>320</v>
      </c>
      <c r="D92" s="354">
        <f>D90</f>
        <v>0.97881756846479273</v>
      </c>
      <c r="E92" s="354">
        <f>D91*E90</f>
        <v>0.9383513425138047</v>
      </c>
      <c r="F92" s="354">
        <f>E91*F90</f>
        <v>0.9005562445857157</v>
      </c>
      <c r="G92" s="354">
        <f>F91*G90</f>
        <v>0.86516567834447788</v>
      </c>
      <c r="H92" s="354">
        <f>G91*H90</f>
        <v>0.83199017031405009</v>
      </c>
      <c r="V92" s="189"/>
    </row>
    <row r="93" spans="3:22">
      <c r="C93" t="s">
        <v>321</v>
      </c>
      <c r="D93" s="354">
        <f>1+D89</f>
        <v>1.04375</v>
      </c>
      <c r="E93" s="354">
        <f t="shared" ref="E93:H93" si="6">1+E89</f>
        <v>1.0425</v>
      </c>
      <c r="F93" s="354">
        <f t="shared" si="6"/>
        <v>1.0414375</v>
      </c>
      <c r="G93" s="354">
        <f t="shared" si="6"/>
        <v>1.040375</v>
      </c>
      <c r="H93" s="354">
        <f t="shared" si="6"/>
        <v>1.0393749999999999</v>
      </c>
      <c r="V93" s="189"/>
    </row>
    <row r="94" spans="3:22">
      <c r="C94" t="s">
        <v>404</v>
      </c>
      <c r="D94" s="354">
        <f>PRODUCT(D93:$H$93)</f>
        <v>1.2253719594071115</v>
      </c>
      <c r="E94" s="354">
        <f>PRODUCT(E93:$H$93)</f>
        <v>1.1740090629050173</v>
      </c>
      <c r="F94" s="354">
        <f>PRODUCT(F93:$H$93)</f>
        <v>1.1261477821630859</v>
      </c>
      <c r="G94" s="354">
        <f>PRODUCT(G93:$H$93)</f>
        <v>1.0813397656249999</v>
      </c>
      <c r="H94" s="354">
        <f>PRODUCT(H93:$H$93)</f>
        <v>1.0393749999999999</v>
      </c>
      <c r="V94" s="189"/>
    </row>
    <row r="95" spans="3:22" ht="13.8" thickBot="1">
      <c r="C95" s="288"/>
      <c r="D95" s="354"/>
      <c r="E95" s="354"/>
      <c r="F95" s="354"/>
      <c r="G95" s="354"/>
      <c r="H95" s="354"/>
      <c r="V95" s="189"/>
    </row>
    <row r="96" spans="3:22" ht="13.8" thickBot="1">
      <c r="C96" s="288" t="s">
        <v>131</v>
      </c>
      <c r="D96" s="324"/>
      <c r="E96" s="534"/>
      <c r="F96" s="534"/>
      <c r="G96" s="325"/>
      <c r="H96" s="323"/>
      <c r="I96" s="323"/>
      <c r="J96" s="323"/>
      <c r="K96" s="323"/>
      <c r="L96" s="323"/>
      <c r="N96" s="109"/>
    </row>
    <row r="97" spans="1:14" ht="13.8" thickBot="1">
      <c r="A97" s="38" t="s">
        <v>405</v>
      </c>
      <c r="C97" s="288" t="s">
        <v>58</v>
      </c>
      <c r="D97" s="302" t="s">
        <v>59</v>
      </c>
      <c r="E97" s="302" t="s">
        <v>60</v>
      </c>
      <c r="F97" s="302" t="s">
        <v>61</v>
      </c>
      <c r="G97" s="302" t="s">
        <v>62</v>
      </c>
      <c r="H97" s="302" t="s">
        <v>63</v>
      </c>
      <c r="I97" s="302" t="s">
        <v>64</v>
      </c>
      <c r="J97" s="302" t="s">
        <v>65</v>
      </c>
      <c r="K97" s="302" t="s">
        <v>66</v>
      </c>
      <c r="L97" s="302" t="s">
        <v>118</v>
      </c>
    </row>
    <row r="98" spans="1:14">
      <c r="C98" s="257" t="s">
        <v>406</v>
      </c>
      <c r="D98" s="258">
        <f>'18-19 NGGT'!D85</f>
        <v>15.115777414489674</v>
      </c>
      <c r="E98" s="258">
        <f>'18-19 NGGT'!E85</f>
        <v>6.1585183187658412</v>
      </c>
      <c r="F98" s="258">
        <f>'18-19 NGGT'!F85</f>
        <v>1.2279992437177505</v>
      </c>
      <c r="G98" s="258">
        <f>'18-19 NGGT'!G85</f>
        <v>1.0586494644799558</v>
      </c>
      <c r="H98" s="258">
        <f>'18-19 NGGT'!H85</f>
        <v>5.9459563895617578</v>
      </c>
      <c r="I98" s="258">
        <f>'18-19 NGGT'!I85</f>
        <v>5.0594200163138892</v>
      </c>
      <c r="J98" s="258">
        <f>'18-19 NGGT'!J85</f>
        <v>0.23152878737450566</v>
      </c>
      <c r="K98" s="258">
        <f>'18-19 NGGT'!K85</f>
        <v>0</v>
      </c>
      <c r="L98" s="258">
        <f>'18-19 NGGT'!L85</f>
        <v>34.797849634703375</v>
      </c>
      <c r="M98" s="53"/>
      <c r="N98" s="53"/>
    </row>
    <row r="99" spans="1:14">
      <c r="C99" s="257" t="s">
        <v>407</v>
      </c>
      <c r="D99" s="258">
        <f>'18-19 NGGT'!D86</f>
        <v>97.132518315217595</v>
      </c>
      <c r="E99" s="258">
        <f>'18-19 NGGT'!E86</f>
        <v>109.87971241227922</v>
      </c>
      <c r="F99" s="258">
        <f>'18-19 NGGT'!F86</f>
        <v>114.43672637584547</v>
      </c>
      <c r="G99" s="258">
        <f>'18-19 NGGT'!G86</f>
        <v>123.96977718673423</v>
      </c>
      <c r="H99" s="258">
        <f>'18-19 NGGT'!H86</f>
        <v>138.27838395379189</v>
      </c>
      <c r="I99" s="258">
        <f>'18-19 NGGT'!I86</f>
        <v>117.50342084599842</v>
      </c>
      <c r="J99" s="258">
        <f>'18-19 NGGT'!J86</f>
        <v>101.87556011564801</v>
      </c>
      <c r="K99" s="258">
        <f>'18-19 NGGT'!K86</f>
        <v>91.157975802007329</v>
      </c>
      <c r="L99" s="258">
        <f>'18-19 NGGT'!L86</f>
        <v>894.23407500752216</v>
      </c>
      <c r="M99" s="53"/>
      <c r="N99" s="53"/>
    </row>
    <row r="100" spans="1:14">
      <c r="C100" s="257" t="s">
        <v>44</v>
      </c>
      <c r="D100" s="258">
        <f>'18-19 NGGT'!D87</f>
        <v>26.86365188906883</v>
      </c>
      <c r="E100" s="258">
        <f>'18-19 NGGT'!E87</f>
        <v>18.171864188371163</v>
      </c>
      <c r="F100" s="258">
        <f>'18-19 NGGT'!F87</f>
        <v>10.751052755971946</v>
      </c>
      <c r="G100" s="258">
        <f>'18-19 NGGT'!G87</f>
        <v>12.661992776253896</v>
      </c>
      <c r="H100" s="258">
        <f>'18-19 NGGT'!H87</f>
        <v>32.025393538313374</v>
      </c>
      <c r="I100" s="258">
        <f>'18-19 NGGT'!I87</f>
        <v>32.679532321837399</v>
      </c>
      <c r="J100" s="258">
        <f>'18-19 NGGT'!J87</f>
        <v>20.504333599618437</v>
      </c>
      <c r="K100" s="258">
        <f>'18-19 NGGT'!K87</f>
        <v>6.4276664548145455</v>
      </c>
      <c r="L100" s="258">
        <f>'18-19 NGGT'!L87</f>
        <v>160.0854875242496</v>
      </c>
      <c r="M100" s="53"/>
      <c r="N100" s="53"/>
    </row>
    <row r="101" spans="1:14">
      <c r="C101" s="257" t="s">
        <v>408</v>
      </c>
      <c r="D101" s="258">
        <f>'18-19 NGGT'!D88</f>
        <v>0</v>
      </c>
      <c r="E101" s="258">
        <f>'18-19 NGGT'!E88</f>
        <v>0</v>
      </c>
      <c r="F101" s="258">
        <f>'18-19 NGGT'!F88</f>
        <v>0</v>
      </c>
      <c r="G101" s="258">
        <f>'18-19 NGGT'!G88</f>
        <v>0</v>
      </c>
      <c r="H101" s="258">
        <f>'18-19 NGGT'!H88</f>
        <v>0</v>
      </c>
      <c r="I101" s="258">
        <f>'18-19 NGGT'!I88</f>
        <v>0</v>
      </c>
      <c r="J101" s="258">
        <f>'18-19 NGGT'!J88</f>
        <v>0</v>
      </c>
      <c r="K101" s="258">
        <f>'18-19 NGGT'!K88</f>
        <v>0</v>
      </c>
      <c r="L101" s="258">
        <f>'18-19 NGGT'!L88</f>
        <v>0</v>
      </c>
      <c r="M101" s="53"/>
      <c r="N101" s="53"/>
    </row>
    <row r="102" spans="1:14">
      <c r="C102" s="257" t="s">
        <v>46</v>
      </c>
      <c r="D102" s="258">
        <f>'18-19 NGGT'!D89</f>
        <v>64.482672010544718</v>
      </c>
      <c r="E102" s="258">
        <f>'18-19 NGGT'!E89</f>
        <v>65.237874215180156</v>
      </c>
      <c r="F102" s="258">
        <f>'18-19 NGGT'!F89</f>
        <v>70.772894725011071</v>
      </c>
      <c r="G102" s="258">
        <f>'18-19 NGGT'!G89</f>
        <v>79.368338266410362</v>
      </c>
      <c r="H102" s="258">
        <f>'18-19 NGGT'!H89</f>
        <v>84.317479134504765</v>
      </c>
      <c r="I102" s="258">
        <f>'18-19 NGGT'!I89</f>
        <v>84.641346358196444</v>
      </c>
      <c r="J102" s="258">
        <f>'18-19 NGGT'!J89</f>
        <v>80.728014781566515</v>
      </c>
      <c r="K102" s="258">
        <f>'18-19 NGGT'!K89</f>
        <v>77.490070123441129</v>
      </c>
      <c r="L102" s="258">
        <f>'18-19 NGGT'!L89</f>
        <v>607.03868961485512</v>
      </c>
      <c r="M102" s="53"/>
      <c r="N102" s="53"/>
    </row>
    <row r="103" spans="1:14">
      <c r="C103" s="257" t="s">
        <v>137</v>
      </c>
      <c r="D103" s="258">
        <f>'18-19 NGGT'!D90</f>
        <v>-8.196293224343151</v>
      </c>
      <c r="E103" s="258">
        <f>'18-19 NGGT'!E90</f>
        <v>-9.3853392242482698</v>
      </c>
      <c r="F103" s="258">
        <f>'18-19 NGGT'!F90</f>
        <v>-5.5175608481015388</v>
      </c>
      <c r="G103" s="258">
        <f>'18-19 NGGT'!G90</f>
        <v>3.6704117665450156</v>
      </c>
      <c r="H103" s="258">
        <f>'18-19 NGGT'!H90</f>
        <v>0</v>
      </c>
      <c r="I103" s="258">
        <f>'18-19 NGGT'!I90</f>
        <v>0</v>
      </c>
      <c r="J103" s="258">
        <f>'18-19 NGGT'!J90</f>
        <v>0</v>
      </c>
      <c r="K103" s="258">
        <f>'18-19 NGGT'!K90</f>
        <v>0</v>
      </c>
      <c r="L103" s="258">
        <f>'18-19 NGGT'!L90</f>
        <v>-19.428781530147944</v>
      </c>
      <c r="M103" s="53"/>
      <c r="N103" s="53"/>
    </row>
    <row r="104" spans="1:14">
      <c r="C104" s="286" t="s">
        <v>48</v>
      </c>
      <c r="D104" s="287">
        <f>'18-19 NGGT'!D91</f>
        <v>195.39832640497767</v>
      </c>
      <c r="E104" s="287">
        <f>'18-19 NGGT'!E91</f>
        <v>190.06262991034814</v>
      </c>
      <c r="F104" s="287">
        <f>'18-19 NGGT'!F91</f>
        <v>191.67111225244469</v>
      </c>
      <c r="G104" s="287">
        <f>'18-19 NGGT'!G91</f>
        <v>220.72916946042349</v>
      </c>
      <c r="H104" s="287">
        <f>'18-19 NGGT'!H91</f>
        <v>260.56721301617176</v>
      </c>
      <c r="I104" s="287">
        <f>'18-19 NGGT'!I91</f>
        <v>239.88371954234614</v>
      </c>
      <c r="J104" s="287">
        <f>'18-19 NGGT'!J91</f>
        <v>203.33943728420746</v>
      </c>
      <c r="K104" s="287">
        <f>'18-19 NGGT'!K91</f>
        <v>175.07571238026298</v>
      </c>
      <c r="L104" s="287">
        <f>'18-19 NGGT'!L91</f>
        <v>1676.7273202511824</v>
      </c>
      <c r="M104" s="53"/>
      <c r="N104" s="53"/>
    </row>
    <row r="105" spans="1:14">
      <c r="C105" s="257" t="s">
        <v>52</v>
      </c>
      <c r="D105" s="258">
        <f>'18-19 NGGT'!D92</f>
        <v>110.11544616012048</v>
      </c>
      <c r="E105" s="258">
        <f>'18-19 NGGT'!E92</f>
        <v>110.29121834911521</v>
      </c>
      <c r="F105" s="258">
        <f>'18-19 NGGT'!F92</f>
        <v>110.32860169190292</v>
      </c>
      <c r="G105" s="258">
        <f>'18-19 NGGT'!G92</f>
        <v>110.3596633646699</v>
      </c>
      <c r="H105" s="258">
        <f>'18-19 NGGT'!H92</f>
        <v>110.27343835902431</v>
      </c>
      <c r="I105" s="258">
        <f>'18-19 NGGT'!I92</f>
        <v>110.27662588032852</v>
      </c>
      <c r="J105" s="258">
        <f>'18-19 NGGT'!J92</f>
        <v>110.30420904525512</v>
      </c>
      <c r="K105" s="258">
        <f>'18-19 NGGT'!K92</f>
        <v>110.31067350058066</v>
      </c>
      <c r="L105" s="258">
        <f>'18-19 NGGT'!L92</f>
        <v>882.25987635099727</v>
      </c>
      <c r="M105" s="53"/>
      <c r="N105" s="53"/>
    </row>
    <row r="106" spans="1:14">
      <c r="C106" s="257"/>
      <c r="D106" s="258"/>
      <c r="E106" s="258"/>
      <c r="F106" s="258"/>
      <c r="G106" s="258"/>
      <c r="H106" s="258"/>
      <c r="I106" s="258"/>
      <c r="J106" s="258"/>
      <c r="K106" s="258"/>
      <c r="L106" s="258"/>
      <c r="M106" s="53"/>
      <c r="N106" s="53"/>
    </row>
    <row r="107" spans="1:14">
      <c r="C107" s="257" t="s">
        <v>138</v>
      </c>
      <c r="D107" s="258">
        <f>'18-19 NGGT'!D94</f>
        <v>33.734064323833628</v>
      </c>
      <c r="E107" s="258">
        <f>'18-19 NGGT'!E94</f>
        <v>27.39346022326454</v>
      </c>
      <c r="F107" s="258">
        <f>'18-19 NGGT'!F94</f>
        <v>18.58964637976759</v>
      </c>
      <c r="G107" s="258">
        <f>'18-19 NGGT'!G94</f>
        <v>15.690053681814245</v>
      </c>
      <c r="H107" s="258">
        <f>'18-19 NGGT'!H94</f>
        <v>14.117331818843784</v>
      </c>
      <c r="I107" s="258">
        <f>'18-19 NGGT'!I94</f>
        <v>12.8424465294623</v>
      </c>
      <c r="J107" s="258">
        <f>'18-19 NGGT'!J94</f>
        <v>15.120708694627556</v>
      </c>
      <c r="K107" s="258">
        <f>'18-19 NGGT'!K94</f>
        <v>12.837335667911791</v>
      </c>
      <c r="L107" s="258">
        <f>'18-19 NGGT'!L94</f>
        <v>150.32504731952542</v>
      </c>
      <c r="M107" s="53"/>
      <c r="N107" s="53"/>
    </row>
    <row r="108" spans="1:14">
      <c r="C108" s="257" t="s">
        <v>44</v>
      </c>
      <c r="D108" s="258">
        <f>'18-19 NGGT'!D95</f>
        <v>19.755956161710287</v>
      </c>
      <c r="E108" s="258">
        <f>'18-19 NGGT'!E95</f>
        <v>4.9640550676615947</v>
      </c>
      <c r="F108" s="258">
        <f>'18-19 NGGT'!F95</f>
        <v>6.5763559685269639</v>
      </c>
      <c r="G108" s="258">
        <f>'18-19 NGGT'!G95</f>
        <v>9.0508060165981838</v>
      </c>
      <c r="H108" s="258">
        <f>'18-19 NGGT'!H95</f>
        <v>5.9819689306581099</v>
      </c>
      <c r="I108" s="258">
        <f>'18-19 NGGT'!I95</f>
        <v>5.5276076383456436</v>
      </c>
      <c r="J108" s="258">
        <f>'18-19 NGGT'!J95</f>
        <v>5.2043642179094656</v>
      </c>
      <c r="K108" s="258">
        <f>'18-19 NGGT'!K95</f>
        <v>4.0961651636946899</v>
      </c>
      <c r="L108" s="258">
        <f>'18-19 NGGT'!L95</f>
        <v>61.157279165104946</v>
      </c>
      <c r="M108" s="53"/>
      <c r="N108" s="53"/>
    </row>
    <row r="109" spans="1:14">
      <c r="C109" s="257" t="s">
        <v>45</v>
      </c>
      <c r="D109" s="258">
        <f>'18-19 NGGT'!D96</f>
        <v>6.3163697463774593</v>
      </c>
      <c r="E109" s="258">
        <f>'18-19 NGGT'!E96</f>
        <v>7.5127863565785153</v>
      </c>
      <c r="F109" s="258">
        <f>'18-19 NGGT'!F96</f>
        <v>11.755221166240313</v>
      </c>
      <c r="G109" s="258">
        <f>'18-19 NGGT'!G96</f>
        <v>14.858131955957658</v>
      </c>
      <c r="H109" s="258">
        <f>'18-19 NGGT'!H96</f>
        <v>9.9935426477652847</v>
      </c>
      <c r="I109" s="258">
        <f>'18-19 NGGT'!I96</f>
        <v>12.155160387098473</v>
      </c>
      <c r="J109" s="258">
        <f>'18-19 NGGT'!J96</f>
        <v>12.398863612479254</v>
      </c>
      <c r="K109" s="258">
        <f>'18-19 NGGT'!K96</f>
        <v>11.187952086317051</v>
      </c>
      <c r="L109" s="258">
        <f>'18-19 NGGT'!L96</f>
        <v>86.178027958814013</v>
      </c>
      <c r="M109" s="53"/>
      <c r="N109" s="53"/>
    </row>
    <row r="110" spans="1:14">
      <c r="C110" s="257" t="s">
        <v>46</v>
      </c>
      <c r="D110" s="258">
        <f>'18-19 NGGT'!D97</f>
        <v>37.780581733294433</v>
      </c>
      <c r="E110" s="258">
        <f>'18-19 NGGT'!E97</f>
        <v>38.765251453029641</v>
      </c>
      <c r="F110" s="258">
        <f>'18-19 NGGT'!F97</f>
        <v>38.935734544913359</v>
      </c>
      <c r="G110" s="258">
        <f>'18-19 NGGT'!G97</f>
        <v>37.194366497168517</v>
      </c>
      <c r="H110" s="258">
        <f>'18-19 NGGT'!H97</f>
        <v>37.663363739263652</v>
      </c>
      <c r="I110" s="258">
        <f>'18-19 NGGT'!I97</f>
        <v>38.166072267177746</v>
      </c>
      <c r="J110" s="258">
        <f>'18-19 NGGT'!J97</f>
        <v>38.821758225100261</v>
      </c>
      <c r="K110" s="258">
        <f>'18-19 NGGT'!K97</f>
        <v>39.417681323616755</v>
      </c>
      <c r="L110" s="258">
        <f>'18-19 NGGT'!L97</f>
        <v>306.74480978356434</v>
      </c>
      <c r="M110" s="53"/>
      <c r="N110" s="53"/>
    </row>
    <row r="111" spans="1:14">
      <c r="C111" s="257" t="s">
        <v>137</v>
      </c>
      <c r="D111" s="258">
        <f>'18-19 NGGT'!D98</f>
        <v>-21.229271838710645</v>
      </c>
      <c r="E111" s="258">
        <f>'18-19 NGGT'!E98</f>
        <v>-2.6975213594907501</v>
      </c>
      <c r="F111" s="258">
        <f>'18-19 NGGT'!F98</f>
        <v>4.1907181075761741</v>
      </c>
      <c r="G111" s="258">
        <f>'18-19 NGGT'!G98</f>
        <v>-1.1016304336073404</v>
      </c>
      <c r="H111" s="258">
        <f>'18-19 NGGT'!H98</f>
        <v>0</v>
      </c>
      <c r="I111" s="258">
        <f>'18-19 NGGT'!I98</f>
        <v>0</v>
      </c>
      <c r="J111" s="258">
        <f>'18-19 NGGT'!J98</f>
        <v>0</v>
      </c>
      <c r="K111" s="258">
        <f>'18-19 NGGT'!K98</f>
        <v>0</v>
      </c>
      <c r="L111" s="258">
        <f>'18-19 NGGT'!L98</f>
        <v>-20.837705524232547</v>
      </c>
      <c r="M111" s="53"/>
      <c r="N111" s="53"/>
    </row>
    <row r="112" spans="1:14">
      <c r="C112" s="286" t="s">
        <v>50</v>
      </c>
      <c r="D112" s="287">
        <f>'18-19 NGGT'!D99</f>
        <v>76.357700126505165</v>
      </c>
      <c r="E112" s="287">
        <f>'18-19 NGGT'!E99</f>
        <v>75.938031741043545</v>
      </c>
      <c r="F112" s="287">
        <f>'18-19 NGGT'!F99</f>
        <v>80.047676167024406</v>
      </c>
      <c r="G112" s="287">
        <f>'18-19 NGGT'!G99</f>
        <v>75.691727717931258</v>
      </c>
      <c r="H112" s="287">
        <f>'18-19 NGGT'!H99</f>
        <v>67.756207136530833</v>
      </c>
      <c r="I112" s="287">
        <f>'18-19 NGGT'!I99</f>
        <v>68.691286822084166</v>
      </c>
      <c r="J112" s="287">
        <f>'18-19 NGGT'!J99</f>
        <v>71.545694750116525</v>
      </c>
      <c r="K112" s="287">
        <f>'18-19 NGGT'!K99</f>
        <v>67.539134241540282</v>
      </c>
      <c r="L112" s="287">
        <f>'18-19 NGGT'!L99</f>
        <v>583.56745870277621</v>
      </c>
      <c r="M112" s="53"/>
      <c r="N112" s="53"/>
    </row>
    <row r="113" spans="1:16">
      <c r="C113" s="257"/>
      <c r="D113" s="258"/>
      <c r="E113" s="258"/>
      <c r="F113" s="258"/>
      <c r="G113" s="258"/>
      <c r="H113" s="258"/>
      <c r="I113" s="258"/>
      <c r="J113" s="258"/>
      <c r="K113" s="258"/>
      <c r="L113" s="258"/>
      <c r="M113" s="53"/>
      <c r="N113" s="53"/>
    </row>
    <row r="114" spans="1:16" ht="13.8" thickBot="1">
      <c r="C114" s="288" t="s">
        <v>51</v>
      </c>
      <c r="D114" s="289">
        <f>'18-19 NGGT'!D101</f>
        <v>271.7560265314828</v>
      </c>
      <c r="E114" s="289">
        <f>'18-19 NGGT'!E101</f>
        <v>266.00066165139168</v>
      </c>
      <c r="F114" s="289">
        <f>'18-19 NGGT'!F101</f>
        <v>271.71878841946909</v>
      </c>
      <c r="G114" s="289">
        <f>'18-19 NGGT'!G101</f>
        <v>296.42089717835472</v>
      </c>
      <c r="H114" s="289">
        <f>'18-19 NGGT'!H101</f>
        <v>328.32342015270262</v>
      </c>
      <c r="I114" s="289">
        <f>'18-19 NGGT'!I101</f>
        <v>308.57500636443029</v>
      </c>
      <c r="J114" s="289">
        <f>'18-19 NGGT'!J101</f>
        <v>274.88513203432399</v>
      </c>
      <c r="K114" s="289">
        <f>'18-19 NGGT'!K101</f>
        <v>242.61484662180328</v>
      </c>
      <c r="L114" s="289">
        <f>'18-19 NGGT'!L101</f>
        <v>2260.2947789539585</v>
      </c>
      <c r="M114" s="53"/>
      <c r="N114" s="53"/>
    </row>
    <row r="115" spans="1:16">
      <c r="C115" s="12"/>
      <c r="D115" s="308"/>
      <c r="E115" s="308"/>
      <c r="F115" s="308"/>
      <c r="G115" s="308"/>
      <c r="H115" s="308"/>
      <c r="I115" s="308"/>
      <c r="J115" s="308"/>
      <c r="K115" s="308"/>
      <c r="L115" s="308"/>
      <c r="M115" s="308"/>
      <c r="N115" s="308"/>
      <c r="O115" s="53"/>
      <c r="P115" s="53"/>
    </row>
    <row r="116" spans="1:16" ht="13.8" thickBot="1">
      <c r="A116" s="38" t="s">
        <v>409</v>
      </c>
      <c r="C116" s="288"/>
    </row>
    <row r="117" spans="1:16" ht="13.8" thickBot="1">
      <c r="C117" s="288" t="s">
        <v>140</v>
      </c>
      <c r="D117" s="324"/>
      <c r="E117" s="534"/>
      <c r="F117" s="534"/>
      <c r="G117" s="325"/>
      <c r="H117" s="323"/>
    </row>
    <row r="118" spans="1:16" ht="13.8" thickBot="1">
      <c r="C118" s="288" t="s">
        <v>58</v>
      </c>
      <c r="D118" s="302" t="s">
        <v>59</v>
      </c>
      <c r="E118" s="302" t="s">
        <v>60</v>
      </c>
      <c r="F118" s="284" t="s">
        <v>61</v>
      </c>
      <c r="G118" s="284" t="s">
        <v>62</v>
      </c>
      <c r="H118" s="284" t="s">
        <v>63</v>
      </c>
      <c r="I118" s="284" t="s">
        <v>64</v>
      </c>
      <c r="J118" s="284" t="s">
        <v>65</v>
      </c>
      <c r="K118" s="284" t="s">
        <v>66</v>
      </c>
    </row>
    <row r="119" spans="1:16">
      <c r="C119" s="257" t="s">
        <v>91</v>
      </c>
      <c r="D119" s="258">
        <f>'18-19 NGGT'!D106</f>
        <v>4615.060328174176</v>
      </c>
      <c r="E119" s="258">
        <f>'18-19 NGGT'!E106</f>
        <v>4700.1237451952838</v>
      </c>
      <c r="F119" s="258">
        <f>'18-19 NGGT'!F106</f>
        <v>4719.0724457798606</v>
      </c>
      <c r="G119" s="258">
        <f>'18-19 NGGT'!G106</f>
        <v>4778.0909984079944</v>
      </c>
      <c r="H119" s="258">
        <f>'18-19 NGGT'!H106</f>
        <v>4889.665477896132</v>
      </c>
      <c r="I119" s="258">
        <f>'18-19 NGGT'!I106</f>
        <v>4980.0395706639174</v>
      </c>
      <c r="J119" s="258">
        <f>'18-19 NGGT'!J106</f>
        <v>5002.9556865511659</v>
      </c>
      <c r="K119" s="258">
        <f>'18-19 NGGT'!K106</f>
        <v>4975.8945652817574</v>
      </c>
    </row>
    <row r="120" spans="1:16">
      <c r="C120" s="257" t="s">
        <v>86</v>
      </c>
      <c r="D120" s="258">
        <f>'18-19 NGGT'!D107</f>
        <v>241.81979004918438</v>
      </c>
      <c r="E120" s="258">
        <f>'18-19 NGGT'!E107</f>
        <v>182.49469376016035</v>
      </c>
      <c r="F120" s="258">
        <f>'18-19 NGGT'!F107</f>
        <v>226.80449370288852</v>
      </c>
      <c r="G120" s="258">
        <f>'18-19 NGGT'!G107</f>
        <v>285.25266598417483</v>
      </c>
      <c r="H120" s="258">
        <f>'18-19 NGGT'!H107</f>
        <v>270.68665313575389</v>
      </c>
      <c r="I120" s="258">
        <f>'18-19 NGGT'!I107</f>
        <v>209.31330165785178</v>
      </c>
      <c r="J120" s="258">
        <f>'18-19 NGGT'!J107</f>
        <v>163.7606615220291</v>
      </c>
      <c r="K120" s="258">
        <f>'18-19 NGGT'!K107</f>
        <v>139.6461196115533</v>
      </c>
    </row>
    <row r="121" spans="1:16">
      <c r="C121" s="257" t="s">
        <v>87</v>
      </c>
      <c r="D121" s="258">
        <f>'18-19 NGGT'!D108</f>
        <v>-156.75637302807576</v>
      </c>
      <c r="E121" s="258">
        <f>'18-19 NGGT'!E108</f>
        <v>-163.54599317558308</v>
      </c>
      <c r="F121" s="258">
        <f>'18-19 NGGT'!F108</f>
        <v>-167.78594107475482</v>
      </c>
      <c r="G121" s="258">
        <f>'18-19 NGGT'!G108</f>
        <v>-173.67818649603672</v>
      </c>
      <c r="H121" s="258">
        <f>'18-19 NGGT'!H108</f>
        <v>-180.31256036796827</v>
      </c>
      <c r="I121" s="258">
        <f>'18-19 NGGT'!I108</f>
        <v>-186.39718577060319</v>
      </c>
      <c r="J121" s="258">
        <f>'18-19 NGGT'!J108</f>
        <v>-190.82178279143702</v>
      </c>
      <c r="K121" s="258">
        <f>'18-19 NGGT'!K108</f>
        <v>-192.54164389755618</v>
      </c>
    </row>
    <row r="122" spans="1:16" ht="13.8" thickBot="1">
      <c r="C122" s="288" t="s">
        <v>94</v>
      </c>
      <c r="D122" s="289">
        <f>'18-19 NGGT'!D109</f>
        <v>4700.1237451952838</v>
      </c>
      <c r="E122" s="289">
        <f>'18-19 NGGT'!E109</f>
        <v>4719.0724457798606</v>
      </c>
      <c r="F122" s="289">
        <f>'18-19 NGGT'!F109</f>
        <v>4778.0909984079944</v>
      </c>
      <c r="G122" s="289">
        <f>'18-19 NGGT'!G109</f>
        <v>4889.665477896132</v>
      </c>
      <c r="H122" s="289">
        <f>'18-19 NGGT'!H109</f>
        <v>4980.0395706639174</v>
      </c>
      <c r="I122" s="289">
        <f>'18-19 NGGT'!I109</f>
        <v>5002.9556865511659</v>
      </c>
      <c r="J122" s="289">
        <f>'18-19 NGGT'!J109</f>
        <v>4975.8945652817574</v>
      </c>
      <c r="K122" s="289">
        <f>'18-19 NGGT'!K109</f>
        <v>4922.9990409957545</v>
      </c>
    </row>
    <row r="123" spans="1:16" ht="13.8" thickBot="1">
      <c r="C123" s="288"/>
    </row>
    <row r="124" spans="1:16" ht="13.8" thickBot="1">
      <c r="C124" s="288" t="s">
        <v>141</v>
      </c>
    </row>
    <row r="125" spans="1:16" ht="13.8" thickBot="1">
      <c r="C125" s="288" t="s">
        <v>58</v>
      </c>
      <c r="D125" s="302" t="s">
        <v>59</v>
      </c>
      <c r="E125" s="302" t="s">
        <v>60</v>
      </c>
      <c r="F125" s="302" t="s">
        <v>61</v>
      </c>
      <c r="G125" s="302" t="s">
        <v>62</v>
      </c>
      <c r="H125" s="302" t="s">
        <v>63</v>
      </c>
      <c r="I125" s="302" t="s">
        <v>64</v>
      </c>
      <c r="J125" s="302" t="s">
        <v>65</v>
      </c>
      <c r="K125" s="302" t="s">
        <v>66</v>
      </c>
    </row>
    <row r="126" spans="1:16">
      <c r="C126" s="257" t="s">
        <v>142</v>
      </c>
      <c r="D126" s="258">
        <f>'18-19 NGGT'!D113</f>
        <v>94.224999999999994</v>
      </c>
      <c r="E126" s="258">
        <f>'18-19 NGGT'!E113</f>
        <v>87.484999999999999</v>
      </c>
      <c r="F126" s="258">
        <f>'18-19 NGGT'!F113</f>
        <v>79.322999999999993</v>
      </c>
      <c r="G126" s="258">
        <f>'18-19 NGGT'!G113</f>
        <v>58.722999999999999</v>
      </c>
      <c r="H126" s="258">
        <f>'18-19 NGGT'!H113</f>
        <v>3.3000000000000002E-2</v>
      </c>
      <c r="I126" s="258">
        <f>'18-19 NGGT'!I113</f>
        <v>3.3000000000000002E-2</v>
      </c>
      <c r="J126" s="258">
        <f>'18-19 NGGT'!J113</f>
        <v>0</v>
      </c>
      <c r="K126" s="258">
        <f>'18-19 NGGT'!K113</f>
        <v>0</v>
      </c>
    </row>
    <row r="127" spans="1:16" ht="13.8" thickBot="1">
      <c r="C127" s="291" t="s">
        <v>143</v>
      </c>
      <c r="D127" s="292">
        <f>'18-19 NGGT'!D114</f>
        <v>14.16619923431</v>
      </c>
      <c r="E127" s="292">
        <f>'18-19 NGGT'!E114</f>
        <v>26.016783731295874</v>
      </c>
      <c r="F127" s="292">
        <f>'18-19 NGGT'!F114</f>
        <v>69.473671529071126</v>
      </c>
      <c r="G127" s="292">
        <f>'18-19 NGGT'!G114</f>
        <v>108.4200133736822</v>
      </c>
      <c r="H127" s="292">
        <f>'18-19 NGGT'!H114</f>
        <v>69.349803718573156</v>
      </c>
      <c r="I127" s="292">
        <f>'18-19 NGGT'!I114</f>
        <v>20.779442706835688</v>
      </c>
      <c r="J127" s="292">
        <f>'18-19 NGGT'!J114</f>
        <v>0.81062265305823133</v>
      </c>
      <c r="K127" s="292">
        <f>'18-19 NGGT'!K114</f>
        <v>0</v>
      </c>
    </row>
    <row r="129" spans="1:14" ht="13.8" thickBot="1">
      <c r="C129" s="288"/>
    </row>
    <row r="130" spans="1:14" ht="13.8" thickBot="1">
      <c r="C130" s="288" t="s">
        <v>122</v>
      </c>
      <c r="D130" s="324"/>
      <c r="E130" s="534"/>
      <c r="F130" s="534"/>
      <c r="G130" s="325"/>
      <c r="H130" s="323"/>
    </row>
    <row r="131" spans="1:14" ht="13.8" thickBot="1">
      <c r="C131" s="288" t="s">
        <v>58</v>
      </c>
      <c r="D131" s="302" t="s">
        <v>59</v>
      </c>
      <c r="E131" s="302" t="s">
        <v>60</v>
      </c>
      <c r="F131" s="284" t="s">
        <v>61</v>
      </c>
      <c r="G131" s="284" t="s">
        <v>62</v>
      </c>
      <c r="H131" s="284" t="s">
        <v>63</v>
      </c>
      <c r="I131" s="284" t="s">
        <v>64</v>
      </c>
      <c r="J131" s="284" t="s">
        <v>65</v>
      </c>
      <c r="K131" s="284" t="s">
        <v>66</v>
      </c>
    </row>
    <row r="132" spans="1:14">
      <c r="C132" s="257" t="s">
        <v>91</v>
      </c>
      <c r="D132" s="258">
        <f>'18-19 NGGT'!D119</f>
        <v>53.000554975302876</v>
      </c>
      <c r="E132" s="258">
        <f>'18-19 NGGT'!E119</f>
        <v>68.058245291790399</v>
      </c>
      <c r="F132" s="258">
        <f>'18-19 NGGT'!F119</f>
        <v>82.256502556764943</v>
      </c>
      <c r="G132" s="258">
        <f>'18-19 NGGT'!G119</f>
        <v>95.503391517773579</v>
      </c>
      <c r="H132" s="258">
        <f>'18-19 NGGT'!H119</f>
        <v>103.93098942692654</v>
      </c>
      <c r="I132" s="258">
        <f>'18-19 NGGT'!I119</f>
        <v>106.79345890056341</v>
      </c>
      <c r="J132" s="258">
        <f>'18-19 NGGT'!J119</f>
        <v>107.70041672668867</v>
      </c>
      <c r="K132" s="258">
        <f>'18-19 NGGT'!K119</f>
        <v>107.6580962435617</v>
      </c>
    </row>
    <row r="133" spans="1:14">
      <c r="C133" s="257" t="s">
        <v>84</v>
      </c>
      <c r="D133" s="258">
        <f>'GT workings 18-19'!D255</f>
        <v>-2.9550550399825672</v>
      </c>
      <c r="E133" s="258"/>
      <c r="F133" s="258"/>
      <c r="G133" s="258"/>
      <c r="H133" s="258"/>
      <c r="I133" s="258"/>
      <c r="J133" s="258"/>
      <c r="K133" s="258"/>
    </row>
    <row r="134" spans="1:14">
      <c r="C134" s="257" t="s">
        <v>86</v>
      </c>
      <c r="D134" s="258">
        <f>'18-19 NGGT'!D120-D133</f>
        <v>28.557779847312933</v>
      </c>
      <c r="E134" s="258">
        <f>'18-19 NGGT'!E120-E133</f>
        <v>28.400823871150287</v>
      </c>
      <c r="F134" s="258">
        <f>'18-19 NGGT'!F120-F133</f>
        <v>29.937830886467122</v>
      </c>
      <c r="G134" s="258">
        <f>'18-19 NGGT'!G120-G133</f>
        <v>28.30870616650629</v>
      </c>
      <c r="H134" s="258">
        <f>'18-19 NGGT'!H120-H133</f>
        <v>25.340821469062533</v>
      </c>
      <c r="I134" s="258">
        <f>'18-19 NGGT'!I120-I133</f>
        <v>25.690541271459477</v>
      </c>
      <c r="J134" s="258">
        <f>'18-19 NGGT'!J120-J133</f>
        <v>26.758089836543586</v>
      </c>
      <c r="K134" s="258">
        <f>'18-19 NGGT'!K120-K133</f>
        <v>25.259636206336072</v>
      </c>
    </row>
    <row r="135" spans="1:14">
      <c r="C135" s="257" t="s">
        <v>87</v>
      </c>
      <c r="D135" s="258">
        <f>'18-19 NGGT'!D121</f>
        <v>-10.545034490842841</v>
      </c>
      <c r="E135" s="258">
        <f>'18-19 NGGT'!E121</f>
        <v>-14.202566606175751</v>
      </c>
      <c r="F135" s="258">
        <f>'18-19 NGGT'!F121</f>
        <v>-16.690941925458485</v>
      </c>
      <c r="G135" s="258">
        <f>'18-19 NGGT'!G121</f>
        <v>-19.881108257353329</v>
      </c>
      <c r="H135" s="258">
        <f>'18-19 NGGT'!H121</f>
        <v>-22.478351995425655</v>
      </c>
      <c r="I135" s="258">
        <f>'18-19 NGGT'!I121</f>
        <v>-24.783583445334209</v>
      </c>
      <c r="J135" s="258">
        <f>'18-19 NGGT'!J121</f>
        <v>-26.800410319670544</v>
      </c>
      <c r="K135" s="258">
        <f>'18-19 NGGT'!K121</f>
        <v>-27.14850547264567</v>
      </c>
    </row>
    <row r="136" spans="1:14" ht="13.8" thickBot="1">
      <c r="C136" s="288" t="s">
        <v>94</v>
      </c>
      <c r="D136" s="289">
        <f>'18-19 NGGT'!D122</f>
        <v>68.058245291790399</v>
      </c>
      <c r="E136" s="289">
        <f>'18-19 NGGT'!E122</f>
        <v>82.256502556764943</v>
      </c>
      <c r="F136" s="289">
        <f>'18-19 NGGT'!F122</f>
        <v>95.503391517773579</v>
      </c>
      <c r="G136" s="289">
        <f>'18-19 NGGT'!G122</f>
        <v>103.93098942692654</v>
      </c>
      <c r="H136" s="289">
        <f>'18-19 NGGT'!H122</f>
        <v>106.79345890056341</v>
      </c>
      <c r="I136" s="289">
        <f>'18-19 NGGT'!I122</f>
        <v>107.70041672668867</v>
      </c>
      <c r="J136" s="289">
        <f>'18-19 NGGT'!J122</f>
        <v>107.6580962435617</v>
      </c>
      <c r="K136" s="289">
        <f>'18-19 NGGT'!K122</f>
        <v>105.76922697725212</v>
      </c>
    </row>
    <row r="138" spans="1:14" ht="13.8" thickBot="1">
      <c r="A138" s="38" t="s">
        <v>410</v>
      </c>
      <c r="C138" s="288"/>
    </row>
    <row r="139" spans="1:14" ht="13.8" thickBot="1">
      <c r="C139" s="288" t="s">
        <v>117</v>
      </c>
      <c r="D139" s="324"/>
      <c r="E139" s="534"/>
      <c r="F139" s="534"/>
      <c r="G139" s="325"/>
      <c r="H139" s="323"/>
    </row>
    <row r="140" spans="1:14" ht="13.8" thickBot="1">
      <c r="C140" s="288" t="s">
        <v>58</v>
      </c>
      <c r="D140" s="302" t="s">
        <v>59</v>
      </c>
      <c r="E140" s="302" t="s">
        <v>60</v>
      </c>
      <c r="F140" s="284" t="s">
        <v>61</v>
      </c>
      <c r="G140" s="284" t="s">
        <v>62</v>
      </c>
      <c r="H140" s="284" t="s">
        <v>63</v>
      </c>
      <c r="I140" s="284" t="s">
        <v>64</v>
      </c>
      <c r="J140" s="284" t="s">
        <v>65</v>
      </c>
      <c r="K140" s="284" t="s">
        <v>66</v>
      </c>
      <c r="L140" s="284" t="s">
        <v>118</v>
      </c>
    </row>
    <row r="141" spans="1:14">
      <c r="C141" s="257"/>
      <c r="D141" s="258"/>
      <c r="E141" s="258"/>
      <c r="F141" s="258"/>
      <c r="G141" s="258"/>
      <c r="H141" s="258"/>
      <c r="I141" s="258"/>
      <c r="J141" s="258"/>
      <c r="K141" s="258"/>
      <c r="L141" s="293"/>
    </row>
    <row r="142" spans="1:14">
      <c r="A142" t="s">
        <v>338</v>
      </c>
      <c r="C142" s="257" t="s">
        <v>119</v>
      </c>
      <c r="D142" s="258">
        <f>'Baseline NGGT'!D126</f>
        <v>40.890021141667965</v>
      </c>
      <c r="E142" s="258">
        <f>'Baseline NGGT'!E126</f>
        <v>32.351829890223328</v>
      </c>
      <c r="F142" s="258">
        <f>'Baseline NGGT'!F126</f>
        <v>25.116516710766533</v>
      </c>
      <c r="G142" s="258">
        <f>'Baseline NGGT'!G126</f>
        <v>24.687879003225049</v>
      </c>
      <c r="H142" s="258">
        <f>'Baseline NGGT'!H126</f>
        <v>22.172921559294188</v>
      </c>
      <c r="I142" s="258">
        <f>'Baseline NGGT'!I126</f>
        <v>18.014704063893184</v>
      </c>
      <c r="J142" s="258">
        <f>'Baseline NGGT'!J126</f>
        <v>19.248419251200154</v>
      </c>
      <c r="K142" s="258">
        <f>'Baseline NGGT'!K126</f>
        <v>16.625252452632346</v>
      </c>
      <c r="L142" s="327">
        <f>'Baseline NGGT'!L126</f>
        <v>199.10754407290273</v>
      </c>
      <c r="N142" s="53"/>
    </row>
    <row r="143" spans="1:14">
      <c r="C143" s="257" t="s">
        <v>120</v>
      </c>
      <c r="D143" s="258">
        <f>'Baseline NGGT'!D127</f>
        <v>44.096952058814921</v>
      </c>
      <c r="E143" s="258">
        <f>'Baseline NGGT'!E127</f>
        <v>46.269433311823683</v>
      </c>
      <c r="F143" s="258">
        <f>'Baseline NGGT'!F127</f>
        <v>50.602500247903464</v>
      </c>
      <c r="G143" s="258">
        <f>'Baseline NGGT'!G127</f>
        <v>51.965523419215508</v>
      </c>
      <c r="H143" s="258">
        <f>'Baseline NGGT'!H127</f>
        <v>51.12111996589703</v>
      </c>
      <c r="I143" s="258">
        <f>'Baseline NGGT'!I127</f>
        <v>49.539820913563602</v>
      </c>
      <c r="J143" s="258">
        <f>'Baseline NGGT'!J127</f>
        <v>48.655604989055703</v>
      </c>
      <c r="K143" s="258">
        <f>'Baseline NGGT'!K127</f>
        <v>49.763707375013652</v>
      </c>
      <c r="L143" s="327">
        <f>'Baseline NGGT'!L127</f>
        <v>392.01466228128754</v>
      </c>
      <c r="N143" s="53"/>
    </row>
    <row r="144" spans="1:14">
      <c r="C144" s="286" t="s">
        <v>71</v>
      </c>
      <c r="D144" s="287">
        <f>SUM(D142:D143)</f>
        <v>84.986973200482879</v>
      </c>
      <c r="E144" s="287">
        <f t="shared" ref="E144:L144" si="7">SUM(E142:E143)</f>
        <v>78.621263202047004</v>
      </c>
      <c r="F144" s="287">
        <f t="shared" si="7"/>
        <v>75.719016958669997</v>
      </c>
      <c r="G144" s="287">
        <f t="shared" si="7"/>
        <v>76.653402422440564</v>
      </c>
      <c r="H144" s="287">
        <f t="shared" si="7"/>
        <v>73.294041525191219</v>
      </c>
      <c r="I144" s="287">
        <f t="shared" si="7"/>
        <v>67.554524977456794</v>
      </c>
      <c r="J144" s="287">
        <f t="shared" si="7"/>
        <v>67.904024240255865</v>
      </c>
      <c r="K144" s="287">
        <f t="shared" si="7"/>
        <v>66.388959827646005</v>
      </c>
      <c r="L144" s="287">
        <f t="shared" si="7"/>
        <v>591.12220635419021</v>
      </c>
      <c r="N144" s="53"/>
    </row>
    <row r="145" spans="1:14">
      <c r="C145" s="257" t="s">
        <v>72</v>
      </c>
      <c r="D145" s="258">
        <f>D146-D144</f>
        <v>12.599998764732931</v>
      </c>
      <c r="E145" s="258">
        <f t="shared" ref="E145:L145" si="8">E146-E144</f>
        <v>1.4289898487291453E-2</v>
      </c>
      <c r="F145" s="258">
        <f t="shared" si="8"/>
        <v>0.13794110077823518</v>
      </c>
      <c r="G145" s="258">
        <f t="shared" si="8"/>
        <v>0.139955729098034</v>
      </c>
      <c r="H145" s="258">
        <f t="shared" si="8"/>
        <v>-5.5378343886603858</v>
      </c>
      <c r="I145" s="258">
        <f t="shared" si="8"/>
        <v>1.1367618446273582</v>
      </c>
      <c r="J145" s="258">
        <f t="shared" si="8"/>
        <v>3.6416705098606741</v>
      </c>
      <c r="K145" s="258">
        <f t="shared" si="8"/>
        <v>1.1501744138942769</v>
      </c>
      <c r="L145" s="327">
        <f t="shared" si="8"/>
        <v>13.282957872818656</v>
      </c>
      <c r="N145" s="53"/>
    </row>
    <row r="146" spans="1:14">
      <c r="C146" s="286" t="s">
        <v>73</v>
      </c>
      <c r="D146" s="287">
        <f>'18-19 NGGT'!D130</f>
        <v>97.58697196521581</v>
      </c>
      <c r="E146" s="287">
        <f>'18-19 NGGT'!E130</f>
        <v>78.635553100534295</v>
      </c>
      <c r="F146" s="287">
        <f>'18-19 NGGT'!F130</f>
        <v>75.856958059448232</v>
      </c>
      <c r="G146" s="287">
        <f>'18-19 NGGT'!G130</f>
        <v>76.793358151538598</v>
      </c>
      <c r="H146" s="287">
        <f>'18-19 NGGT'!H130</f>
        <v>67.756207136530833</v>
      </c>
      <c r="I146" s="287">
        <f>'18-19 NGGT'!I130</f>
        <v>68.691286822084152</v>
      </c>
      <c r="J146" s="287">
        <f>'18-19 NGGT'!J130</f>
        <v>71.545694750116539</v>
      </c>
      <c r="K146" s="287">
        <f>'18-19 NGGT'!K130</f>
        <v>67.539134241540282</v>
      </c>
      <c r="L146" s="287">
        <f>'18-19 NGGT'!L130</f>
        <v>604.40516422700887</v>
      </c>
    </row>
    <row r="147" spans="1:14">
      <c r="C147" s="286"/>
      <c r="D147" s="287"/>
      <c r="E147" s="287"/>
      <c r="F147" s="287"/>
      <c r="G147" s="287"/>
      <c r="H147" s="287"/>
      <c r="I147" s="287"/>
      <c r="J147" s="287"/>
      <c r="K147" s="287"/>
      <c r="L147" s="285"/>
    </row>
    <row r="148" spans="1:14">
      <c r="A148" t="s">
        <v>346</v>
      </c>
      <c r="C148" s="257" t="s">
        <v>121</v>
      </c>
      <c r="D148" s="258">
        <f>'18-19 NGGT'!D131</f>
        <v>17.731744589197316</v>
      </c>
      <c r="E148" s="258">
        <f>'18-19 NGGT'!E131</f>
        <v>27.268015469872026</v>
      </c>
      <c r="F148" s="258">
        <f>'18-19 NGGT'!F131</f>
        <v>35.751531838303166</v>
      </c>
      <c r="G148" s="258">
        <f>'18-19 NGGT'!G131</f>
        <v>26.812442267587734</v>
      </c>
      <c r="H148" s="258">
        <f>'18-19 NGGT'!H131</f>
        <v>20.099300749501893</v>
      </c>
      <c r="I148" s="258">
        <f>'18-19 NGGT'!I131</f>
        <v>18.370054167807943</v>
      </c>
      <c r="J148" s="258">
        <f>'18-19 NGGT'!J131</f>
        <v>20.325072912537021</v>
      </c>
      <c r="K148" s="258">
        <f>'18-19 NGGT'!K131</f>
        <v>16.93350083160648</v>
      </c>
      <c r="L148" s="327">
        <f>'18-19 NGGT'!L131</f>
        <v>183.29166282641359</v>
      </c>
      <c r="N148" s="53"/>
    </row>
    <row r="149" spans="1:14">
      <c r="C149" s="257" t="s">
        <v>76</v>
      </c>
      <c r="D149" s="258">
        <f>'18-19 NGGT'!D132</f>
        <v>41.700533201484639</v>
      </c>
      <c r="E149" s="258">
        <f>'18-19 NGGT'!E132</f>
        <v>46.519368400808283</v>
      </c>
      <c r="F149" s="258">
        <f>'18-19 NGGT'!F132</f>
        <v>47.637270411612654</v>
      </c>
      <c r="G149" s="258">
        <f>'18-19 NGGT'!G132</f>
        <v>48.000990589904603</v>
      </c>
      <c r="H149" s="258">
        <f>'18-19 NGGT'!H132</f>
        <v>47.65690638702894</v>
      </c>
      <c r="I149" s="258">
        <f>'18-19 NGGT'!I132</f>
        <v>50.321232654276216</v>
      </c>
      <c r="J149" s="258">
        <f>'18-19 NGGT'!J132</f>
        <v>51.220621837579515</v>
      </c>
      <c r="K149" s="258">
        <f>'18-19 NGGT'!K132</f>
        <v>50.605633409933802</v>
      </c>
      <c r="L149" s="327">
        <f>'18-19 NGGT'!L132</f>
        <v>383.66255689262869</v>
      </c>
      <c r="N149" s="53"/>
    </row>
    <row r="150" spans="1:14">
      <c r="C150" s="286" t="s">
        <v>77</v>
      </c>
      <c r="D150" s="287">
        <f>'18-19 NGGT'!D133</f>
        <v>59.432277790681951</v>
      </c>
      <c r="E150" s="287">
        <f>'18-19 NGGT'!E133</f>
        <v>73.787383870680316</v>
      </c>
      <c r="F150" s="287">
        <f>'18-19 NGGT'!F133</f>
        <v>83.388802249915813</v>
      </c>
      <c r="G150" s="287">
        <f>'18-19 NGGT'!G133</f>
        <v>74.81343285749233</v>
      </c>
      <c r="H150" s="287">
        <f>'18-19 NGGT'!H133</f>
        <v>67.756207136530833</v>
      </c>
      <c r="I150" s="287">
        <f>'18-19 NGGT'!I133</f>
        <v>68.691286822084152</v>
      </c>
      <c r="J150" s="287">
        <f>'18-19 NGGT'!J133</f>
        <v>71.545694750116539</v>
      </c>
      <c r="K150" s="287">
        <f>'18-19 NGGT'!K133</f>
        <v>67.539134241540282</v>
      </c>
      <c r="L150" s="285">
        <f>'18-19 NGGT'!L133</f>
        <v>566.95421971904216</v>
      </c>
    </row>
    <row r="151" spans="1:14">
      <c r="C151" s="257"/>
      <c r="D151" s="258"/>
      <c r="E151" s="258"/>
      <c r="F151" s="258"/>
      <c r="G151" s="258"/>
      <c r="H151" s="258"/>
      <c r="I151" s="258"/>
      <c r="J151" s="258"/>
      <c r="K151" s="258"/>
      <c r="L151" s="285"/>
      <c r="N151" s="53"/>
    </row>
    <row r="152" spans="1:14">
      <c r="C152" s="286" t="s">
        <v>78</v>
      </c>
      <c r="D152" s="287">
        <f>'18-19 NGGT'!D136</f>
        <v>76.357700126505165</v>
      </c>
      <c r="E152" s="287">
        <f>'18-19 NGGT'!E136</f>
        <v>75.938031741043545</v>
      </c>
      <c r="F152" s="287">
        <f>'18-19 NGGT'!F136</f>
        <v>80.047676167024406</v>
      </c>
      <c r="G152" s="287">
        <f>'18-19 NGGT'!G136</f>
        <v>75.691727717931258</v>
      </c>
      <c r="H152" s="287">
        <f>'18-19 NGGT'!H136</f>
        <v>67.756207136530833</v>
      </c>
      <c r="I152" s="287">
        <f>'18-19 NGGT'!I136</f>
        <v>68.691286822084152</v>
      </c>
      <c r="J152" s="287">
        <f>'18-19 NGGT'!J136</f>
        <v>71.545694750116539</v>
      </c>
      <c r="K152" s="287">
        <f>'18-19 NGGT'!K136</f>
        <v>67.539134241540282</v>
      </c>
      <c r="L152" s="285">
        <f>'18-19 NGGT'!L136</f>
        <v>583.56745870277632</v>
      </c>
    </row>
    <row r="153" spans="1:14">
      <c r="C153" s="257" t="s">
        <v>79</v>
      </c>
      <c r="D153" s="258">
        <f>'18-19 NGGT'!D138</f>
        <v>47.799920279192236</v>
      </c>
      <c r="E153" s="258">
        <f>'18-19 NGGT'!E138</f>
        <v>47.537207869893258</v>
      </c>
      <c r="F153" s="258">
        <f>'18-19 NGGT'!F138</f>
        <v>50.109845280557266</v>
      </c>
      <c r="G153" s="258">
        <f>'18-19 NGGT'!G138</f>
        <v>47.383021551424967</v>
      </c>
      <c r="H153" s="258">
        <f>'18-19 NGGT'!H138</f>
        <v>42.4153856674683</v>
      </c>
      <c r="I153" s="258">
        <f>'18-19 NGGT'!I138</f>
        <v>43.000745550624686</v>
      </c>
      <c r="J153" s="258">
        <f>'18-19 NGGT'!J138</f>
        <v>44.787604913572956</v>
      </c>
      <c r="K153" s="258">
        <f>'18-19 NGGT'!K138</f>
        <v>42.279498035204227</v>
      </c>
      <c r="L153" s="327">
        <f>'18-19 NGGT'!L138</f>
        <v>365.31322914793793</v>
      </c>
    </row>
    <row r="154" spans="1:14" ht="13.8" thickBot="1">
      <c r="C154" s="291" t="s">
        <v>80</v>
      </c>
      <c r="D154" s="292">
        <f>'18-19 NGGT'!D139</f>
        <v>28.557779847312933</v>
      </c>
      <c r="E154" s="292">
        <f>'18-19 NGGT'!E139</f>
        <v>28.400823871150287</v>
      </c>
      <c r="F154" s="292">
        <f>'18-19 NGGT'!F139</f>
        <v>29.937830886467122</v>
      </c>
      <c r="G154" s="292">
        <f>'18-19 NGGT'!G139</f>
        <v>28.30870616650629</v>
      </c>
      <c r="H154" s="292">
        <f>'18-19 NGGT'!H139</f>
        <v>25.340821469062533</v>
      </c>
      <c r="I154" s="292">
        <f>'18-19 NGGT'!I139</f>
        <v>25.690541271459477</v>
      </c>
      <c r="J154" s="292">
        <f>'18-19 NGGT'!J139</f>
        <v>26.758089836543586</v>
      </c>
      <c r="K154" s="292">
        <f>'18-19 NGGT'!K139</f>
        <v>25.259636206336072</v>
      </c>
      <c r="L154" s="328">
        <f>'18-19 NGGT'!L139</f>
        <v>218.2542295548383</v>
      </c>
      <c r="N154" s="227"/>
    </row>
    <row r="155" spans="1:14" ht="13.8" thickBot="1">
      <c r="C155" s="288"/>
    </row>
    <row r="156" spans="1:14" ht="13.8" thickBot="1">
      <c r="A156" s="38" t="s">
        <v>409</v>
      </c>
      <c r="C156" s="288" t="s">
        <v>125</v>
      </c>
      <c r="D156" s="324"/>
      <c r="E156" s="534"/>
      <c r="F156" s="534"/>
      <c r="G156" s="325"/>
      <c r="H156" s="323"/>
    </row>
    <row r="157" spans="1:14" ht="13.8" thickBot="1">
      <c r="C157" s="288" t="s">
        <v>58</v>
      </c>
      <c r="D157" s="302" t="s">
        <v>59</v>
      </c>
      <c r="E157" s="302" t="s">
        <v>60</v>
      </c>
      <c r="F157" s="284" t="s">
        <v>61</v>
      </c>
      <c r="G157" s="284" t="s">
        <v>62</v>
      </c>
      <c r="H157" s="284" t="s">
        <v>63</v>
      </c>
      <c r="I157" s="284" t="s">
        <v>64</v>
      </c>
      <c r="J157" s="284" t="s">
        <v>65</v>
      </c>
      <c r="K157" s="284" t="s">
        <v>66</v>
      </c>
    </row>
    <row r="158" spans="1:14">
      <c r="C158" s="257" t="s">
        <v>79</v>
      </c>
      <c r="D158" s="258">
        <f>'18-19 NGGT'!D144</f>
        <v>47.799920279192236</v>
      </c>
      <c r="E158" s="258">
        <f>'18-19 NGGT'!E144</f>
        <v>47.537207869893258</v>
      </c>
      <c r="F158" s="258">
        <f>'18-19 NGGT'!F144</f>
        <v>50.109845280557266</v>
      </c>
      <c r="G158" s="258">
        <f>'18-19 NGGT'!G144</f>
        <v>47.383021551424967</v>
      </c>
      <c r="H158" s="258">
        <f>'18-19 NGGT'!H144</f>
        <v>42.4153856674683</v>
      </c>
      <c r="I158" s="258">
        <f>'18-19 NGGT'!I144</f>
        <v>43.000745550624686</v>
      </c>
      <c r="J158" s="258">
        <f>'18-19 NGGT'!J144</f>
        <v>44.787604913572956</v>
      </c>
      <c r="K158" s="258">
        <f>'18-19 NGGT'!K144</f>
        <v>42.279498035204227</v>
      </c>
    </row>
    <row r="159" spans="1:14">
      <c r="C159" s="257" t="s">
        <v>98</v>
      </c>
      <c r="D159" s="258">
        <f>'18-19 NGGT'!D145</f>
        <v>0</v>
      </c>
      <c r="E159" s="258">
        <f>'18-19 NGGT'!E145</f>
        <v>0</v>
      </c>
      <c r="F159" s="258">
        <f>'18-19 NGGT'!F145</f>
        <v>0</v>
      </c>
      <c r="G159" s="258">
        <f>'18-19 NGGT'!G145</f>
        <v>0</v>
      </c>
      <c r="H159" s="258">
        <f>'18-19 NGGT'!H145</f>
        <v>0</v>
      </c>
      <c r="I159" s="258">
        <f>'18-19 NGGT'!I145</f>
        <v>0</v>
      </c>
      <c r="J159" s="258">
        <f>'18-19 NGGT'!J145</f>
        <v>0</v>
      </c>
      <c r="K159" s="258">
        <f>'18-19 NGGT'!K145</f>
        <v>0</v>
      </c>
    </row>
    <row r="160" spans="1:14">
      <c r="C160" s="257" t="s">
        <v>100</v>
      </c>
      <c r="D160" s="258">
        <f>'18-19 NGGT'!D146</f>
        <v>0</v>
      </c>
      <c r="E160" s="258">
        <f>'18-19 NGGT'!E146</f>
        <v>0</v>
      </c>
      <c r="F160" s="258">
        <f>'18-19 NGGT'!F146</f>
        <v>0</v>
      </c>
      <c r="G160" s="258">
        <f>'18-19 NGGT'!G146</f>
        <v>0</v>
      </c>
      <c r="H160" s="258">
        <f>'18-19 NGGT'!H146</f>
        <v>0</v>
      </c>
      <c r="I160" s="258">
        <f>'18-19 NGGT'!I146</f>
        <v>0</v>
      </c>
      <c r="J160" s="258">
        <f>'18-19 NGGT'!J146</f>
        <v>0</v>
      </c>
      <c r="K160" s="258">
        <f>'18-19 NGGT'!K146</f>
        <v>0</v>
      </c>
    </row>
    <row r="161" spans="3:22">
      <c r="C161" s="257" t="s">
        <v>101</v>
      </c>
      <c r="D161" s="258">
        <f>'18-19 NGGT'!D147</f>
        <v>-0.43181154987245485</v>
      </c>
      <c r="E161" s="258">
        <f>'18-19 NGGT'!E147</f>
        <v>-0.39947195996305995</v>
      </c>
      <c r="F161" s="258">
        <f>'18-19 NGGT'!F147</f>
        <v>-0.34734317043598018</v>
      </c>
      <c r="G161" s="258">
        <f>'18-19 NGGT'!G147</f>
        <v>-0.3193206524905472</v>
      </c>
      <c r="H161" s="258">
        <f>'18-19 NGGT'!H147</f>
        <v>-0.31265626882301373</v>
      </c>
      <c r="I161" s="258">
        <f>'18-19 NGGT'!I147</f>
        <v>-0.30799379948941219</v>
      </c>
      <c r="J161" s="258">
        <f>'18-19 NGGT'!J147</f>
        <v>-0.32570922921081308</v>
      </c>
      <c r="K161" s="258">
        <f>'18-19 NGGT'!K147</f>
        <v>-0.31552026220892354</v>
      </c>
    </row>
    <row r="162" spans="3:22">
      <c r="C162" s="257" t="s">
        <v>102</v>
      </c>
      <c r="D162" s="258">
        <f>'18-19 NGGT'!D148</f>
        <v>1.1188128912606656</v>
      </c>
      <c r="E162" s="258">
        <f>'18-19 NGGT'!E148</f>
        <v>0.12169954124171645</v>
      </c>
      <c r="F162" s="258">
        <f>'18-19 NGGT'!F148</f>
        <v>0.37849473578258813</v>
      </c>
      <c r="G162" s="258">
        <f>'18-19 NGGT'!G148</f>
        <v>0.18159073794886388</v>
      </c>
      <c r="H162" s="258">
        <f>'18-19 NGGT'!H148</f>
        <v>0</v>
      </c>
      <c r="I162" s="258">
        <f>'18-19 NGGT'!I148</f>
        <v>0</v>
      </c>
      <c r="J162" s="258">
        <f>'18-19 NGGT'!J148</f>
        <v>0.60495909256208624</v>
      </c>
      <c r="K162" s="258">
        <f>'18-19 NGGT'!K148</f>
        <v>0.64561400166406102</v>
      </c>
    </row>
    <row r="163" spans="3:22">
      <c r="C163" s="257" t="s">
        <v>103</v>
      </c>
      <c r="D163" s="258">
        <f>'18-19 NGGT'!D149</f>
        <v>13.130792041234576</v>
      </c>
      <c r="E163" s="258">
        <f>'18-19 NGGT'!E149</f>
        <v>17.325495617745005</v>
      </c>
      <c r="F163" s="258">
        <f>'18-19 NGGT'!F149</f>
        <v>20.295174290794634</v>
      </c>
      <c r="G163" s="258">
        <f>'18-19 NGGT'!G149</f>
        <v>23.82576623595752</v>
      </c>
      <c r="H163" s="258">
        <f>'18-19 NGGT'!H149</f>
        <v>26.547339985587723</v>
      </c>
      <c r="I163" s="258">
        <f>'18-19 NGGT'!I149</f>
        <v>28.803435442885217</v>
      </c>
      <c r="J163" s="258">
        <f>'18-19 NGGT'!J149</f>
        <v>30.836801209122548</v>
      </c>
      <c r="K163" s="258">
        <f>'18-19 NGGT'!K149</f>
        <v>31.149349303455111</v>
      </c>
    </row>
    <row r="164" spans="3:22">
      <c r="C164" s="257" t="s">
        <v>104</v>
      </c>
      <c r="D164" s="258">
        <f>'18-19 NGGT'!D150</f>
        <v>8.3082796001737652E-2</v>
      </c>
      <c r="E164" s="258">
        <f>'18-19 NGGT'!E150</f>
        <v>7.976923323919452E-2</v>
      </c>
      <c r="F164" s="258">
        <f>'18-19 NGGT'!F150</f>
        <v>0.75266180631023005</v>
      </c>
      <c r="G164" s="258">
        <f>'18-19 NGGT'!G150</f>
        <v>0.74924415240021436</v>
      </c>
      <c r="H164" s="258">
        <f>'18-19 NGGT'!H150</f>
        <v>0.74577657614235293</v>
      </c>
      <c r="I164" s="258">
        <f>'18-19 NGGT'!I150</f>
        <v>1.3289523341871334</v>
      </c>
      <c r="J164" s="258">
        <f>'18-19 NGGT'!J150</f>
        <v>1.3253234363350497</v>
      </c>
      <c r="K164" s="258">
        <f>'18-19 NGGT'!K150</f>
        <v>1.3215559599462396</v>
      </c>
    </row>
    <row r="165" spans="3:22">
      <c r="C165" s="286" t="s">
        <v>105</v>
      </c>
      <c r="D165" s="287">
        <f>'18-19 NGGT'!D151</f>
        <v>61.700796457816764</v>
      </c>
      <c r="E165" s="287">
        <f>'18-19 NGGT'!E151</f>
        <v>64.664700302156106</v>
      </c>
      <c r="F165" s="287">
        <f>'18-19 NGGT'!F151</f>
        <v>71.188832943008734</v>
      </c>
      <c r="G165" s="287">
        <f>'18-19 NGGT'!G151</f>
        <v>71.82030202524102</v>
      </c>
      <c r="H165" s="287">
        <f>'18-19 NGGT'!H151</f>
        <v>69.395845960375354</v>
      </c>
      <c r="I165" s="287">
        <f>'18-19 NGGT'!I151</f>
        <v>72.825139528207629</v>
      </c>
      <c r="J165" s="287">
        <f>'18-19 NGGT'!J151</f>
        <v>77.228979422381826</v>
      </c>
      <c r="K165" s="287">
        <f>'18-19 NGGT'!K151</f>
        <v>75.080497038060713</v>
      </c>
    </row>
    <row r="166" spans="3:22">
      <c r="C166" s="257" t="s">
        <v>126</v>
      </c>
      <c r="D166" s="258">
        <f>'18-19 NGGT'!D152</f>
        <v>94.224999999999994</v>
      </c>
      <c r="E166" s="258">
        <f>'18-19 NGGT'!E152</f>
        <v>87.484999999999999</v>
      </c>
      <c r="F166" s="258">
        <f>'18-19 NGGT'!F152</f>
        <v>79.322999999999993</v>
      </c>
      <c r="G166" s="258">
        <f>'18-19 NGGT'!G152</f>
        <v>58.722999999999999</v>
      </c>
      <c r="H166" s="258">
        <f>'18-19 NGGT'!H152</f>
        <v>3.3000000000000002E-2</v>
      </c>
      <c r="I166" s="258">
        <f>'18-19 NGGT'!I152</f>
        <v>3.3000000000000002E-2</v>
      </c>
      <c r="J166" s="258">
        <f>'18-19 NGGT'!J152</f>
        <v>0</v>
      </c>
      <c r="K166" s="258">
        <f>'18-19 NGGT'!K152</f>
        <v>0</v>
      </c>
      <c r="L166" s="285"/>
    </row>
    <row r="167" spans="3:22" ht="13.8" thickBot="1">
      <c r="C167" s="288" t="s">
        <v>107</v>
      </c>
      <c r="D167" s="289">
        <f>'18-19 NGGT'!D153</f>
        <v>155.92579645781677</v>
      </c>
      <c r="E167" s="289">
        <f>'18-19 NGGT'!E153</f>
        <v>152.14970030215611</v>
      </c>
      <c r="F167" s="289">
        <f>'18-19 NGGT'!F153</f>
        <v>150.51183294300873</v>
      </c>
      <c r="G167" s="289">
        <f>'18-19 NGGT'!G153</f>
        <v>130.54330202524102</v>
      </c>
      <c r="H167" s="289">
        <f>'18-19 NGGT'!H153</f>
        <v>69.428845960375355</v>
      </c>
      <c r="I167" s="289">
        <f>'18-19 NGGT'!I153</f>
        <v>72.85813952820763</v>
      </c>
      <c r="J167" s="289">
        <f>'18-19 NGGT'!J153</f>
        <v>77.228979422381826</v>
      </c>
      <c r="K167" s="289">
        <f>'18-19 NGGT'!K153</f>
        <v>75.080497038060713</v>
      </c>
      <c r="L167" s="290"/>
    </row>
    <row r="168" spans="3:22" ht="13.8" thickBot="1">
      <c r="C168" s="288"/>
      <c r="D168" s="287">
        <f>D175-D165</f>
        <v>0</v>
      </c>
      <c r="E168" s="287">
        <f t="shared" ref="E168:I168" si="9">E175-E165</f>
        <v>0</v>
      </c>
      <c r="F168" s="287">
        <f t="shared" si="9"/>
        <v>0</v>
      </c>
      <c r="G168" s="287">
        <f t="shared" si="9"/>
        <v>0</v>
      </c>
      <c r="H168" s="287">
        <f t="shared" si="9"/>
        <v>0</v>
      </c>
      <c r="I168" s="287">
        <f t="shared" si="9"/>
        <v>0</v>
      </c>
      <c r="J168" s="287"/>
      <c r="K168" s="287"/>
      <c r="L168" s="285"/>
    </row>
    <row r="169" spans="3:22" ht="13.8" thickBot="1">
      <c r="C169" s="288" t="s">
        <v>128</v>
      </c>
      <c r="D169" s="53"/>
      <c r="E169" s="53"/>
      <c r="F169" s="50"/>
      <c r="G169" s="50"/>
      <c r="I169" s="50"/>
    </row>
    <row r="170" spans="3:22" ht="13.8" thickBot="1">
      <c r="C170" s="330" t="s">
        <v>58</v>
      </c>
      <c r="D170" s="284" t="s">
        <v>59</v>
      </c>
      <c r="E170" s="284" t="s">
        <v>60</v>
      </c>
      <c r="F170" s="284" t="s">
        <v>61</v>
      </c>
      <c r="G170" s="284" t="s">
        <v>62</v>
      </c>
      <c r="H170" s="284" t="s">
        <v>63</v>
      </c>
      <c r="I170" s="284" t="s">
        <v>64</v>
      </c>
      <c r="J170" s="284" t="s">
        <v>65</v>
      </c>
      <c r="K170" s="284" t="s">
        <v>66</v>
      </c>
      <c r="M170" s="53"/>
      <c r="N170" s="53"/>
      <c r="O170" s="53"/>
      <c r="V170" s="189"/>
    </row>
    <row r="171" spans="3:22">
      <c r="C171" s="257" t="s">
        <v>110</v>
      </c>
      <c r="D171" s="258">
        <f>'GT workings base'!D216</f>
        <v>66.893712056086201</v>
      </c>
      <c r="E171" s="258">
        <f>'GT workings base'!E216</f>
        <v>67.429191577201763</v>
      </c>
      <c r="F171" s="258">
        <f>'GT workings base'!F216</f>
        <v>68.82661899796868</v>
      </c>
      <c r="G171" s="258">
        <f>'GT workings base'!G216</f>
        <v>72.79260504510404</v>
      </c>
      <c r="H171" s="258">
        <f>'GT workings base'!H216</f>
        <v>73.599926978535336</v>
      </c>
      <c r="I171" s="258">
        <f>'GT workings base'!I216</f>
        <v>72.682590016069625</v>
      </c>
      <c r="J171" s="258">
        <f>'GT workings base'!J216</f>
        <v>74.76721766777959</v>
      </c>
      <c r="K171" s="258">
        <f>'GT workings base'!K216</f>
        <v>73.854682624001015</v>
      </c>
      <c r="L171" s="258"/>
      <c r="M171" s="53"/>
      <c r="N171" s="53"/>
      <c r="O171" s="53"/>
      <c r="V171" s="189"/>
    </row>
    <row r="172" spans="3:22">
      <c r="C172" s="286" t="s">
        <v>111</v>
      </c>
      <c r="D172" s="287">
        <f>'GT workings 18-19'!D240</f>
        <v>0</v>
      </c>
      <c r="E172" s="287">
        <f>'GT workings 18-19'!E240</f>
        <v>-0.74723548170331355</v>
      </c>
      <c r="F172" s="287">
        <f>'GT workings 18-19'!F240</f>
        <v>-13.787280588025247</v>
      </c>
      <c r="G172" s="287">
        <f>'GT workings 18-19'!G240</f>
        <v>1.0011710527519853</v>
      </c>
      <c r="H172" s="287">
        <f>'GT workings 18-19'!H240</f>
        <v>3.0471602441516268</v>
      </c>
      <c r="I172" s="287">
        <f>'GT workings 18-19'!I241</f>
        <v>-7.3017659828011006E-2</v>
      </c>
      <c r="J172" s="287"/>
      <c r="K172" s="287"/>
      <c r="L172" s="309"/>
      <c r="M172" s="53"/>
      <c r="N172" s="53"/>
      <c r="O172" s="53"/>
      <c r="V172" s="189"/>
    </row>
    <row r="173" spans="3:22">
      <c r="C173" s="257" t="s">
        <v>112</v>
      </c>
      <c r="D173" s="258">
        <f t="shared" ref="D173:I173" si="10">D171+D172</f>
        <v>66.893712056086201</v>
      </c>
      <c r="E173" s="258">
        <f t="shared" si="10"/>
        <v>66.68195609549845</v>
      </c>
      <c r="F173" s="258">
        <f t="shared" si="10"/>
        <v>55.039338409943433</v>
      </c>
      <c r="G173" s="258">
        <f t="shared" si="10"/>
        <v>73.793776097856025</v>
      </c>
      <c r="H173" s="258">
        <f t="shared" si="10"/>
        <v>76.647087222686963</v>
      </c>
      <c r="I173" s="258">
        <f t="shared" si="10"/>
        <v>72.609572356241614</v>
      </c>
      <c r="J173" s="258"/>
      <c r="K173" s="258"/>
      <c r="L173" s="258"/>
      <c r="M173" s="53"/>
      <c r="N173" s="53"/>
      <c r="O173" s="53"/>
      <c r="V173" s="189"/>
    </row>
    <row r="174" spans="3:22">
      <c r="C174" s="311" t="s">
        <v>367</v>
      </c>
      <c r="D174" s="258"/>
      <c r="E174" s="258"/>
      <c r="F174" s="258"/>
      <c r="G174" s="258"/>
      <c r="H174" s="287"/>
      <c r="I174" s="258"/>
      <c r="J174" s="258">
        <f>I173+H173*H$94+G173*G$94+F173*F$94+E173*E$94+D173*D$94</f>
        <v>454.30811187317369</v>
      </c>
      <c r="K174" s="258"/>
      <c r="L174" s="258"/>
      <c r="M174" s="53"/>
      <c r="N174" s="53"/>
      <c r="O174" s="53"/>
      <c r="V174" s="189"/>
    </row>
    <row r="175" spans="3:22">
      <c r="C175" s="257" t="s">
        <v>366</v>
      </c>
      <c r="D175" s="258">
        <f>D165</f>
        <v>61.700796457816764</v>
      </c>
      <c r="E175" s="258">
        <f t="shared" ref="E175:I175" si="11">E165</f>
        <v>64.664700302156106</v>
      </c>
      <c r="F175" s="258">
        <f t="shared" si="11"/>
        <v>71.188832943008734</v>
      </c>
      <c r="G175" s="258">
        <f t="shared" si="11"/>
        <v>71.82030202524102</v>
      </c>
      <c r="H175" s="258">
        <f t="shared" si="11"/>
        <v>69.395845960375354</v>
      </c>
      <c r="I175" s="258">
        <f t="shared" si="11"/>
        <v>72.825139528207629</v>
      </c>
      <c r="J175" s="258"/>
      <c r="K175" s="258"/>
      <c r="L175" s="293"/>
      <c r="V175" s="189"/>
    </row>
    <row r="176" spans="3:22" ht="13.8" thickBot="1">
      <c r="C176" s="288" t="s">
        <v>367</v>
      </c>
      <c r="D176" s="289"/>
      <c r="E176" s="289"/>
      <c r="F176" s="289"/>
      <c r="G176" s="289"/>
      <c r="H176" s="289"/>
      <c r="I176" s="289"/>
      <c r="J176" s="289">
        <f>I175+H175*H$94+G175*G$94+F175*F$94+E175*E$94+D175*D$94</f>
        <v>454.30811187317363</v>
      </c>
      <c r="K176" s="289"/>
      <c r="L176" s="258"/>
      <c r="V176" s="189"/>
    </row>
    <row r="177" spans="1:12">
      <c r="C177" s="326"/>
      <c r="D177" s="53"/>
      <c r="E177" s="53"/>
      <c r="F177" s="50"/>
      <c r="G177" s="50"/>
      <c r="I177" s="308"/>
      <c r="J177" s="109">
        <f>J176-J174</f>
        <v>0</v>
      </c>
    </row>
    <row r="178" spans="1:12">
      <c r="C178" s="326"/>
      <c r="D178" s="53"/>
      <c r="E178" s="53"/>
      <c r="F178" s="50"/>
      <c r="G178" s="50"/>
      <c r="I178" s="50"/>
      <c r="J178" s="351"/>
    </row>
    <row r="179" spans="1:12">
      <c r="D179" s="53"/>
      <c r="E179" s="53"/>
      <c r="F179" s="53"/>
      <c r="G179" s="53"/>
      <c r="H179" s="53"/>
      <c r="I179" s="53"/>
      <c r="J179" s="53"/>
      <c r="K179" s="53"/>
      <c r="L179" s="53"/>
    </row>
    <row r="180" spans="1:12" ht="31.8" thickBot="1">
      <c r="A180" s="38" t="s">
        <v>411</v>
      </c>
      <c r="C180" s="355" t="s">
        <v>20</v>
      </c>
      <c r="D180" s="331" t="s">
        <v>21</v>
      </c>
      <c r="I180" s="53"/>
    </row>
    <row r="181" spans="1:12" ht="15.6">
      <c r="C181" s="270" t="s">
        <v>22</v>
      </c>
      <c r="D181" s="332" t="s">
        <v>23</v>
      </c>
    </row>
    <row r="182" spans="1:12" ht="15.6">
      <c r="C182" s="272" t="s">
        <v>24</v>
      </c>
      <c r="D182" s="273" t="s">
        <v>25</v>
      </c>
    </row>
    <row r="183" spans="1:12" ht="15.6">
      <c r="C183" s="272" t="s">
        <v>26</v>
      </c>
      <c r="D183" s="333" t="s">
        <v>27</v>
      </c>
    </row>
    <row r="184" spans="1:12" ht="15.6">
      <c r="C184" s="272" t="s">
        <v>28</v>
      </c>
      <c r="D184" s="273" t="s">
        <v>29</v>
      </c>
    </row>
    <row r="185" spans="1:12" ht="15.6">
      <c r="C185" s="272" t="s">
        <v>412</v>
      </c>
      <c r="D185" s="333" t="s">
        <v>31</v>
      </c>
    </row>
    <row r="186" spans="1:12" ht="15.6">
      <c r="C186" s="272" t="s">
        <v>32</v>
      </c>
      <c r="D186" s="333" t="s">
        <v>33</v>
      </c>
    </row>
    <row r="187" spans="1:12" ht="15.6">
      <c r="C187" s="272" t="s">
        <v>34</v>
      </c>
      <c r="D187" s="333" t="s">
        <v>413</v>
      </c>
    </row>
    <row r="188" spans="1:12" ht="15.6">
      <c r="C188" s="272" t="s">
        <v>383</v>
      </c>
      <c r="D188" s="334">
        <v>123</v>
      </c>
    </row>
    <row r="189" spans="1:12" ht="15.6">
      <c r="C189" s="272" t="s">
        <v>35</v>
      </c>
      <c r="D189" s="333" t="s">
        <v>36</v>
      </c>
    </row>
  </sheetData>
  <mergeCells count="9">
    <mergeCell ref="E156:F156"/>
    <mergeCell ref="E139:F139"/>
    <mergeCell ref="E117:F117"/>
    <mergeCell ref="E130:F130"/>
    <mergeCell ref="E27:F27"/>
    <mergeCell ref="E66:F66"/>
    <mergeCell ref="E46:F46"/>
    <mergeCell ref="E56:F56"/>
    <mergeCell ref="E96:F96"/>
  </mergeCells>
  <pageMargins left="0.7" right="0.7" top="0.75" bottom="0.75" header="0.3" footer="0.3"/>
  <pageSetup paperSize="9" orientation="portrait"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12" width="10.6640625" customWidth="1"/>
    <col min="14" max="14" width="7.5546875" customWidth="1"/>
  </cols>
  <sheetData>
    <row r="1" spans="1:8" ht="13.8" thickBot="1"/>
    <row r="2" spans="1:8" ht="63" thickBot="1">
      <c r="A2" s="38" t="s">
        <v>411</v>
      </c>
      <c r="C2" s="1" t="s">
        <v>384</v>
      </c>
      <c r="D2" s="2" t="s">
        <v>40</v>
      </c>
      <c r="E2" s="47" t="s">
        <v>41</v>
      </c>
      <c r="G2" s="112" t="s">
        <v>362</v>
      </c>
      <c r="H2" s="113" t="str">
        <f>RPI!$B$1</f>
        <v>Updated Oct 2019</v>
      </c>
    </row>
    <row r="3" spans="1:8" ht="15.6" thickBot="1">
      <c r="C3" s="3" t="s">
        <v>406</v>
      </c>
      <c r="D3" s="62">
        <f>'14-15 NGGT'!D3-'Baseline NGGT'!D3</f>
        <v>0</v>
      </c>
      <c r="E3" s="63">
        <f>'14-15 NGGT'!E3-'Baseline NGGT'!E3</f>
        <v>0</v>
      </c>
    </row>
    <row r="4" spans="1:8" ht="15.6" thickBot="1">
      <c r="C4" s="3" t="s">
        <v>407</v>
      </c>
      <c r="D4" s="62">
        <f>'14-15 NGGT'!D4-'Baseline NGGT'!D4</f>
        <v>0</v>
      </c>
      <c r="E4" s="63">
        <f>'14-15 NGGT'!E4-'Baseline NGGT'!E4</f>
        <v>0</v>
      </c>
    </row>
    <row r="5" spans="1:8" ht="15.6" thickBot="1">
      <c r="C5" s="4" t="s">
        <v>44</v>
      </c>
      <c r="D5" s="64">
        <f>'14-15 NGGT'!D5-'Baseline NGGT'!D5</f>
        <v>0</v>
      </c>
      <c r="E5" s="63">
        <f>'14-15 NGGT'!E5-'Baseline NGGT'!E5</f>
        <v>0</v>
      </c>
    </row>
    <row r="6" spans="1:8" ht="15.6" thickBot="1">
      <c r="C6" s="3" t="s">
        <v>408</v>
      </c>
      <c r="D6" s="62">
        <f>'14-15 NGGT'!D6-'Baseline NGGT'!D6</f>
        <v>0</v>
      </c>
      <c r="E6" s="63">
        <f>'14-15 NGGT'!E6-'Baseline NGGT'!E6</f>
        <v>0</v>
      </c>
    </row>
    <row r="7" spans="1:8" ht="15.6" thickBot="1">
      <c r="C7" s="4" t="s">
        <v>46</v>
      </c>
      <c r="D7" s="64">
        <f>'14-15 NGGT'!D7-'Baseline NGGT'!D7</f>
        <v>0</v>
      </c>
      <c r="E7" s="63">
        <f>'14-15 NGGT'!E7-'Baseline NGGT'!E7</f>
        <v>0</v>
      </c>
    </row>
    <row r="8" spans="1:8" ht="16.2" thickBot="1">
      <c r="C8" s="6" t="s">
        <v>48</v>
      </c>
      <c r="D8" s="65">
        <f>'14-15 NGGT'!D8-'Baseline NGGT'!D8</f>
        <v>0</v>
      </c>
      <c r="E8" s="66">
        <f>'14-15 NGGT'!E8-'Baseline NGGT'!E8</f>
        <v>0</v>
      </c>
    </row>
    <row r="9" spans="1:8" ht="15.6" thickBot="1">
      <c r="C9" s="4" t="s">
        <v>52</v>
      </c>
      <c r="D9" s="64">
        <f>'14-15 NGGT'!D9-'Baseline NGGT'!D9</f>
        <v>0</v>
      </c>
      <c r="E9" s="63">
        <f>'14-15 NGGT'!E9-'Baseline NGGT'!E9</f>
        <v>0</v>
      </c>
    </row>
    <row r="10" spans="1:8" ht="15.6" thickBot="1">
      <c r="C10" s="3"/>
      <c r="D10" s="62"/>
      <c r="E10" s="63"/>
    </row>
    <row r="11" spans="1:8" ht="15.6" thickBot="1">
      <c r="C11" s="4" t="s">
        <v>138</v>
      </c>
      <c r="D11" s="64">
        <f>'14-15 NGGT'!D11-'Baseline NGGT'!D11</f>
        <v>0</v>
      </c>
      <c r="E11" s="63">
        <f>'14-15 NGGT'!E11-'Baseline NGGT'!E11</f>
        <v>0</v>
      </c>
    </row>
    <row r="12" spans="1:8" ht="15.6" thickBot="1">
      <c r="C12" s="3" t="s">
        <v>44</v>
      </c>
      <c r="D12" s="62">
        <f>'14-15 NGGT'!D12-'Baseline NGGT'!D12</f>
        <v>0</v>
      </c>
      <c r="E12" s="63">
        <f>'14-15 NGGT'!E12-'Baseline NGGT'!E12</f>
        <v>0</v>
      </c>
    </row>
    <row r="13" spans="1:8" ht="15.6" thickBot="1">
      <c r="C13" s="4" t="s">
        <v>45</v>
      </c>
      <c r="D13" s="64">
        <f>'14-15 NGGT'!D13-'Baseline NGGT'!D13</f>
        <v>0</v>
      </c>
      <c r="E13" s="63">
        <f>'14-15 NGGT'!E13-'Baseline NGGT'!E13</f>
        <v>0</v>
      </c>
    </row>
    <row r="14" spans="1:8" ht="15.6" thickBot="1">
      <c r="C14" s="3" t="s">
        <v>46</v>
      </c>
      <c r="D14" s="62">
        <f>'14-15 NGGT'!D14-'Baseline NGGT'!D14</f>
        <v>0</v>
      </c>
      <c r="E14" s="63">
        <f>'14-15 NGGT'!E14-'Baseline NGGT'!E14</f>
        <v>0</v>
      </c>
    </row>
    <row r="15" spans="1:8" ht="16.2" thickBot="1">
      <c r="C15" s="5" t="s">
        <v>50</v>
      </c>
      <c r="D15" s="67">
        <f>'14-15 NGGT'!D15-'Baseline NGGT'!D15</f>
        <v>0</v>
      </c>
      <c r="E15" s="66">
        <f>'14-15 NGGT'!E15-'Baseline NGGT'!E15</f>
        <v>0</v>
      </c>
    </row>
    <row r="16" spans="1:8" ht="15.6" thickBot="1">
      <c r="C16" s="3"/>
      <c r="D16" s="62"/>
      <c r="E16" s="63"/>
    </row>
    <row r="17" spans="1:38" ht="16.2" thickBot="1">
      <c r="C17" s="5" t="s">
        <v>51</v>
      </c>
      <c r="D17" s="67">
        <f>D15+D8</f>
        <v>0</v>
      </c>
      <c r="E17" s="66">
        <f>E15+E8</f>
        <v>0</v>
      </c>
    </row>
    <row r="18" spans="1:38" ht="16.2" thickBot="1">
      <c r="C18" s="6"/>
      <c r="D18" s="65"/>
      <c r="E18" s="66"/>
    </row>
    <row r="19" spans="1:38" ht="16.2" thickBot="1">
      <c r="C19" s="5" t="s">
        <v>53</v>
      </c>
      <c r="D19" s="67">
        <f>'14-15 NGGT'!D19-'Baseline NGGT'!D19</f>
        <v>0</v>
      </c>
      <c r="E19" s="66">
        <f>'14-15 NGGT'!E19-'Baseline NGGT'!E19</f>
        <v>0</v>
      </c>
    </row>
    <row r="20" spans="1:38" ht="16.2" thickBot="1">
      <c r="C20" s="6" t="s">
        <v>54</v>
      </c>
      <c r="D20" s="65">
        <f>'14-15 NGGT'!D20-'Baseline NGGT'!D20</f>
        <v>0.10358126252133104</v>
      </c>
      <c r="E20" s="66">
        <f>'14-15 NGGT'!E20-'Baseline NGGT'!E20</f>
        <v>7.3882260308604231E-2</v>
      </c>
    </row>
    <row r="24" spans="1:38" ht="13.8" thickBot="1">
      <c r="A24" s="38" t="s">
        <v>399</v>
      </c>
    </row>
    <row r="25" spans="1:38" ht="13.8" thickBot="1">
      <c r="C25" s="7" t="s">
        <v>58</v>
      </c>
      <c r="D25" s="8" t="s">
        <v>59</v>
      </c>
      <c r="E25" s="8" t="s">
        <v>60</v>
      </c>
      <c r="F25" s="8" t="s">
        <v>61</v>
      </c>
      <c r="G25" s="8" t="s">
        <v>62</v>
      </c>
      <c r="H25" s="8" t="s">
        <v>63</v>
      </c>
      <c r="I25" s="8" t="s">
        <v>64</v>
      </c>
      <c r="J25" s="8" t="s">
        <v>65</v>
      </c>
      <c r="K25" s="8" t="s">
        <v>66</v>
      </c>
      <c r="L25" s="8" t="s">
        <v>67</v>
      </c>
    </row>
    <row r="26" spans="1:38">
      <c r="C26" s="9"/>
      <c r="D26" s="49"/>
      <c r="E26" s="49"/>
      <c r="F26" s="49"/>
      <c r="G26" s="49"/>
      <c r="H26" s="49"/>
      <c r="I26" s="49"/>
      <c r="J26" s="49"/>
      <c r="K26" s="49"/>
      <c r="L26" s="49"/>
    </row>
    <row r="27" spans="1:38" ht="12.75" customHeight="1">
      <c r="A27" t="s">
        <v>338</v>
      </c>
      <c r="C27" s="10" t="s">
        <v>414</v>
      </c>
      <c r="D27" s="42">
        <f>'14-15 NGGT'!D27-'Baseline NGGT'!D27</f>
        <v>0</v>
      </c>
      <c r="E27" s="42">
        <f>'14-15 NGGT'!E27-'Baseline NGGT'!E27</f>
        <v>0</v>
      </c>
      <c r="F27" s="42">
        <f>'14-15 NGGT'!F27-'Baseline NGGT'!F27</f>
        <v>0</v>
      </c>
      <c r="G27" s="42">
        <f>'14-15 NGGT'!G27-'Baseline NGGT'!G27</f>
        <v>0</v>
      </c>
      <c r="H27" s="42">
        <f>'14-15 NGGT'!H27-'Baseline NGGT'!H27</f>
        <v>0</v>
      </c>
      <c r="I27" s="42">
        <f>'14-15 NGGT'!I27-'Baseline NGGT'!I27</f>
        <v>0</v>
      </c>
      <c r="J27" s="42">
        <f>'14-15 NGGT'!J27-'Baseline NGGT'!J27</f>
        <v>0</v>
      </c>
      <c r="K27" s="42">
        <f>'14-15 NGGT'!K27-'Baseline NGGT'!K27</f>
        <v>0</v>
      </c>
      <c r="L27" s="50">
        <f>'14-15 NGGT'!L27-'Baseline NGGT'!L27</f>
        <v>0</v>
      </c>
      <c r="S27" s="10" t="s">
        <v>415</v>
      </c>
      <c r="T27" s="335">
        <v>112</v>
      </c>
      <c r="U27" s="335">
        <v>98</v>
      </c>
      <c r="V27" s="335">
        <v>107</v>
      </c>
      <c r="W27" s="335">
        <v>137</v>
      </c>
      <c r="X27" s="335">
        <v>166</v>
      </c>
      <c r="Y27" s="335">
        <v>85</v>
      </c>
      <c r="Z27" s="335">
        <v>72</v>
      </c>
      <c r="AA27" s="335">
        <v>71</v>
      </c>
      <c r="AB27" s="336">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416</v>
      </c>
      <c r="D28" s="42">
        <f>'14-15 NGGT'!D28-'Baseline NGGT'!D28</f>
        <v>0</v>
      </c>
      <c r="E28" s="42">
        <f>'14-15 NGGT'!E28-'Baseline NGGT'!E28</f>
        <v>0</v>
      </c>
      <c r="F28" s="42">
        <f>'14-15 NGGT'!F28-'Baseline NGGT'!F28</f>
        <v>0</v>
      </c>
      <c r="G28" s="42">
        <f>'14-15 NGGT'!G28-'Baseline NGGT'!G28</f>
        <v>0</v>
      </c>
      <c r="H28" s="42">
        <f>'14-15 NGGT'!H28-'Baseline NGGT'!H28</f>
        <v>0</v>
      </c>
      <c r="I28" s="42">
        <f>'14-15 NGGT'!I28-'Baseline NGGT'!I28</f>
        <v>0</v>
      </c>
      <c r="J28" s="42">
        <f>'14-15 NGGT'!J28-'Baseline NGGT'!J28</f>
        <v>0</v>
      </c>
      <c r="K28" s="42">
        <f>'14-15 NGGT'!K28-'Baseline NGGT'!K28</f>
        <v>0</v>
      </c>
      <c r="L28" s="50">
        <f>'14-15 NGGT'!L28-'Baseline NGGT'!L28</f>
        <v>0</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'14-15 NGGT'!D29-'Baseline NGGT'!D29</f>
        <v>0</v>
      </c>
      <c r="E29" s="43">
        <f>'14-15 NGGT'!E29-'Baseline NGGT'!E29</f>
        <v>0</v>
      </c>
      <c r="F29" s="43">
        <f>'14-15 NGGT'!F29-'Baseline NGGT'!F29</f>
        <v>0</v>
      </c>
      <c r="G29" s="43">
        <f>'14-15 NGGT'!G29-'Baseline NGGT'!G29</f>
        <v>0</v>
      </c>
      <c r="H29" s="43">
        <f>'14-15 NGGT'!H29-'Baseline NGGT'!H29</f>
        <v>0</v>
      </c>
      <c r="I29" s="43">
        <f>'14-15 NGGT'!I29-'Baseline NGGT'!I29</f>
        <v>0</v>
      </c>
      <c r="J29" s="43">
        <f>'14-15 NGGT'!J29-'Baseline NGGT'!J29</f>
        <v>0</v>
      </c>
      <c r="K29" s="43">
        <f>'14-15 NGGT'!K29-'Baseline NGGT'!K29</f>
        <v>0</v>
      </c>
      <c r="L29" s="45">
        <f>'14-15 NGGT'!L29-'Baseline NGGT'!L29</f>
        <v>0</v>
      </c>
      <c r="S29" s="11" t="s">
        <v>417</v>
      </c>
      <c r="T29" s="337">
        <v>90</v>
      </c>
      <c r="U29" s="337">
        <v>89</v>
      </c>
      <c r="V29" s="337">
        <v>92</v>
      </c>
      <c r="W29" s="337">
        <v>92</v>
      </c>
      <c r="X29" s="337">
        <v>94</v>
      </c>
      <c r="Y29" s="337">
        <v>95</v>
      </c>
      <c r="Z29" s="337">
        <v>96</v>
      </c>
      <c r="AA29" s="337">
        <v>96</v>
      </c>
      <c r="AB29" s="338">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71</v>
      </c>
      <c r="D30" s="50">
        <f>'14-15 NGGT'!D30-'Baseline NGGT'!D30</f>
        <v>0</v>
      </c>
      <c r="E30" s="50">
        <f>'14-15 NGGT'!E30-'Baseline NGGT'!E30</f>
        <v>0</v>
      </c>
      <c r="F30" s="50">
        <f>'14-15 NGGT'!F30-'Baseline NGGT'!F30</f>
        <v>0</v>
      </c>
      <c r="G30" s="50">
        <f>'14-15 NGGT'!G30-'Baseline NGGT'!G30</f>
        <v>0</v>
      </c>
      <c r="H30" s="50">
        <f>'14-15 NGGT'!H30-'Baseline NGGT'!H30</f>
        <v>0</v>
      </c>
      <c r="I30" s="50">
        <f>'14-15 NGGT'!I30-'Baseline NGGT'!I30</f>
        <v>0</v>
      </c>
      <c r="J30" s="50">
        <f>'14-15 NGGT'!J30-'Baseline NGGT'!J30</f>
        <v>0</v>
      </c>
      <c r="K30" s="50">
        <f>'14-15 NGGT'!K30-'Baseline NGGT'!K30</f>
        <v>0</v>
      </c>
      <c r="L30" s="50">
        <f>'14-15 NGGT'!L30-'Baseline NGGT'!L30</f>
        <v>0</v>
      </c>
      <c r="S30" s="12" t="s">
        <v>390</v>
      </c>
      <c r="T30" s="336">
        <v>201</v>
      </c>
      <c r="U30" s="336">
        <v>187</v>
      </c>
      <c r="V30" s="336">
        <v>198</v>
      </c>
      <c r="W30" s="336">
        <v>229</v>
      </c>
      <c r="X30" s="336">
        <v>260</v>
      </c>
      <c r="Y30" s="336">
        <v>179</v>
      </c>
      <c r="Z30" s="336">
        <v>167</v>
      </c>
      <c r="AA30" s="336">
        <v>166</v>
      </c>
      <c r="AB30" s="339">
        <v>1588</v>
      </c>
      <c r="AD30" s="50">
        <f t="shared" si="0"/>
        <v>-201</v>
      </c>
      <c r="AE30" s="50">
        <f t="shared" si="0"/>
        <v>-187</v>
      </c>
      <c r="AF30" s="50">
        <f t="shared" si="0"/>
        <v>-198</v>
      </c>
      <c r="AG30" s="50">
        <f t="shared" si="0"/>
        <v>-229</v>
      </c>
      <c r="AH30" s="50">
        <f t="shared" si="0"/>
        <v>-260</v>
      </c>
      <c r="AI30" s="50">
        <f t="shared" si="0"/>
        <v>-179</v>
      </c>
      <c r="AJ30" s="50">
        <f t="shared" si="0"/>
        <v>-167</v>
      </c>
      <c r="AK30" s="50">
        <f t="shared" si="0"/>
        <v>-166</v>
      </c>
      <c r="AL30" s="50">
        <f t="shared" si="0"/>
        <v>-1588</v>
      </c>
    </row>
    <row r="31" spans="1:38" ht="12.75" customHeight="1">
      <c r="A31" t="s">
        <v>346</v>
      </c>
      <c r="C31" s="10" t="s">
        <v>74</v>
      </c>
      <c r="D31" s="42">
        <f>'14-15 NGGT'!D31-'Baseline NGGT'!D31</f>
        <v>0</v>
      </c>
      <c r="E31" s="42">
        <f>'14-15 NGGT'!E31-'Baseline NGGT'!E31</f>
        <v>0</v>
      </c>
      <c r="F31" s="42">
        <f>'14-15 NGGT'!F31-'Baseline NGGT'!F31</f>
        <v>0</v>
      </c>
      <c r="G31" s="42">
        <f>'14-15 NGGT'!G31-'Baseline NGGT'!G31</f>
        <v>0</v>
      </c>
      <c r="H31" s="42">
        <f>'14-15 NGGT'!H31-'Baseline NGGT'!H31</f>
        <v>0</v>
      </c>
      <c r="I31" s="42">
        <f>'14-15 NGGT'!I31-'Baseline NGGT'!I31</f>
        <v>0</v>
      </c>
      <c r="J31" s="42">
        <f>'14-15 NGGT'!J31-'Baseline NGGT'!J31</f>
        <v>0</v>
      </c>
      <c r="K31" s="42">
        <f>'14-15 NGGT'!K31-'Baseline NGGT'!K31</f>
        <v>0</v>
      </c>
      <c r="L31" s="50">
        <f>'14-15 NGGT'!L31-'Baseline NGGT'!L31</f>
        <v>0</v>
      </c>
      <c r="S31" s="10" t="s">
        <v>415</v>
      </c>
      <c r="T31" s="335">
        <v>112</v>
      </c>
      <c r="U31" s="335">
        <v>98</v>
      </c>
      <c r="V31" s="335">
        <v>107</v>
      </c>
      <c r="W31" s="335">
        <v>137</v>
      </c>
      <c r="X31" s="335">
        <v>166</v>
      </c>
      <c r="Y31" s="335">
        <v>85</v>
      </c>
      <c r="Z31" s="335">
        <v>72</v>
      </c>
      <c r="AA31" s="335">
        <v>71</v>
      </c>
      <c r="AB31" s="336">
        <v>846</v>
      </c>
      <c r="AD31" s="42">
        <f t="shared" si="0"/>
        <v>-112</v>
      </c>
      <c r="AE31" s="42">
        <f t="shared" si="0"/>
        <v>-98</v>
      </c>
      <c r="AF31" s="42">
        <f t="shared" si="0"/>
        <v>-107</v>
      </c>
      <c r="AG31" s="42">
        <f t="shared" si="0"/>
        <v>-137</v>
      </c>
      <c r="AH31" s="42">
        <f t="shared" si="0"/>
        <v>-166</v>
      </c>
      <c r="AI31" s="42">
        <f t="shared" si="0"/>
        <v>-85</v>
      </c>
      <c r="AJ31" s="42">
        <f t="shared" si="0"/>
        <v>-72</v>
      </c>
      <c r="AK31" s="42">
        <f t="shared" si="0"/>
        <v>-71</v>
      </c>
      <c r="AL31" s="42">
        <f t="shared" si="0"/>
        <v>-846</v>
      </c>
    </row>
    <row r="32" spans="1:38" ht="12.75" customHeight="1">
      <c r="C32" s="10" t="s">
        <v>75</v>
      </c>
      <c r="D32" s="42">
        <f>'14-15 NGGT'!D32-'Baseline NGGT'!D32</f>
        <v>0</v>
      </c>
      <c r="E32" s="42">
        <f>'14-15 NGGT'!E32-'Baseline NGGT'!E32</f>
        <v>0</v>
      </c>
      <c r="F32" s="42">
        <f>'14-15 NGGT'!F32-'Baseline NGGT'!F32</f>
        <v>0</v>
      </c>
      <c r="G32" s="42">
        <f>'14-15 NGGT'!G32-'Baseline NGGT'!G32</f>
        <v>0</v>
      </c>
      <c r="H32" s="42">
        <f>'14-15 NGGT'!H32-'Baseline NGGT'!H32</f>
        <v>0</v>
      </c>
      <c r="I32" s="42">
        <f>'14-15 NGGT'!I32-'Baseline NGGT'!I32</f>
        <v>0</v>
      </c>
      <c r="J32" s="42">
        <f>'14-15 NGGT'!J32-'Baseline NGGT'!J32</f>
        <v>0</v>
      </c>
      <c r="K32" s="42">
        <f>'14-15 NGGT'!K32-'Baseline NGGT'!K32</f>
        <v>0</v>
      </c>
      <c r="L32" s="50">
        <f>'14-15 NGGT'!L32-'Baseline NGGT'!L32</f>
        <v>0</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'14-15 NGGT'!D33-'Baseline NGGT'!D33</f>
        <v>0</v>
      </c>
      <c r="E33" s="43">
        <f>'14-15 NGGT'!E33-'Baseline NGGT'!E33</f>
        <v>0</v>
      </c>
      <c r="F33" s="43">
        <f>'14-15 NGGT'!F33-'Baseline NGGT'!F33</f>
        <v>0</v>
      </c>
      <c r="G33" s="43">
        <f>'14-15 NGGT'!G33-'Baseline NGGT'!G33</f>
        <v>0</v>
      </c>
      <c r="H33" s="43">
        <f>'14-15 NGGT'!H33-'Baseline NGGT'!H33</f>
        <v>0</v>
      </c>
      <c r="I33" s="43">
        <f>'14-15 NGGT'!I33-'Baseline NGGT'!I33</f>
        <v>0</v>
      </c>
      <c r="J33" s="43">
        <f>'14-15 NGGT'!J33-'Baseline NGGT'!J33</f>
        <v>0</v>
      </c>
      <c r="K33" s="43">
        <f>'14-15 NGGT'!K33-'Baseline NGGT'!K33</f>
        <v>0</v>
      </c>
      <c r="L33" s="45">
        <f>'14-15 NGGT'!L33-'Baseline NGGT'!L33</f>
        <v>0</v>
      </c>
      <c r="S33" s="11" t="s">
        <v>417</v>
      </c>
      <c r="T33" s="337">
        <v>90</v>
      </c>
      <c r="U33" s="337">
        <v>89</v>
      </c>
      <c r="V33" s="337">
        <v>92</v>
      </c>
      <c r="W33" s="337">
        <v>92</v>
      </c>
      <c r="X33" s="337">
        <v>94</v>
      </c>
      <c r="Y33" s="337">
        <v>95</v>
      </c>
      <c r="Z33" s="337">
        <v>96</v>
      </c>
      <c r="AA33" s="337">
        <v>96</v>
      </c>
      <c r="AB33" s="338">
        <v>743</v>
      </c>
      <c r="AD33" s="43">
        <f t="shared" ref="AD33:AL35" si="1">D33-T33</f>
        <v>-90</v>
      </c>
      <c r="AE33" s="43">
        <f t="shared" si="1"/>
        <v>-89</v>
      </c>
      <c r="AF33" s="43">
        <f t="shared" si="1"/>
        <v>-92</v>
      </c>
      <c r="AG33" s="43">
        <f t="shared" si="1"/>
        <v>-92</v>
      </c>
      <c r="AH33" s="43">
        <f t="shared" si="1"/>
        <v>-94</v>
      </c>
      <c r="AI33" s="43">
        <f t="shared" si="1"/>
        <v>-95</v>
      </c>
      <c r="AJ33" s="43">
        <f t="shared" si="1"/>
        <v>-96</v>
      </c>
      <c r="AK33" s="43">
        <f t="shared" si="1"/>
        <v>-96</v>
      </c>
      <c r="AL33" s="43">
        <f t="shared" si="1"/>
        <v>-743</v>
      </c>
    </row>
    <row r="34" spans="1:39" ht="12.75" customHeight="1">
      <c r="C34" s="12" t="s">
        <v>77</v>
      </c>
      <c r="D34" s="50">
        <f>'14-15 NGGT'!D34-'Baseline NGGT'!D34</f>
        <v>0</v>
      </c>
      <c r="E34" s="50">
        <f>'14-15 NGGT'!E34-'Baseline NGGT'!E34</f>
        <v>0</v>
      </c>
      <c r="F34" s="50">
        <f>'14-15 NGGT'!F34-'Baseline NGGT'!F34</f>
        <v>0</v>
      </c>
      <c r="G34" s="50">
        <f>'14-15 NGGT'!G34-'Baseline NGGT'!G34</f>
        <v>0</v>
      </c>
      <c r="H34" s="50">
        <f>'14-15 NGGT'!H34-'Baseline NGGT'!H34</f>
        <v>0</v>
      </c>
      <c r="I34" s="50">
        <f>'14-15 NGGT'!I34-'Baseline NGGT'!I34</f>
        <v>0</v>
      </c>
      <c r="J34" s="50">
        <f>'14-15 NGGT'!J34-'Baseline NGGT'!J34</f>
        <v>0</v>
      </c>
      <c r="K34" s="50">
        <f>'14-15 NGGT'!K34-'Baseline NGGT'!K34</f>
        <v>0</v>
      </c>
      <c r="L34" s="50">
        <f>'14-15 NGGT'!L34-'Baseline NGGT'!L34</f>
        <v>0</v>
      </c>
      <c r="S34" s="12" t="s">
        <v>390</v>
      </c>
      <c r="T34" s="336">
        <v>201</v>
      </c>
      <c r="U34" s="336">
        <v>187</v>
      </c>
      <c r="V34" s="336">
        <v>198</v>
      </c>
      <c r="W34" s="336">
        <v>229</v>
      </c>
      <c r="X34" s="336">
        <v>260</v>
      </c>
      <c r="Y34" s="336">
        <v>179</v>
      </c>
      <c r="Z34" s="336">
        <v>167</v>
      </c>
      <c r="AA34" s="336">
        <v>166</v>
      </c>
      <c r="AB34" s="339">
        <v>1588</v>
      </c>
      <c r="AD34" s="50">
        <f t="shared" si="1"/>
        <v>-201</v>
      </c>
      <c r="AE34" s="50">
        <f t="shared" si="1"/>
        <v>-187</v>
      </c>
      <c r="AF34" s="50">
        <f t="shared" si="1"/>
        <v>-198</v>
      </c>
      <c r="AG34" s="50">
        <f t="shared" si="1"/>
        <v>-229</v>
      </c>
      <c r="AH34" s="50">
        <f t="shared" si="1"/>
        <v>-260</v>
      </c>
      <c r="AI34" s="50">
        <f t="shared" si="1"/>
        <v>-179</v>
      </c>
      <c r="AJ34" s="50">
        <f t="shared" si="1"/>
        <v>-167</v>
      </c>
      <c r="AK34" s="50">
        <f t="shared" si="1"/>
        <v>-166</v>
      </c>
      <c r="AL34" s="50">
        <f t="shared" si="1"/>
        <v>-1588</v>
      </c>
    </row>
    <row r="35" spans="1:39" ht="12.75" customHeight="1">
      <c r="A35" t="s">
        <v>233</v>
      </c>
      <c r="C35" s="10" t="s">
        <v>418</v>
      </c>
      <c r="D35" s="42">
        <f>'14-15 NGGT'!D35-'Baseline NGGT'!D35</f>
        <v>0</v>
      </c>
      <c r="E35" s="42">
        <f>'14-15 NGGT'!E35-'Baseline NGGT'!E35</f>
        <v>0</v>
      </c>
      <c r="F35" s="42">
        <f>'14-15 NGGT'!F35-'Baseline NGGT'!F35</f>
        <v>0</v>
      </c>
      <c r="G35" s="42">
        <f>'14-15 NGGT'!G35-'Baseline NGGT'!G35</f>
        <v>0</v>
      </c>
      <c r="H35" s="42">
        <f>'14-15 NGGT'!H35-'Baseline NGGT'!H35</f>
        <v>0</v>
      </c>
      <c r="I35" s="42">
        <f>'14-15 NGGT'!I35-'Baseline NGGT'!I35</f>
        <v>0</v>
      </c>
      <c r="J35" s="42">
        <f>'14-15 NGGT'!J35-'Baseline NGGT'!J35</f>
        <v>0</v>
      </c>
      <c r="K35" s="42">
        <f>'14-15 NGGT'!K35-'Baseline NGGT'!K35</f>
        <v>0</v>
      </c>
      <c r="L35" s="50">
        <f>'14-15 NGGT'!L35-'Baseline NGGT'!L35</f>
        <v>0</v>
      </c>
      <c r="S35" s="10" t="s">
        <v>415</v>
      </c>
      <c r="T35" s="335">
        <v>112</v>
      </c>
      <c r="U35" s="335">
        <v>98</v>
      </c>
      <c r="V35" s="335">
        <v>107</v>
      </c>
      <c r="W35" s="335">
        <v>137</v>
      </c>
      <c r="X35" s="335">
        <v>166</v>
      </c>
      <c r="Y35" s="335">
        <v>85</v>
      </c>
      <c r="Z35" s="335">
        <v>72</v>
      </c>
      <c r="AA35" s="335">
        <v>71</v>
      </c>
      <c r="AB35" s="336">
        <v>846</v>
      </c>
      <c r="AD35" s="42">
        <f t="shared" si="1"/>
        <v>-112</v>
      </c>
      <c r="AE35" s="42">
        <f t="shared" si="1"/>
        <v>-98</v>
      </c>
      <c r="AF35" s="42">
        <f t="shared" si="1"/>
        <v>-107</v>
      </c>
      <c r="AG35" s="42">
        <f t="shared" si="1"/>
        <v>-137</v>
      </c>
      <c r="AH35" s="42">
        <f t="shared" si="1"/>
        <v>-166</v>
      </c>
      <c r="AI35" s="42">
        <f t="shared" si="1"/>
        <v>-85</v>
      </c>
      <c r="AJ35" s="42">
        <f t="shared" si="1"/>
        <v>-72</v>
      </c>
      <c r="AK35" s="42">
        <f t="shared" si="1"/>
        <v>-71</v>
      </c>
      <c r="AL35" s="42">
        <f t="shared" si="1"/>
        <v>-846</v>
      </c>
    </row>
    <row r="36" spans="1:39" ht="12.75" customHeight="1">
      <c r="C36" s="10" t="s">
        <v>419</v>
      </c>
      <c r="D36" s="42">
        <f>'14-15 NGGT'!D36-'Baseline NGGT'!D36</f>
        <v>0</v>
      </c>
      <c r="E36" s="42">
        <f>'14-15 NGGT'!E36-'Baseline NGGT'!E36</f>
        <v>0</v>
      </c>
      <c r="F36" s="42">
        <f>'14-15 NGGT'!F36-'Baseline NGGT'!F36</f>
        <v>0</v>
      </c>
      <c r="G36" s="42">
        <f>'14-15 NGGT'!G36-'Baseline NGGT'!G36</f>
        <v>0</v>
      </c>
      <c r="H36" s="42">
        <f>'14-15 NGGT'!H36-'Baseline NGGT'!H36</f>
        <v>0</v>
      </c>
      <c r="I36" s="42">
        <f>'14-15 NGGT'!I36-'Baseline NGGT'!I36</f>
        <v>0</v>
      </c>
      <c r="J36" s="42">
        <f>'14-15 NGGT'!J36-'Baseline NGGT'!J36</f>
        <v>0</v>
      </c>
      <c r="K36" s="42">
        <f>'14-15 NGGT'!K36-'Baseline NGGT'!K36</f>
        <v>0</v>
      </c>
      <c r="L36" s="50">
        <f>'14-15 NGGT'!L36-'Baseline NGGT'!L36</f>
        <v>0</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'14-15 NGGT'!D37-'Baseline NGGT'!D37</f>
        <v>0</v>
      </c>
      <c r="E37" s="43">
        <f>'14-15 NGGT'!E37-'Baseline NGGT'!E37</f>
        <v>0</v>
      </c>
      <c r="F37" s="43">
        <f>'14-15 NGGT'!F37-'Baseline NGGT'!F37</f>
        <v>0</v>
      </c>
      <c r="G37" s="43">
        <f>'14-15 NGGT'!G37-'Baseline NGGT'!G37</f>
        <v>0</v>
      </c>
      <c r="H37" s="43">
        <f>'14-15 NGGT'!H37-'Baseline NGGT'!H37</f>
        <v>0</v>
      </c>
      <c r="I37" s="43">
        <f>'14-15 NGGT'!I37-'Baseline NGGT'!I37</f>
        <v>0</v>
      </c>
      <c r="J37" s="43">
        <f>'14-15 NGGT'!J37-'Baseline NGGT'!J37</f>
        <v>0</v>
      </c>
      <c r="K37" s="43">
        <f>'14-15 NGGT'!K37-'Baseline NGGT'!K37</f>
        <v>0</v>
      </c>
      <c r="L37" s="45">
        <f>'14-15 NGGT'!L37-'Baseline NGGT'!L37</f>
        <v>0</v>
      </c>
      <c r="S37" s="11" t="s">
        <v>417</v>
      </c>
      <c r="T37" s="337">
        <v>90</v>
      </c>
      <c r="U37" s="337">
        <v>89</v>
      </c>
      <c r="V37" s="337">
        <v>92</v>
      </c>
      <c r="W37" s="337">
        <v>92</v>
      </c>
      <c r="X37" s="337">
        <v>94</v>
      </c>
      <c r="Y37" s="337">
        <v>95</v>
      </c>
      <c r="Z37" s="337">
        <v>96</v>
      </c>
      <c r="AA37" s="337">
        <v>96</v>
      </c>
      <c r="AB37" s="338">
        <v>743</v>
      </c>
      <c r="AD37" s="43">
        <f t="shared" ref="AD37:AL38" si="2">D37-T37</f>
        <v>-90</v>
      </c>
      <c r="AE37" s="43">
        <f t="shared" si="2"/>
        <v>-89</v>
      </c>
      <c r="AF37" s="43">
        <f t="shared" si="2"/>
        <v>-92</v>
      </c>
      <c r="AG37" s="43">
        <f t="shared" si="2"/>
        <v>-92</v>
      </c>
      <c r="AH37" s="43">
        <f t="shared" si="2"/>
        <v>-94</v>
      </c>
      <c r="AI37" s="43">
        <f t="shared" si="2"/>
        <v>-95</v>
      </c>
      <c r="AJ37" s="43">
        <f t="shared" si="2"/>
        <v>-96</v>
      </c>
      <c r="AK37" s="43">
        <f t="shared" si="2"/>
        <v>-96</v>
      </c>
      <c r="AL37" s="43">
        <f t="shared" si="2"/>
        <v>-743</v>
      </c>
    </row>
    <row r="38" spans="1:39" ht="12.75" customHeight="1">
      <c r="C38" s="12" t="s">
        <v>78</v>
      </c>
      <c r="D38" s="50">
        <f>'14-15 NGGT'!D38-'Baseline NGGT'!D38</f>
        <v>0</v>
      </c>
      <c r="E38" s="50">
        <f>'14-15 NGGT'!E38-'Baseline NGGT'!E38</f>
        <v>0</v>
      </c>
      <c r="F38" s="50">
        <f>'14-15 NGGT'!F38-'Baseline NGGT'!F38</f>
        <v>0</v>
      </c>
      <c r="G38" s="50">
        <f>'14-15 NGGT'!G38-'Baseline NGGT'!G38</f>
        <v>0</v>
      </c>
      <c r="H38" s="50">
        <f>'14-15 NGGT'!H38-'Baseline NGGT'!H38</f>
        <v>0</v>
      </c>
      <c r="I38" s="50">
        <f>'14-15 NGGT'!I38-'Baseline NGGT'!I38</f>
        <v>0</v>
      </c>
      <c r="J38" s="50">
        <f>'14-15 NGGT'!J38-'Baseline NGGT'!J38</f>
        <v>0</v>
      </c>
      <c r="K38" s="50">
        <f>'14-15 NGGT'!K38-'Baseline NGGT'!K38</f>
        <v>0</v>
      </c>
      <c r="L38" s="50">
        <f>'14-15 NGGT'!L38-'Baseline NGGT'!L38</f>
        <v>0</v>
      </c>
      <c r="S38" s="12" t="s">
        <v>390</v>
      </c>
      <c r="T38" s="336">
        <v>201</v>
      </c>
      <c r="U38" s="336">
        <v>187</v>
      </c>
      <c r="V38" s="336">
        <v>198</v>
      </c>
      <c r="W38" s="336">
        <v>229</v>
      </c>
      <c r="X38" s="336">
        <v>260</v>
      </c>
      <c r="Y38" s="336">
        <v>179</v>
      </c>
      <c r="Z38" s="336">
        <v>167</v>
      </c>
      <c r="AA38" s="336">
        <v>166</v>
      </c>
      <c r="AB38" s="339">
        <v>1588</v>
      </c>
      <c r="AD38" s="50">
        <f t="shared" si="2"/>
        <v>-201</v>
      </c>
      <c r="AE38" s="50">
        <f t="shared" si="2"/>
        <v>-187</v>
      </c>
      <c r="AF38" s="50">
        <f t="shared" si="2"/>
        <v>-198</v>
      </c>
      <c r="AG38" s="50">
        <f t="shared" si="2"/>
        <v>-229</v>
      </c>
      <c r="AH38" s="50">
        <f t="shared" si="2"/>
        <v>-260</v>
      </c>
      <c r="AI38" s="50">
        <f t="shared" si="2"/>
        <v>-179</v>
      </c>
      <c r="AJ38" s="50">
        <f t="shared" si="2"/>
        <v>-167</v>
      </c>
      <c r="AK38" s="50">
        <f t="shared" si="2"/>
        <v>-166</v>
      </c>
      <c r="AL38" s="50">
        <f t="shared" si="2"/>
        <v>-1588</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'14-15 NGGT'!D40-'Baseline NGGT'!D40</f>
        <v>0</v>
      </c>
      <c r="E40" s="43">
        <f>'14-15 NGGT'!E40-'Baseline NGGT'!E40</f>
        <v>0</v>
      </c>
      <c r="F40" s="43">
        <f>'14-15 NGGT'!F40-'Baseline NGGT'!F40</f>
        <v>0</v>
      </c>
      <c r="G40" s="43">
        <f>'14-15 NGGT'!G40-'Baseline NGGT'!G40</f>
        <v>0</v>
      </c>
      <c r="H40" s="43">
        <f>'14-15 NGGT'!H40-'Baseline NGGT'!H40</f>
        <v>0</v>
      </c>
      <c r="I40" s="43">
        <f>'14-15 NGGT'!I40-'Baseline NGGT'!I40</f>
        <v>0</v>
      </c>
      <c r="J40" s="43">
        <f>'14-15 NGGT'!J40-'Baseline NGGT'!J40</f>
        <v>0</v>
      </c>
      <c r="K40" s="43">
        <f>'14-15 NGGT'!K40-'Baseline NGGT'!K40</f>
        <v>0</v>
      </c>
      <c r="L40" s="45">
        <f>'14-15 NGGT'!L40-'Baseline NGGT'!L40</f>
        <v>0</v>
      </c>
      <c r="S40" s="11" t="s">
        <v>79</v>
      </c>
      <c r="T40" s="337">
        <v>95</v>
      </c>
      <c r="U40" s="337">
        <v>88</v>
      </c>
      <c r="V40" s="337">
        <v>93</v>
      </c>
      <c r="W40" s="337">
        <v>108</v>
      </c>
      <c r="X40" s="337">
        <v>122</v>
      </c>
      <c r="Y40" s="337">
        <v>84</v>
      </c>
      <c r="Z40" s="337">
        <v>79</v>
      </c>
      <c r="AA40" s="337">
        <v>78</v>
      </c>
      <c r="AB40" s="338">
        <v>747</v>
      </c>
      <c r="AD40" s="43">
        <f t="shared" si="0"/>
        <v>-95</v>
      </c>
      <c r="AE40" s="43">
        <f t="shared" si="0"/>
        <v>-88</v>
      </c>
      <c r="AF40" s="43">
        <f t="shared" si="0"/>
        <v>-93</v>
      </c>
      <c r="AG40" s="43">
        <f t="shared" si="0"/>
        <v>-108</v>
      </c>
      <c r="AH40" s="43">
        <f t="shared" si="0"/>
        <v>-122</v>
      </c>
      <c r="AI40" s="43">
        <f t="shared" si="0"/>
        <v>-84</v>
      </c>
      <c r="AJ40" s="43">
        <f t="shared" si="0"/>
        <v>-79</v>
      </c>
      <c r="AK40" s="43">
        <f t="shared" si="0"/>
        <v>-78</v>
      </c>
      <c r="AL40" s="43">
        <f t="shared" si="0"/>
        <v>-747</v>
      </c>
    </row>
    <row r="41" spans="1:39" ht="12.75" customHeight="1">
      <c r="C41" s="10" t="s">
        <v>80</v>
      </c>
      <c r="D41" s="42">
        <f>'14-15 NGGT'!D41-'Baseline NGGT'!D41</f>
        <v>0</v>
      </c>
      <c r="E41" s="42">
        <f>'14-15 NGGT'!E41-'Baseline NGGT'!E41</f>
        <v>0</v>
      </c>
      <c r="F41" s="42">
        <f>'14-15 NGGT'!F41-'Baseline NGGT'!F41</f>
        <v>0</v>
      </c>
      <c r="G41" s="42">
        <f>'14-15 NGGT'!G41-'Baseline NGGT'!G41</f>
        <v>0</v>
      </c>
      <c r="H41" s="42">
        <f>'14-15 NGGT'!H41-'Baseline NGGT'!H41</f>
        <v>0</v>
      </c>
      <c r="I41" s="42">
        <f>'14-15 NGGT'!I41-'Baseline NGGT'!I41</f>
        <v>0</v>
      </c>
      <c r="J41" s="42">
        <f>'14-15 NGGT'!J41-'Baseline NGGT'!J41</f>
        <v>0</v>
      </c>
      <c r="K41" s="42">
        <f>'14-15 NGGT'!K41-'Baseline NGGT'!K41</f>
        <v>0</v>
      </c>
      <c r="L41" s="50">
        <f>'14-15 NGGT'!L41-'Baseline NGGT'!L41</f>
        <v>0</v>
      </c>
      <c r="S41" s="10" t="s">
        <v>80</v>
      </c>
      <c r="T41" s="335">
        <v>107</v>
      </c>
      <c r="U41" s="335">
        <v>99</v>
      </c>
      <c r="V41" s="335">
        <v>105</v>
      </c>
      <c r="W41" s="335">
        <v>121</v>
      </c>
      <c r="X41" s="335">
        <v>138</v>
      </c>
      <c r="Y41" s="335">
        <v>95</v>
      </c>
      <c r="Z41" s="335">
        <v>89</v>
      </c>
      <c r="AA41" s="335">
        <v>88</v>
      </c>
      <c r="AB41" s="336">
        <v>842</v>
      </c>
      <c r="AD41" s="42">
        <f t="shared" si="0"/>
        <v>-107</v>
      </c>
      <c r="AE41" s="42">
        <f t="shared" si="0"/>
        <v>-99</v>
      </c>
      <c r="AF41" s="42">
        <f t="shared" si="0"/>
        <v>-105</v>
      </c>
      <c r="AG41" s="42">
        <f t="shared" si="0"/>
        <v>-121</v>
      </c>
      <c r="AH41" s="42">
        <f t="shared" si="0"/>
        <v>-138</v>
      </c>
      <c r="AI41" s="42">
        <f t="shared" si="0"/>
        <v>-95</v>
      </c>
      <c r="AJ41" s="42">
        <f t="shared" si="0"/>
        <v>-89</v>
      </c>
      <c r="AK41" s="42">
        <f t="shared" si="0"/>
        <v>-88</v>
      </c>
      <c r="AL41" s="42">
        <f t="shared" si="0"/>
        <v>-842</v>
      </c>
    </row>
    <row r="42" spans="1:39" ht="12.75" customHeight="1">
      <c r="C42" s="39" t="s">
        <v>420</v>
      </c>
      <c r="D42" s="45">
        <f>'14-15 NGGT'!D42-'Baseline NGGT'!D42</f>
        <v>0</v>
      </c>
      <c r="E42" s="45">
        <f>'14-15 NGGT'!E42-'Baseline NGGT'!E42</f>
        <v>0</v>
      </c>
      <c r="F42" s="45">
        <f>'14-15 NGGT'!F42-'Baseline NGGT'!F42</f>
        <v>0</v>
      </c>
      <c r="G42" s="45">
        <f>'14-15 NGGT'!G42-'Baseline NGGT'!G42</f>
        <v>0</v>
      </c>
      <c r="H42" s="45">
        <f>'14-15 NGGT'!H42-'Baseline NGGT'!H42</f>
        <v>0</v>
      </c>
      <c r="I42" s="45">
        <f>'14-15 NGGT'!I42-'Baseline NGGT'!I42</f>
        <v>0</v>
      </c>
      <c r="J42" s="45">
        <f>'14-15 NGGT'!J42-'Baseline NGGT'!J42</f>
        <v>0</v>
      </c>
      <c r="K42" s="45">
        <f>'14-15 NGGT'!K42-'Baseline NGGT'!K42</f>
        <v>0</v>
      </c>
      <c r="L42" s="45">
        <f>'14-15 NGGT'!L42-'Baseline NGGT'!L42</f>
        <v>0</v>
      </c>
      <c r="S42" s="39" t="s">
        <v>421</v>
      </c>
      <c r="T42" s="338">
        <v>201</v>
      </c>
      <c r="U42" s="338">
        <v>187</v>
      </c>
      <c r="V42" s="338">
        <v>198</v>
      </c>
      <c r="W42" s="338">
        <v>229</v>
      </c>
      <c r="X42" s="338">
        <v>260</v>
      </c>
      <c r="Y42" s="338">
        <v>179</v>
      </c>
      <c r="Z42" s="338">
        <v>167</v>
      </c>
      <c r="AA42" s="338">
        <v>166</v>
      </c>
      <c r="AB42" s="340">
        <v>1588</v>
      </c>
      <c r="AD42" s="45">
        <f t="shared" si="0"/>
        <v>-201</v>
      </c>
      <c r="AE42" s="45">
        <f t="shared" si="0"/>
        <v>-187</v>
      </c>
      <c r="AF42" s="45">
        <f t="shared" si="0"/>
        <v>-198</v>
      </c>
      <c r="AG42" s="45">
        <f t="shared" si="0"/>
        <v>-229</v>
      </c>
      <c r="AH42" s="45">
        <f t="shared" si="0"/>
        <v>-260</v>
      </c>
      <c r="AI42" s="45">
        <f t="shared" si="0"/>
        <v>-179</v>
      </c>
      <c r="AJ42" s="45">
        <f t="shared" si="0"/>
        <v>-167</v>
      </c>
      <c r="AK42" s="45">
        <f t="shared" si="0"/>
        <v>-166</v>
      </c>
      <c r="AL42" s="45">
        <f t="shared" si="0"/>
        <v>-1588</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'14-15 NGGT'!D44-'Baseline NGGT'!D44</f>
        <v>0</v>
      </c>
      <c r="E44" s="43">
        <f>'14-15 NGGT'!E44-'Baseline NGGT'!E44</f>
        <v>0</v>
      </c>
      <c r="F44" s="43">
        <f>'14-15 NGGT'!F44-'Baseline NGGT'!F44</f>
        <v>0</v>
      </c>
      <c r="G44" s="43">
        <f>'14-15 NGGT'!G44-'Baseline NGGT'!G44</f>
        <v>0</v>
      </c>
      <c r="H44" s="43">
        <f>'14-15 NGGT'!H44-'Baseline NGGT'!H44</f>
        <v>0</v>
      </c>
      <c r="I44" s="43">
        <f>'14-15 NGGT'!I44-'Baseline NGGT'!I44</f>
        <v>0</v>
      </c>
      <c r="J44" s="43">
        <f>'14-15 NGGT'!J44-'Baseline NGGT'!J44</f>
        <v>0</v>
      </c>
      <c r="K44" s="43">
        <f>'14-15 NGGT'!K44-'Baseline NGGT'!K44</f>
        <v>0</v>
      </c>
      <c r="L44" s="45">
        <f>'14-15 NGGT'!L44-'Baseline NGGT'!L44</f>
        <v>0</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'14-15 NGGT'!D45-'Baseline NGGT'!D45</f>
        <v>0</v>
      </c>
      <c r="E45" s="42">
        <f>'14-15 NGGT'!E45-'Baseline NGGT'!E45</f>
        <v>0</v>
      </c>
      <c r="F45" s="42">
        <f>'14-15 NGGT'!F45-'Baseline NGGT'!F45</f>
        <v>0</v>
      </c>
      <c r="G45" s="42">
        <f>'14-15 NGGT'!G45-'Baseline NGGT'!G45</f>
        <v>0</v>
      </c>
      <c r="H45" s="42">
        <f>'14-15 NGGT'!H45-'Baseline NGGT'!H45</f>
        <v>0</v>
      </c>
      <c r="I45" s="42">
        <f>'14-15 NGGT'!I45-'Baseline NGGT'!I45</f>
        <v>0</v>
      </c>
      <c r="J45" s="42">
        <f>'14-15 NGGT'!J45-'Baseline NGGT'!J45</f>
        <v>0</v>
      </c>
      <c r="K45" s="42">
        <f>'14-15 NGGT'!K45-'Baseline NGGT'!K45</f>
        <v>0</v>
      </c>
      <c r="L45" s="50">
        <f>'14-15 NGGT'!L45-'Baseline NGGT'!L45</f>
        <v>0</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'14-15 NGGT'!D46-'Baseline NGGT'!D46</f>
        <v>0</v>
      </c>
      <c r="E46" s="45">
        <f>'14-15 NGGT'!E46-'Baseline NGGT'!E46</f>
        <v>0</v>
      </c>
      <c r="F46" s="45">
        <f>'14-15 NGGT'!F46-'Baseline NGGT'!F46</f>
        <v>0</v>
      </c>
      <c r="G46" s="45">
        <f>'14-15 NGGT'!G46-'Baseline NGGT'!G46</f>
        <v>0</v>
      </c>
      <c r="H46" s="45">
        <f>'14-15 NGGT'!H46-'Baseline NGGT'!H46</f>
        <v>0</v>
      </c>
      <c r="I46" s="45">
        <f>'14-15 NGGT'!I46-'Baseline NGGT'!I46</f>
        <v>0</v>
      </c>
      <c r="J46" s="45">
        <f>'14-15 NGGT'!J46-'Baseline NGGT'!J46</f>
        <v>0</v>
      </c>
      <c r="K46" s="45">
        <f>'14-15 NGGT'!K46-'Baseline NGGT'!K46</f>
        <v>0</v>
      </c>
      <c r="L46" s="45">
        <f>'14-15 NGGT'!L46-'Baseline NGGT'!L46</f>
        <v>0</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'14-15 NGGT'!D48-'Baseline NGGT'!D48</f>
        <v>0</v>
      </c>
      <c r="E48" s="44">
        <f>'14-15 NGGT'!E48-'Baseline NGGT'!E48</f>
        <v>0</v>
      </c>
      <c r="F48" s="44">
        <f>'14-15 NGGT'!F48-'Baseline NGGT'!F48</f>
        <v>0</v>
      </c>
      <c r="G48" s="44">
        <f>'14-15 NGGT'!G48-'Baseline NGGT'!G48</f>
        <v>0</v>
      </c>
      <c r="H48" s="44">
        <f>'14-15 NGGT'!H48-'Baseline NGGT'!H48</f>
        <v>0</v>
      </c>
      <c r="I48" s="44">
        <f>'14-15 NGGT'!I48-'Baseline NGGT'!I48</f>
        <v>0</v>
      </c>
      <c r="J48" s="44">
        <f>'14-15 NGGT'!J48-'Baseline NGGT'!J48</f>
        <v>0</v>
      </c>
      <c r="K48" s="44">
        <f>'14-15 NGGT'!K48-'Baseline NGGT'!K48</f>
        <v>0</v>
      </c>
      <c r="L48" s="44">
        <f>'14-15 NGGT'!L48-'Baseline NGGT'!L48</f>
        <v>0</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-156</v>
      </c>
      <c r="AE48" s="44">
        <f t="shared" si="0"/>
        <v>-193</v>
      </c>
      <c r="AF48" s="44">
        <f t="shared" si="0"/>
        <v>-300</v>
      </c>
      <c r="AG48" s="44">
        <f t="shared" si="0"/>
        <v>-405</v>
      </c>
      <c r="AH48" s="44">
        <f t="shared" si="0"/>
        <v>-527</v>
      </c>
      <c r="AI48" s="44">
        <f t="shared" si="0"/>
        <v>-468</v>
      </c>
      <c r="AJ48" s="44">
        <f t="shared" si="0"/>
        <v>-514</v>
      </c>
      <c r="AK48" s="44">
        <f t="shared" si="0"/>
        <v>-552</v>
      </c>
      <c r="AL48" s="44">
        <f t="shared" si="0"/>
        <v>-3114</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'14-15 NGGT'!D52-'Baseline NGGT'!D52</f>
        <v>0</v>
      </c>
      <c r="E52" s="41">
        <f>'14-15 NGGT'!E52-'Baseline NGGT'!E52</f>
        <v>87.49215036545047</v>
      </c>
      <c r="F52" s="41">
        <f>'14-15 NGGT'!F52-'Baseline NGGT'!F52</f>
        <v>85.547880357328722</v>
      </c>
      <c r="G52" s="41">
        <f>'14-15 NGGT'!G52-'Baseline NGGT'!G52</f>
        <v>83.603610349207884</v>
      </c>
      <c r="H52" s="41">
        <f>'14-15 NGGT'!H52-'Baseline NGGT'!H52</f>
        <v>81.659340341086136</v>
      </c>
      <c r="I52" s="41">
        <f>'14-15 NGGT'!I52-'Baseline NGGT'!I52</f>
        <v>79.715070332965297</v>
      </c>
      <c r="J52" s="41">
        <f>'14-15 NGGT'!J52-'Baseline NGGT'!J52</f>
        <v>77.770800324843549</v>
      </c>
      <c r="K52" s="41">
        <f>'14-15 NGGT'!K52-'Baseline NGGT'!K52</f>
        <v>75.82653031672271</v>
      </c>
    </row>
    <row r="53" spans="1:14" ht="13.8" thickBot="1">
      <c r="C53" s="10" t="s">
        <v>86</v>
      </c>
      <c r="D53" s="42">
        <f>'14-15 NGGT'!D53-'Baseline NGGT'!D53</f>
        <v>87.492150365450755</v>
      </c>
      <c r="E53" s="42">
        <f>'14-15 NGGT'!E53-'Baseline NGGT'!E53</f>
        <v>0</v>
      </c>
      <c r="F53" s="42">
        <f>'14-15 NGGT'!F53-'Baseline NGGT'!F53</f>
        <v>0</v>
      </c>
      <c r="G53" s="42">
        <f>'14-15 NGGT'!G53-'Baseline NGGT'!G53</f>
        <v>0</v>
      </c>
      <c r="H53" s="42">
        <f>'14-15 NGGT'!H53-'Baseline NGGT'!H53</f>
        <v>0</v>
      </c>
      <c r="I53" s="42">
        <f>'14-15 NGGT'!I53-'Baseline NGGT'!I53</f>
        <v>0</v>
      </c>
      <c r="J53" s="42">
        <f>'14-15 NGGT'!J53-'Baseline NGGT'!J53</f>
        <v>0</v>
      </c>
      <c r="K53" s="42">
        <f>'14-15 NGGT'!K53-'Baseline NGGT'!K53</f>
        <v>0</v>
      </c>
    </row>
    <row r="54" spans="1:14">
      <c r="C54" s="11" t="s">
        <v>92</v>
      </c>
      <c r="D54" s="41">
        <f>'14-15 NGGT'!D54-'Baseline NGGT'!D54</f>
        <v>0</v>
      </c>
      <c r="E54" s="41">
        <f>'14-15 NGGT'!E54-'Baseline NGGT'!E54</f>
        <v>0</v>
      </c>
      <c r="F54" s="41">
        <f>'14-15 NGGT'!F54-'Baseline NGGT'!F54</f>
        <v>0</v>
      </c>
      <c r="G54" s="41">
        <f>'14-15 NGGT'!G54-'Baseline NGGT'!G54</f>
        <v>0</v>
      </c>
      <c r="H54" s="41">
        <f>'14-15 NGGT'!H54-'Baseline NGGT'!H54</f>
        <v>0</v>
      </c>
      <c r="I54" s="41">
        <f>'14-15 NGGT'!I54-'Baseline NGGT'!I54</f>
        <v>0</v>
      </c>
      <c r="J54" s="41">
        <f>'14-15 NGGT'!J54-'Baseline NGGT'!J54</f>
        <v>0</v>
      </c>
      <c r="K54" s="41">
        <f>'14-15 NGGT'!K54-'Baseline NGGT'!K54</f>
        <v>0</v>
      </c>
    </row>
    <row r="55" spans="1:14">
      <c r="C55" s="10" t="s">
        <v>93</v>
      </c>
      <c r="D55" s="42">
        <f>'14-15 NGGT'!D55-'Baseline NGGT'!D55</f>
        <v>0</v>
      </c>
      <c r="E55" s="42">
        <f>'14-15 NGGT'!E55-'Baseline NGGT'!E55</f>
        <v>-1.9442700081211282</v>
      </c>
      <c r="F55" s="42">
        <f>'14-15 NGGT'!F55-'Baseline NGGT'!F55</f>
        <v>-1.9442700081211282</v>
      </c>
      <c r="G55" s="42">
        <f>'14-15 NGGT'!G55-'Baseline NGGT'!G55</f>
        <v>-1.9442700081211282</v>
      </c>
      <c r="H55" s="42">
        <f>'14-15 NGGT'!H55-'Baseline NGGT'!H55</f>
        <v>-1.9442700081211282</v>
      </c>
      <c r="I55" s="42">
        <f>'14-15 NGGT'!I55-'Baseline NGGT'!I55</f>
        <v>-1.9442700081211299</v>
      </c>
      <c r="J55" s="42">
        <f>'14-15 NGGT'!J55-'Baseline NGGT'!J55</f>
        <v>-1.9442700081211299</v>
      </c>
      <c r="K55" s="42">
        <f>'14-15 NGGT'!K55-'Baseline NGGT'!K55</f>
        <v>-1.9442700081211299</v>
      </c>
      <c r="N55" s="208"/>
    </row>
    <row r="56" spans="1:14" ht="13.8" thickBot="1">
      <c r="C56" s="23" t="s">
        <v>94</v>
      </c>
      <c r="D56" s="44">
        <f>'14-15 NGGT'!D56-'Baseline NGGT'!D56</f>
        <v>87.49215036545047</v>
      </c>
      <c r="E56" s="44">
        <f>'14-15 NGGT'!E56-'Baseline NGGT'!E56</f>
        <v>85.547880357328722</v>
      </c>
      <c r="F56" s="44">
        <f>'14-15 NGGT'!F56-'Baseline NGGT'!F56</f>
        <v>83.603610349207884</v>
      </c>
      <c r="G56" s="44">
        <f>'14-15 NGGT'!G56-'Baseline NGGT'!G56</f>
        <v>81.659340341086136</v>
      </c>
      <c r="H56" s="44">
        <f>'14-15 NGGT'!H56-'Baseline NGGT'!H56</f>
        <v>79.715070332965297</v>
      </c>
      <c r="I56" s="44">
        <f>'14-15 NGGT'!I56-'Baseline NGGT'!I56</f>
        <v>77.770800324843549</v>
      </c>
      <c r="J56" s="44">
        <f>'14-15 NGGT'!J56-'Baseline NGGT'!J56</f>
        <v>75.82653031672271</v>
      </c>
      <c r="K56" s="44">
        <f>'14-15 NGGT'!K56-'Baseline NGGT'!K56</f>
        <v>73.882260308601872</v>
      </c>
      <c r="N56" s="209"/>
    </row>
    <row r="58" spans="1:14">
      <c r="D58" s="53"/>
      <c r="E58" s="53"/>
      <c r="F58" s="53"/>
      <c r="G58" s="53"/>
      <c r="H58" s="53"/>
      <c r="I58" s="53"/>
      <c r="J58" s="53"/>
      <c r="K58" s="53"/>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'14-15 NGGT'!D61-'Baseline NGGT'!D61</f>
        <v>0</v>
      </c>
      <c r="E61" s="41">
        <f>'14-15 NGGT'!E61-'Baseline NGGT'!E61</f>
        <v>87.49215036545138</v>
      </c>
      <c r="F61" s="41">
        <f>'14-15 NGGT'!F61-'Baseline NGGT'!F61</f>
        <v>85.547880357330541</v>
      </c>
      <c r="G61" s="41">
        <f>'14-15 NGGT'!G61-'Baseline NGGT'!G61</f>
        <v>83.603610349209703</v>
      </c>
      <c r="H61" s="41">
        <f>'14-15 NGGT'!H61-'Baseline NGGT'!H61</f>
        <v>81.659340341087955</v>
      </c>
      <c r="I61" s="41">
        <f>'14-15 NGGT'!I61-'Baseline NGGT'!I61</f>
        <v>79.715070332967116</v>
      </c>
      <c r="J61" s="41">
        <f>'14-15 NGGT'!J61-'Baseline NGGT'!J61</f>
        <v>77.770800324846277</v>
      </c>
      <c r="K61" s="41">
        <f>'14-15 NGGT'!K61-'Baseline NGGT'!K61</f>
        <v>75.826530316724529</v>
      </c>
    </row>
    <row r="62" spans="1:14">
      <c r="C62" s="10" t="s">
        <v>85</v>
      </c>
      <c r="D62" s="42">
        <f>'14-15 NGGT'!D62-'Baseline NGGT'!D62</f>
        <v>0</v>
      </c>
      <c r="E62" s="42">
        <f>'14-15 NGGT'!E62-'Baseline NGGT'!E62</f>
        <v>0</v>
      </c>
      <c r="F62" s="42">
        <f>'14-15 NGGT'!F62-'Baseline NGGT'!F62</f>
        <v>0</v>
      </c>
      <c r="G62" s="42">
        <f>'14-15 NGGT'!G62-'Baseline NGGT'!G62</f>
        <v>0</v>
      </c>
      <c r="H62" s="42">
        <f>'14-15 NGGT'!H62-'Baseline NGGT'!H62</f>
        <v>0</v>
      </c>
      <c r="I62" s="42">
        <f>'14-15 NGGT'!I62-'Baseline NGGT'!I62</f>
        <v>0</v>
      </c>
      <c r="J62" s="42">
        <f>'14-15 NGGT'!J62-'Baseline NGGT'!J62</f>
        <v>0</v>
      </c>
      <c r="K62" s="42">
        <f>'14-15 NGGT'!K62-'Baseline NGGT'!K62</f>
        <v>0</v>
      </c>
    </row>
    <row r="63" spans="1:14">
      <c r="C63" s="11" t="s">
        <v>86</v>
      </c>
      <c r="D63" s="43">
        <f>'14-15 NGGT'!D63-'Baseline NGGT'!D63</f>
        <v>87.492150365450755</v>
      </c>
      <c r="E63" s="43">
        <f>'14-15 NGGT'!E63-'Baseline NGGT'!E63</f>
        <v>0</v>
      </c>
      <c r="F63" s="43">
        <f>'14-15 NGGT'!F63-'Baseline NGGT'!F63</f>
        <v>0</v>
      </c>
      <c r="G63" s="43">
        <f>'14-15 NGGT'!G63-'Baseline NGGT'!G63</f>
        <v>0</v>
      </c>
      <c r="H63" s="43">
        <f>'14-15 NGGT'!H63-'Baseline NGGT'!H63</f>
        <v>0</v>
      </c>
      <c r="I63" s="43">
        <f>'14-15 NGGT'!I63-'Baseline NGGT'!I63</f>
        <v>0</v>
      </c>
      <c r="J63" s="43">
        <f>'14-15 NGGT'!J63-'Baseline NGGT'!J63</f>
        <v>0</v>
      </c>
      <c r="K63" s="43">
        <f>'14-15 NGGT'!K63-'Baseline NGGT'!K63</f>
        <v>0</v>
      </c>
    </row>
    <row r="64" spans="1:14">
      <c r="C64" s="10" t="s">
        <v>87</v>
      </c>
      <c r="D64" s="42">
        <f>'14-15 NGGT'!D64-'Baseline NGGT'!D64</f>
        <v>0</v>
      </c>
      <c r="E64" s="42">
        <f>'14-15 NGGT'!E64-'Baseline NGGT'!E64</f>
        <v>-1.9442700081211512</v>
      </c>
      <c r="F64" s="42">
        <f>'14-15 NGGT'!F64-'Baseline NGGT'!F64</f>
        <v>-1.9442700081211228</v>
      </c>
      <c r="G64" s="42">
        <f>'14-15 NGGT'!G64-'Baseline NGGT'!G64</f>
        <v>-1.9442700081211228</v>
      </c>
      <c r="H64" s="42">
        <f>'14-15 NGGT'!H64-'Baseline NGGT'!H64</f>
        <v>-1.9442700081211512</v>
      </c>
      <c r="I64" s="42">
        <f>'14-15 NGGT'!I64-'Baseline NGGT'!I64</f>
        <v>-1.9442700081211512</v>
      </c>
      <c r="J64" s="42">
        <f>'14-15 NGGT'!J64-'Baseline NGGT'!J64</f>
        <v>-1.9442700081211228</v>
      </c>
      <c r="K64" s="42">
        <f>'14-15 NGGT'!K64-'Baseline NGGT'!K64</f>
        <v>-1.9442700081211228</v>
      </c>
    </row>
    <row r="65" spans="1:14">
      <c r="C65" s="39" t="s">
        <v>94</v>
      </c>
      <c r="D65" s="45">
        <f>'14-15 NGGT'!D65-'Baseline NGGT'!D65</f>
        <v>87.49215036545138</v>
      </c>
      <c r="E65" s="45">
        <f>'14-15 NGGT'!E65-'Baseline NGGT'!E65</f>
        <v>85.547880357330541</v>
      </c>
      <c r="F65" s="45">
        <f>'14-15 NGGT'!F65-'Baseline NGGT'!F65</f>
        <v>83.603610349209703</v>
      </c>
      <c r="G65" s="45">
        <f>'14-15 NGGT'!G65-'Baseline NGGT'!G65</f>
        <v>81.659340341087955</v>
      </c>
      <c r="H65" s="45">
        <f>'14-15 NGGT'!H65-'Baseline NGGT'!H65</f>
        <v>79.715070332967116</v>
      </c>
      <c r="I65" s="45">
        <f>'14-15 NGGT'!I65-'Baseline NGGT'!I65</f>
        <v>77.770800324846277</v>
      </c>
      <c r="J65" s="45">
        <f>'14-15 NGGT'!J65-'Baseline NGGT'!J65</f>
        <v>75.826530316724529</v>
      </c>
      <c r="K65" s="45">
        <f>'14-15 NGGT'!K65-'Baseline NGGT'!K65</f>
        <v>73.882260308603691</v>
      </c>
    </row>
    <row r="66" spans="1:14">
      <c r="C66" s="10" t="s">
        <v>89</v>
      </c>
      <c r="D66" s="42">
        <f>'14-15 NGGT'!D66-'Baseline NGGT'!D66</f>
        <v>0</v>
      </c>
      <c r="E66" s="42">
        <f>'14-15 NGGT'!E66-'Baseline NGGT'!E66</f>
        <v>0</v>
      </c>
      <c r="F66" s="42">
        <f>'14-15 NGGT'!F66-'Baseline NGGT'!F66</f>
        <v>0</v>
      </c>
      <c r="G66" s="42">
        <f>'14-15 NGGT'!G66-'Baseline NGGT'!G66</f>
        <v>0</v>
      </c>
      <c r="H66" s="42">
        <f>'14-15 NGGT'!H66-'Baseline NGGT'!H66</f>
        <v>0</v>
      </c>
      <c r="I66" s="42">
        <f>'14-15 NGGT'!I66-'Baseline NGGT'!I66</f>
        <v>0</v>
      </c>
      <c r="J66" s="42">
        <f>'14-15 NGGT'!J66-'Baseline NGGT'!J66</f>
        <v>0</v>
      </c>
      <c r="K66" s="42">
        <f>'14-15 NGGT'!K66-'Baseline NGGT'!K66</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'14-15 NGGT'!D70-'Baseline NGGT'!D70</f>
        <v>0</v>
      </c>
      <c r="E70" s="42">
        <f>'14-15 NGGT'!E70-'Baseline NGGT'!E70</f>
        <v>0</v>
      </c>
      <c r="F70" s="42">
        <f>'14-15 NGGT'!F70-'Baseline NGGT'!F70</f>
        <v>0</v>
      </c>
      <c r="G70" s="42">
        <f>'14-15 NGGT'!G70-'Baseline NGGT'!G70</f>
        <v>0</v>
      </c>
      <c r="H70" s="42">
        <f>'14-15 NGGT'!H70-'Baseline NGGT'!H70</f>
        <v>0</v>
      </c>
      <c r="I70" s="42">
        <f>'14-15 NGGT'!I70-'Baseline NGGT'!I70</f>
        <v>0</v>
      </c>
      <c r="J70" s="42">
        <f>'14-15 NGGT'!J70-'Baseline NGGT'!J70</f>
        <v>0</v>
      </c>
      <c r="K70" s="42">
        <f>'14-15 NGGT'!K70-'Baseline NGGT'!K70</f>
        <v>0</v>
      </c>
    </row>
    <row r="71" spans="1:14">
      <c r="C71" s="11" t="s">
        <v>98</v>
      </c>
      <c r="D71" s="43">
        <f>'14-15 NGGT'!D71-'Baseline NGGT'!D71</f>
        <v>0</v>
      </c>
      <c r="E71" s="43">
        <f>'14-15 NGGT'!E71-'Baseline NGGT'!E71</f>
        <v>0</v>
      </c>
      <c r="F71" s="43">
        <f>'14-15 NGGT'!F71-'Baseline NGGT'!F71</f>
        <v>0</v>
      </c>
      <c r="G71" s="43">
        <f>'14-15 NGGT'!G71-'Baseline NGGT'!G71</f>
        <v>0</v>
      </c>
      <c r="H71" s="43">
        <f>'14-15 NGGT'!H71-'Baseline NGGT'!H71</f>
        <v>0</v>
      </c>
      <c r="I71" s="43">
        <f>'14-15 NGGT'!I71-'Baseline NGGT'!I71</f>
        <v>0</v>
      </c>
      <c r="J71" s="43">
        <f>'14-15 NGGT'!J71-'Baseline NGGT'!J71</f>
        <v>0</v>
      </c>
      <c r="K71" s="43">
        <f>'14-15 NGGT'!K71-'Baseline NGGT'!K71</f>
        <v>0</v>
      </c>
    </row>
    <row r="72" spans="1:14">
      <c r="C72" s="10" t="s">
        <v>99</v>
      </c>
      <c r="D72" s="42">
        <f>'14-15 NGGT'!D72-'Baseline NGGT'!D72</f>
        <v>0</v>
      </c>
      <c r="E72" s="42">
        <f>'14-15 NGGT'!E72-'Baseline NGGT'!E72</f>
        <v>0</v>
      </c>
      <c r="F72" s="42">
        <f>'14-15 NGGT'!F72-'Baseline NGGT'!F72</f>
        <v>0</v>
      </c>
      <c r="G72" s="42">
        <f>'14-15 NGGT'!G72-'Baseline NGGT'!G72</f>
        <v>0</v>
      </c>
      <c r="H72" s="42">
        <f>'14-15 NGGT'!H72-'Baseline NGGT'!H72</f>
        <v>0</v>
      </c>
      <c r="I72" s="42">
        <f>'14-15 NGGT'!I72-'Baseline NGGT'!I72</f>
        <v>0</v>
      </c>
      <c r="J72" s="42">
        <f>'14-15 NGGT'!J72-'Baseline NGGT'!J72</f>
        <v>0</v>
      </c>
      <c r="K72" s="42">
        <f>'14-15 NGGT'!K72-'Baseline NGGT'!K72</f>
        <v>0</v>
      </c>
    </row>
    <row r="73" spans="1:14">
      <c r="C73" s="11" t="s">
        <v>100</v>
      </c>
      <c r="D73" s="43">
        <f>'14-15 NGGT'!D73-'Baseline NGGT'!D73</f>
        <v>0</v>
      </c>
      <c r="E73" s="43">
        <f>'14-15 NGGT'!E73-'Baseline NGGT'!E73</f>
        <v>0</v>
      </c>
      <c r="F73" s="43">
        <f>'14-15 NGGT'!F73-'Baseline NGGT'!F73</f>
        <v>0</v>
      </c>
      <c r="G73" s="43">
        <f>'14-15 NGGT'!G73-'Baseline NGGT'!G73</f>
        <v>0</v>
      </c>
      <c r="H73" s="43">
        <f>'14-15 NGGT'!H73-'Baseline NGGT'!H73</f>
        <v>0</v>
      </c>
      <c r="I73" s="43">
        <f>'14-15 NGGT'!I73-'Baseline NGGT'!I73</f>
        <v>0</v>
      </c>
      <c r="J73" s="43">
        <f>'14-15 NGGT'!J73-'Baseline NGGT'!J73</f>
        <v>0</v>
      </c>
      <c r="K73" s="43">
        <f>'14-15 NGGT'!K73-'Baseline NGGT'!K73</f>
        <v>0</v>
      </c>
    </row>
    <row r="74" spans="1:14">
      <c r="C74" s="10" t="s">
        <v>101</v>
      </c>
      <c r="D74" s="42">
        <f>'14-15 NGGT'!D74-'Baseline NGGT'!D74</f>
        <v>0</v>
      </c>
      <c r="E74" s="42">
        <f>'14-15 NGGT'!E74-'Baseline NGGT'!E74</f>
        <v>0</v>
      </c>
      <c r="F74" s="42">
        <f>'14-15 NGGT'!F74-'Baseline NGGT'!F74</f>
        <v>0</v>
      </c>
      <c r="G74" s="42">
        <f>'14-15 NGGT'!G74-'Baseline NGGT'!G74</f>
        <v>0</v>
      </c>
      <c r="H74" s="42">
        <f>'14-15 NGGT'!H74-'Baseline NGGT'!H74</f>
        <v>0</v>
      </c>
      <c r="I74" s="42">
        <f>'14-15 NGGT'!I74-'Baseline NGGT'!I74</f>
        <v>0</v>
      </c>
      <c r="J74" s="42">
        <f>'14-15 NGGT'!J74-'Baseline NGGT'!J74</f>
        <v>0</v>
      </c>
      <c r="K74" s="42">
        <f>'14-15 NGGT'!K74-'Baseline NGGT'!K74</f>
        <v>0</v>
      </c>
    </row>
    <row r="75" spans="1:14">
      <c r="C75" s="11" t="s">
        <v>102</v>
      </c>
      <c r="D75" s="43">
        <f>'14-15 NGGT'!D75-'Baseline NGGT'!D75</f>
        <v>0.15600958626567696</v>
      </c>
      <c r="E75" s="43">
        <f>'14-15 NGGT'!E75-'Baseline NGGT'!E75</f>
        <v>0.60506868234099542</v>
      </c>
      <c r="F75" s="43">
        <f>'14-15 NGGT'!F75-'Baseline NGGT'!F75</f>
        <v>0.59843277375584236</v>
      </c>
      <c r="G75" s="43">
        <f>'14-15 NGGT'!G75-'Baseline NGGT'!G75</f>
        <v>0.61057583732773324</v>
      </c>
      <c r="H75" s="43">
        <f>'14-15 NGGT'!H75-'Baseline NGGT'!H75</f>
        <v>0.62697619641367197</v>
      </c>
      <c r="I75" s="43">
        <f>'14-15 NGGT'!I75-'Baseline NGGT'!I75</f>
        <v>0.63807581079765541</v>
      </c>
      <c r="J75" s="43">
        <f>'14-15 NGGT'!J75-'Baseline NGGT'!J75</f>
        <v>0.62925527897989397</v>
      </c>
      <c r="K75" s="43">
        <f>'14-15 NGGT'!K75-'Baseline NGGT'!K75</f>
        <v>0.6109835459342392</v>
      </c>
    </row>
    <row r="76" spans="1:14">
      <c r="C76" s="10" t="s">
        <v>103</v>
      </c>
      <c r="D76" s="42">
        <f>'14-15 NGGT'!D76-'Baseline NGGT'!D76</f>
        <v>1.8336678220304066</v>
      </c>
      <c r="E76" s="42">
        <f>'14-15 NGGT'!E76-'Baseline NGGT'!E76</f>
        <v>0.47614414997633503</v>
      </c>
      <c r="F76" s="42">
        <f>'14-15 NGGT'!F76-'Baseline NGGT'!F76</f>
        <v>0.4128474107284319</v>
      </c>
      <c r="G76" s="42">
        <f>'14-15 NGGT'!G76-'Baseline NGGT'!G76</f>
        <v>0.3081797924232319</v>
      </c>
      <c r="H76" s="42">
        <f>'14-15 NGGT'!H76-'Baseline NGGT'!H76</f>
        <v>-0.38459460902890896</v>
      </c>
      <c r="I76" s="42">
        <f>'14-15 NGGT'!I76-'Baseline NGGT'!I76</f>
        <v>-0.56045836339626476</v>
      </c>
      <c r="J76" s="42">
        <f>'14-15 NGGT'!J76-'Baseline NGGT'!J76</f>
        <v>-0.62510258475731462</v>
      </c>
      <c r="K76" s="42">
        <f>'14-15 NGGT'!K76-'Baseline NGGT'!K76</f>
        <v>-0.64766532151514866</v>
      </c>
    </row>
    <row r="77" spans="1:14">
      <c r="C77" s="11" t="s">
        <v>104</v>
      </c>
      <c r="D77" s="43">
        <f>'14-15 NGGT'!D77-'Baseline NGGT'!D77</f>
        <v>2.1582511218258649</v>
      </c>
      <c r="E77" s="43">
        <f>'14-15 NGGT'!E77-'Baseline NGGT'!E77</f>
        <v>2.2499767945034641</v>
      </c>
      <c r="F77" s="43">
        <f>'14-15 NGGT'!F77-'Baseline NGGT'!F77</f>
        <v>2.3456008082698609</v>
      </c>
      <c r="G77" s="43">
        <f>'14-15 NGGT'!G77-'Baseline NGGT'!G77</f>
        <v>2.4452888426213306</v>
      </c>
      <c r="H77" s="43">
        <f>'14-15 NGGT'!H77-'Baseline NGGT'!H77</f>
        <v>2.5492136184327361</v>
      </c>
      <c r="I77" s="43">
        <f>'14-15 NGGT'!I77-'Baseline NGGT'!I77</f>
        <v>2.6575551972161282</v>
      </c>
      <c r="J77" s="43">
        <f>'14-15 NGGT'!J77-'Baseline NGGT'!J77</f>
        <v>2.7705012930978121</v>
      </c>
      <c r="K77" s="43">
        <f>'14-15 NGGT'!K77-'Baseline NGGT'!K77</f>
        <v>2.8882475980544715</v>
      </c>
    </row>
    <row r="78" spans="1:14">
      <c r="C78" s="12" t="s">
        <v>105</v>
      </c>
      <c r="D78" s="50">
        <f>'14-15 NGGT'!D78-'Baseline NGGT'!D78</f>
        <v>4.1479285301219306</v>
      </c>
      <c r="E78" s="50">
        <f>'14-15 NGGT'!E78-'Baseline NGGT'!E78</f>
        <v>3.3311896268206738</v>
      </c>
      <c r="F78" s="50">
        <f>'14-15 NGGT'!F78-'Baseline NGGT'!F78</f>
        <v>3.3568809927540997</v>
      </c>
      <c r="G78" s="50">
        <f>'14-15 NGGT'!G78-'Baseline NGGT'!G78</f>
        <v>3.3640444723722567</v>
      </c>
      <c r="H78" s="50">
        <f>'14-15 NGGT'!H78-'Baseline NGGT'!H78</f>
        <v>2.7915952058174298</v>
      </c>
      <c r="I78" s="50">
        <f>'14-15 NGGT'!I78-'Baseline NGGT'!I78</f>
        <v>2.735172644617478</v>
      </c>
      <c r="J78" s="50">
        <f>'14-15 NGGT'!J78-'Baseline NGGT'!J78</f>
        <v>2.7746539873203346</v>
      </c>
      <c r="K78" s="50">
        <f>'14-15 NGGT'!K78-'Baseline NGGT'!K78</f>
        <v>2.8515658224735034</v>
      </c>
    </row>
    <row r="79" spans="1:14">
      <c r="C79" s="11" t="s">
        <v>106</v>
      </c>
      <c r="D79" s="43">
        <f>'14-15 NGGT'!D79-'Baseline NGGT'!D79</f>
        <v>0</v>
      </c>
      <c r="E79" s="43">
        <f>'14-15 NGGT'!E79-'Baseline NGGT'!E79</f>
        <v>0</v>
      </c>
      <c r="F79" s="43">
        <f>'14-15 NGGT'!F79-'Baseline NGGT'!F79</f>
        <v>0</v>
      </c>
      <c r="G79" s="43">
        <f>'14-15 NGGT'!G79-'Baseline NGGT'!G79</f>
        <v>0</v>
      </c>
      <c r="H79" s="43">
        <f>'14-15 NGGT'!H79-'Baseline NGGT'!H79</f>
        <v>0</v>
      </c>
      <c r="I79" s="43">
        <f>'14-15 NGGT'!I79-'Baseline NGGT'!I79</f>
        <v>0</v>
      </c>
      <c r="J79" s="43">
        <f>'14-15 NGGT'!J79-'Baseline NGGT'!J79</f>
        <v>0</v>
      </c>
      <c r="K79" s="43">
        <f>'14-15 NGGT'!K79-'Baseline NGGT'!K79</f>
        <v>0</v>
      </c>
      <c r="N79" s="208"/>
    </row>
    <row r="80" spans="1:14" ht="13.8" thickBot="1">
      <c r="A80" s="38"/>
      <c r="C80" s="13" t="s">
        <v>107</v>
      </c>
      <c r="D80" s="52">
        <f>'14-15 NGGT'!D80-'Baseline NGGT'!D80</f>
        <v>4.1479285301219306</v>
      </c>
      <c r="E80" s="52">
        <f>'14-15 NGGT'!E80-'Baseline NGGT'!E80</f>
        <v>3.3311896268206738</v>
      </c>
      <c r="F80" s="52">
        <f>'14-15 NGGT'!F80-'Baseline NGGT'!F80</f>
        <v>3.3568809927540997</v>
      </c>
      <c r="G80" s="52">
        <f>'14-15 NGGT'!G80-'Baseline NGGT'!G80</f>
        <v>3.3640444723722567</v>
      </c>
      <c r="H80" s="52">
        <f>'14-15 NGGT'!H80-'Baseline NGGT'!H80</f>
        <v>2.7915952058174298</v>
      </c>
      <c r="I80" s="52">
        <f>'14-15 NGGT'!I80-'Baseline NGGT'!I80</f>
        <v>2.735172644617478</v>
      </c>
      <c r="J80" s="52">
        <f>'14-15 NGGT'!J80-'Baseline NGGT'!J80</f>
        <v>2.7746539873203346</v>
      </c>
      <c r="K80" s="52">
        <f>'14-15 NGGT'!K80-'Baseline NGGT'!K80</f>
        <v>2.8515658224735034</v>
      </c>
      <c r="N80" s="209"/>
    </row>
    <row r="81" spans="3:14">
      <c r="E81" s="53"/>
    </row>
    <row r="82" spans="3:14" ht="13.8" thickBot="1">
      <c r="D82" s="109" t="s">
        <v>393</v>
      </c>
      <c r="E82" s="53">
        <f>D80*1.04375+E80</f>
        <v>7.660590030135439</v>
      </c>
      <c r="F82" s="109" t="s">
        <v>201</v>
      </c>
      <c r="G82" s="109">
        <f>E82-'GT workings 14-15'!E104</f>
        <v>-5.595524044110789E-14</v>
      </c>
      <c r="H82" s="109"/>
      <c r="I82" s="109"/>
      <c r="J82" s="109"/>
      <c r="K82" s="109"/>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406</v>
      </c>
      <c r="D85" s="126">
        <f>'14-15 NGGT'!D85-'Baseline NGGT'!D85</f>
        <v>0</v>
      </c>
      <c r="E85" s="126">
        <f>'14-15 NGGT'!E85-'Baseline NGGT'!E85</f>
        <v>0</v>
      </c>
      <c r="F85" s="126">
        <f>'14-15 NGGT'!F85-'Baseline NGGT'!F85</f>
        <v>0</v>
      </c>
      <c r="G85" s="126">
        <f>'14-15 NGGT'!G85-'Baseline NGGT'!G85</f>
        <v>0</v>
      </c>
      <c r="H85" s="126">
        <f>'14-15 NGGT'!H85-'Baseline NGGT'!H85</f>
        <v>0</v>
      </c>
      <c r="I85" s="126">
        <f>'14-15 NGGT'!I85-'Baseline NGGT'!I85</f>
        <v>0</v>
      </c>
      <c r="J85" s="126">
        <f>'14-15 NGGT'!J85-'Baseline NGGT'!J85</f>
        <v>0</v>
      </c>
      <c r="K85" s="126">
        <f>'14-15 NGGT'!K85-'Baseline NGGT'!K85</f>
        <v>0</v>
      </c>
      <c r="L85" s="126">
        <f>'14-15 NGGT'!L85-'Baseline NGGT'!L85</f>
        <v>0</v>
      </c>
      <c r="M85" s="53">
        <f>'14-15 NGGT'!M85-'Baseline NGGT'!M85</f>
        <v>0</v>
      </c>
      <c r="N85" s="53">
        <f>'14-15 NGGT'!N85-'Baseline NGGT'!N85</f>
        <v>0</v>
      </c>
    </row>
    <row r="86" spans="3:14">
      <c r="C86" s="17" t="s">
        <v>407</v>
      </c>
      <c r="D86" s="126">
        <f>'14-15 NGGT'!D86-'Baseline NGGT'!D86</f>
        <v>0</v>
      </c>
      <c r="E86" s="126">
        <f>'14-15 NGGT'!E86-'Baseline NGGT'!E86</f>
        <v>0</v>
      </c>
      <c r="F86" s="126">
        <f>'14-15 NGGT'!F86-'Baseline NGGT'!F86</f>
        <v>0</v>
      </c>
      <c r="G86" s="126">
        <f>'14-15 NGGT'!G86-'Baseline NGGT'!G86</f>
        <v>0</v>
      </c>
      <c r="H86" s="126">
        <f>'14-15 NGGT'!H86-'Baseline NGGT'!H86</f>
        <v>0</v>
      </c>
      <c r="I86" s="126">
        <f>'14-15 NGGT'!I86-'Baseline NGGT'!I86</f>
        <v>0</v>
      </c>
      <c r="J86" s="126">
        <f>'14-15 NGGT'!J86-'Baseline NGGT'!J86</f>
        <v>0</v>
      </c>
      <c r="K86" s="126">
        <f>'14-15 NGGT'!K86-'Baseline NGGT'!K86</f>
        <v>0</v>
      </c>
      <c r="L86" s="126">
        <f>'14-15 NGGT'!L86-'Baseline NGGT'!L86</f>
        <v>0</v>
      </c>
      <c r="M86" s="53">
        <f>'14-15 NGGT'!M86-'Baseline NGGT'!M86</f>
        <v>0</v>
      </c>
      <c r="N86" s="53">
        <f>'14-15 NGGT'!N86-'Baseline NGGT'!N86</f>
        <v>0</v>
      </c>
    </row>
    <row r="87" spans="3:14">
      <c r="C87" s="18" t="s">
        <v>44</v>
      </c>
      <c r="D87" s="128">
        <f>'14-15 NGGT'!D87-'Baseline NGGT'!D87</f>
        <v>0</v>
      </c>
      <c r="E87" s="128">
        <f>'14-15 NGGT'!E87-'Baseline NGGT'!E87</f>
        <v>0</v>
      </c>
      <c r="F87" s="128">
        <f>'14-15 NGGT'!F87-'Baseline NGGT'!F87</f>
        <v>0</v>
      </c>
      <c r="G87" s="128">
        <f>'14-15 NGGT'!G87-'Baseline NGGT'!G87</f>
        <v>0</v>
      </c>
      <c r="H87" s="128">
        <f>'14-15 NGGT'!H87-'Baseline NGGT'!H87</f>
        <v>0</v>
      </c>
      <c r="I87" s="128">
        <f>'14-15 NGGT'!I87-'Baseline NGGT'!I87</f>
        <v>0</v>
      </c>
      <c r="J87" s="128">
        <f>'14-15 NGGT'!J87-'Baseline NGGT'!J87</f>
        <v>0</v>
      </c>
      <c r="K87" s="128">
        <f>'14-15 NGGT'!K87-'Baseline NGGT'!K87</f>
        <v>0</v>
      </c>
      <c r="L87" s="128">
        <f>'14-15 NGGT'!L87-'Baseline NGGT'!L87</f>
        <v>0</v>
      </c>
      <c r="M87" s="53">
        <f>'14-15 NGGT'!M87-'Baseline NGGT'!M87</f>
        <v>0</v>
      </c>
      <c r="N87" s="53">
        <f>'14-15 NGGT'!N87-'Baseline NGGT'!N87</f>
        <v>0</v>
      </c>
    </row>
    <row r="88" spans="3:14">
      <c r="C88" s="17" t="s">
        <v>408</v>
      </c>
      <c r="D88" s="126">
        <f>'14-15 NGGT'!D88-'Baseline NGGT'!D88</f>
        <v>0</v>
      </c>
      <c r="E88" s="126">
        <f>'14-15 NGGT'!E88-'Baseline NGGT'!E88</f>
        <v>0</v>
      </c>
      <c r="F88" s="126">
        <f>'14-15 NGGT'!F88-'Baseline NGGT'!F88</f>
        <v>0</v>
      </c>
      <c r="G88" s="126">
        <f>'14-15 NGGT'!G88-'Baseline NGGT'!G88</f>
        <v>0</v>
      </c>
      <c r="H88" s="126">
        <f>'14-15 NGGT'!H88-'Baseline NGGT'!H88</f>
        <v>0</v>
      </c>
      <c r="I88" s="126">
        <f>'14-15 NGGT'!I88-'Baseline NGGT'!I88</f>
        <v>0</v>
      </c>
      <c r="J88" s="126">
        <f>'14-15 NGGT'!J88-'Baseline NGGT'!J88</f>
        <v>0</v>
      </c>
      <c r="K88" s="126">
        <f>'14-15 NGGT'!K88-'Baseline NGGT'!K88</f>
        <v>0</v>
      </c>
      <c r="L88" s="126">
        <f>'14-15 NGGT'!L88-'Baseline NGGT'!L88</f>
        <v>0</v>
      </c>
      <c r="M88" s="53">
        <f>'14-15 NGGT'!M88-'Baseline NGGT'!M88</f>
        <v>0</v>
      </c>
      <c r="N88" s="53">
        <f>'14-15 NGGT'!N88-'Baseline NGGT'!N88</f>
        <v>0</v>
      </c>
    </row>
    <row r="89" spans="3:14">
      <c r="C89" s="18" t="s">
        <v>46</v>
      </c>
      <c r="D89" s="127">
        <f>'14-15 NGGT'!D89-'Baseline NGGT'!D89</f>
        <v>0</v>
      </c>
      <c r="E89" s="127">
        <f>'14-15 NGGT'!E89-'Baseline NGGT'!E89</f>
        <v>0</v>
      </c>
      <c r="F89" s="127">
        <f>'14-15 NGGT'!F89-'Baseline NGGT'!F89</f>
        <v>0</v>
      </c>
      <c r="G89" s="127">
        <f>'14-15 NGGT'!G89-'Baseline NGGT'!G89</f>
        <v>0</v>
      </c>
      <c r="H89" s="127">
        <f>'14-15 NGGT'!H89-'Baseline NGGT'!H89</f>
        <v>0</v>
      </c>
      <c r="I89" s="127">
        <f>'14-15 NGGT'!I89-'Baseline NGGT'!I89</f>
        <v>0</v>
      </c>
      <c r="J89" s="127">
        <f>'14-15 NGGT'!J89-'Baseline NGGT'!J89</f>
        <v>0</v>
      </c>
      <c r="K89" s="127">
        <f>'14-15 NGGT'!K89-'Baseline NGGT'!K89</f>
        <v>0</v>
      </c>
      <c r="L89" s="127">
        <f>'14-15 NGGT'!L89-'Baseline NGGT'!L89</f>
        <v>0</v>
      </c>
      <c r="M89" s="53">
        <f>'14-15 NGGT'!M89-'Baseline NGGT'!M89</f>
        <v>0</v>
      </c>
      <c r="N89" s="53">
        <f>'14-15 NGGT'!N89-'Baseline NGGT'!N89</f>
        <v>0</v>
      </c>
    </row>
    <row r="90" spans="3:14">
      <c r="C90" s="19" t="s">
        <v>48</v>
      </c>
      <c r="D90" s="129">
        <f>'14-15 NGGT'!D90-'Baseline NGGT'!D90</f>
        <v>0</v>
      </c>
      <c r="E90" s="129">
        <f>'14-15 NGGT'!E90-'Baseline NGGT'!E90</f>
        <v>0</v>
      </c>
      <c r="F90" s="129">
        <f>'14-15 NGGT'!F90-'Baseline NGGT'!F90</f>
        <v>0</v>
      </c>
      <c r="G90" s="129">
        <f>'14-15 NGGT'!G90-'Baseline NGGT'!G90</f>
        <v>0</v>
      </c>
      <c r="H90" s="129">
        <f>'14-15 NGGT'!H90-'Baseline NGGT'!H90</f>
        <v>0</v>
      </c>
      <c r="I90" s="129">
        <f>'14-15 NGGT'!I90-'Baseline NGGT'!I90</f>
        <v>0</v>
      </c>
      <c r="J90" s="129">
        <f>'14-15 NGGT'!J90-'Baseline NGGT'!J90</f>
        <v>0</v>
      </c>
      <c r="K90" s="129">
        <f>'14-15 NGGT'!K90-'Baseline NGGT'!K90</f>
        <v>0</v>
      </c>
      <c r="L90" s="129">
        <f>'14-15 NGGT'!L90-'Baseline NGGT'!L90</f>
        <v>0</v>
      </c>
      <c r="M90" s="53">
        <f>'14-15 NGGT'!M90-'Baseline NGGT'!M90</f>
        <v>0</v>
      </c>
      <c r="N90" s="53">
        <f>'14-15 NGGT'!N90-'Baseline NGGT'!N90</f>
        <v>0</v>
      </c>
    </row>
    <row r="91" spans="3:14">
      <c r="C91" s="18" t="s">
        <v>52</v>
      </c>
      <c r="D91" s="128">
        <f>'14-15 NGGT'!D91-'Baseline NGGT'!D91</f>
        <v>0</v>
      </c>
      <c r="E91" s="128">
        <f>'14-15 NGGT'!E91-'Baseline NGGT'!E91</f>
        <v>0</v>
      </c>
      <c r="F91" s="128">
        <f>'14-15 NGGT'!F91-'Baseline NGGT'!F91</f>
        <v>0</v>
      </c>
      <c r="G91" s="128">
        <f>'14-15 NGGT'!G91-'Baseline NGGT'!G91</f>
        <v>0</v>
      </c>
      <c r="H91" s="128">
        <f>'14-15 NGGT'!H91-'Baseline NGGT'!H91</f>
        <v>0</v>
      </c>
      <c r="I91" s="128">
        <f>'14-15 NGGT'!I91-'Baseline NGGT'!I91</f>
        <v>0</v>
      </c>
      <c r="J91" s="128">
        <f>'14-15 NGGT'!J91-'Baseline NGGT'!J91</f>
        <v>0</v>
      </c>
      <c r="K91" s="128">
        <f>'14-15 NGGT'!K91-'Baseline NGGT'!K91</f>
        <v>0</v>
      </c>
      <c r="L91" s="128">
        <f>'14-15 NGGT'!L91-'Baseline NGGT'!L91</f>
        <v>0</v>
      </c>
      <c r="M91" s="53">
        <f>'14-15 NGGT'!M91-'Baseline NGGT'!M91</f>
        <v>0</v>
      </c>
      <c r="N91" s="53">
        <f>'14-15 NGGT'!N91-'Baseline NGGT'!N91</f>
        <v>0</v>
      </c>
    </row>
    <row r="92" spans="3:14">
      <c r="C92" s="17"/>
      <c r="D92" s="126"/>
      <c r="E92" s="126"/>
      <c r="F92" s="126"/>
      <c r="G92" s="126"/>
      <c r="H92" s="126"/>
      <c r="I92" s="126"/>
      <c r="J92" s="126"/>
      <c r="K92" s="126"/>
      <c r="L92" s="126"/>
      <c r="M92" s="53"/>
      <c r="N92" s="53"/>
    </row>
    <row r="93" spans="3:14">
      <c r="C93" s="18" t="s">
        <v>138</v>
      </c>
      <c r="D93" s="127">
        <f>'14-15 NGGT'!D93-'Baseline NGGT'!D93</f>
        <v>0</v>
      </c>
      <c r="E93" s="127">
        <f>'14-15 NGGT'!E93-'Baseline NGGT'!E93</f>
        <v>0</v>
      </c>
      <c r="F93" s="127">
        <f>'14-15 NGGT'!F93-'Baseline NGGT'!F93</f>
        <v>0</v>
      </c>
      <c r="G93" s="127">
        <f>'14-15 NGGT'!G93-'Baseline NGGT'!G93</f>
        <v>0</v>
      </c>
      <c r="H93" s="127">
        <f>'14-15 NGGT'!H93-'Baseline NGGT'!H93</f>
        <v>0</v>
      </c>
      <c r="I93" s="127">
        <f>'14-15 NGGT'!I93-'Baseline NGGT'!I93</f>
        <v>0</v>
      </c>
      <c r="J93" s="127">
        <f>'14-15 NGGT'!J93-'Baseline NGGT'!J93</f>
        <v>0</v>
      </c>
      <c r="K93" s="127">
        <f>'14-15 NGGT'!K93-'Baseline NGGT'!K93</f>
        <v>0</v>
      </c>
      <c r="L93" s="127">
        <f>'14-15 NGGT'!L93-'Baseline NGGT'!L93</f>
        <v>0</v>
      </c>
      <c r="M93" s="53">
        <f>'14-15 NGGT'!M93-'Baseline NGGT'!M93</f>
        <v>0</v>
      </c>
      <c r="N93" s="53">
        <f>'14-15 NGGT'!N93-'Baseline NGGT'!N93</f>
        <v>0</v>
      </c>
    </row>
    <row r="94" spans="3:14">
      <c r="C94" s="17" t="s">
        <v>44</v>
      </c>
      <c r="D94" s="126">
        <f>'14-15 NGGT'!D94-'Baseline NGGT'!D94</f>
        <v>0</v>
      </c>
      <c r="E94" s="126">
        <f>'14-15 NGGT'!E94-'Baseline NGGT'!E94</f>
        <v>0</v>
      </c>
      <c r="F94" s="126">
        <f>'14-15 NGGT'!F94-'Baseline NGGT'!F94</f>
        <v>0</v>
      </c>
      <c r="G94" s="126">
        <f>'14-15 NGGT'!G94-'Baseline NGGT'!G94</f>
        <v>0</v>
      </c>
      <c r="H94" s="126">
        <f>'14-15 NGGT'!H94-'Baseline NGGT'!H94</f>
        <v>0</v>
      </c>
      <c r="I94" s="126">
        <f>'14-15 NGGT'!I94-'Baseline NGGT'!I94</f>
        <v>0</v>
      </c>
      <c r="J94" s="126">
        <f>'14-15 NGGT'!J94-'Baseline NGGT'!J94</f>
        <v>0</v>
      </c>
      <c r="K94" s="126">
        <f>'14-15 NGGT'!K94-'Baseline NGGT'!K94</f>
        <v>0</v>
      </c>
      <c r="L94" s="126">
        <f>'14-15 NGGT'!L94-'Baseline NGGT'!L94</f>
        <v>0</v>
      </c>
      <c r="M94" s="53">
        <f>'14-15 NGGT'!M94-'Baseline NGGT'!M94</f>
        <v>0</v>
      </c>
      <c r="N94" s="53">
        <f>'14-15 NGGT'!N94-'Baseline NGGT'!N94</f>
        <v>0</v>
      </c>
    </row>
    <row r="95" spans="3:14">
      <c r="C95" s="18" t="s">
        <v>45</v>
      </c>
      <c r="D95" s="127">
        <f>'14-15 NGGT'!D95-'Baseline NGGT'!D95</f>
        <v>0</v>
      </c>
      <c r="E95" s="127">
        <f>'14-15 NGGT'!E95-'Baseline NGGT'!E95</f>
        <v>0</v>
      </c>
      <c r="F95" s="127">
        <f>'14-15 NGGT'!F95-'Baseline NGGT'!F95</f>
        <v>0</v>
      </c>
      <c r="G95" s="127">
        <f>'14-15 NGGT'!G95-'Baseline NGGT'!G95</f>
        <v>0</v>
      </c>
      <c r="H95" s="127">
        <f>'14-15 NGGT'!H95-'Baseline NGGT'!H95</f>
        <v>0</v>
      </c>
      <c r="I95" s="127">
        <f>'14-15 NGGT'!I95-'Baseline NGGT'!I95</f>
        <v>0</v>
      </c>
      <c r="J95" s="127">
        <f>'14-15 NGGT'!J95-'Baseline NGGT'!J95</f>
        <v>0</v>
      </c>
      <c r="K95" s="127">
        <f>'14-15 NGGT'!K95-'Baseline NGGT'!K95</f>
        <v>0</v>
      </c>
      <c r="L95" s="127">
        <f>'14-15 NGGT'!L95-'Baseline NGGT'!L95</f>
        <v>0</v>
      </c>
      <c r="M95" s="53">
        <f>'14-15 NGGT'!M95-'Baseline NGGT'!M95</f>
        <v>0</v>
      </c>
      <c r="N95" s="53">
        <f>'14-15 NGGT'!N95-'Baseline NGGT'!N95</f>
        <v>0</v>
      </c>
    </row>
    <row r="96" spans="3:14">
      <c r="C96" s="17" t="s">
        <v>46</v>
      </c>
      <c r="D96" s="126">
        <f>'14-15 NGGT'!D96-'Baseline NGGT'!D96</f>
        <v>0</v>
      </c>
      <c r="E96" s="126">
        <f>'14-15 NGGT'!E96-'Baseline NGGT'!E96</f>
        <v>0</v>
      </c>
      <c r="F96" s="126">
        <f>'14-15 NGGT'!F96-'Baseline NGGT'!F96</f>
        <v>0</v>
      </c>
      <c r="G96" s="126">
        <f>'14-15 NGGT'!G96-'Baseline NGGT'!G96</f>
        <v>0</v>
      </c>
      <c r="H96" s="126">
        <f>'14-15 NGGT'!H96-'Baseline NGGT'!H96</f>
        <v>0</v>
      </c>
      <c r="I96" s="126">
        <f>'14-15 NGGT'!I96-'Baseline NGGT'!I96</f>
        <v>0</v>
      </c>
      <c r="J96" s="126">
        <f>'14-15 NGGT'!J96-'Baseline NGGT'!J96</f>
        <v>0</v>
      </c>
      <c r="K96" s="126">
        <f>'14-15 NGGT'!K96-'Baseline NGGT'!K96</f>
        <v>0</v>
      </c>
      <c r="L96" s="126">
        <f>'14-15 NGGT'!L96-'Baseline NGGT'!L96</f>
        <v>0</v>
      </c>
      <c r="M96" s="53">
        <f>'14-15 NGGT'!M96-'Baseline NGGT'!M96</f>
        <v>0</v>
      </c>
      <c r="N96" s="53">
        <f>'14-15 NGGT'!N96-'Baseline NGGT'!N96</f>
        <v>0</v>
      </c>
    </row>
    <row r="97" spans="1:14">
      <c r="C97" s="123" t="s">
        <v>50</v>
      </c>
      <c r="D97" s="130">
        <f>'14-15 NGGT'!D97-'Baseline NGGT'!D97</f>
        <v>0</v>
      </c>
      <c r="E97" s="130">
        <f>'14-15 NGGT'!E97-'Baseline NGGT'!E97</f>
        <v>0</v>
      </c>
      <c r="F97" s="130">
        <f>'14-15 NGGT'!F97-'Baseline NGGT'!F97</f>
        <v>0</v>
      </c>
      <c r="G97" s="130">
        <f>'14-15 NGGT'!G97-'Baseline NGGT'!G97</f>
        <v>0</v>
      </c>
      <c r="H97" s="130">
        <f>'14-15 NGGT'!H97-'Baseline NGGT'!H97</f>
        <v>0</v>
      </c>
      <c r="I97" s="130">
        <f>'14-15 NGGT'!I97-'Baseline NGGT'!I97</f>
        <v>0</v>
      </c>
      <c r="J97" s="130">
        <f>'14-15 NGGT'!J97-'Baseline NGGT'!J97</f>
        <v>0</v>
      </c>
      <c r="K97" s="130">
        <f>'14-15 NGGT'!K97-'Baseline NGGT'!K97</f>
        <v>0</v>
      </c>
      <c r="L97" s="130">
        <f>'14-15 NGGT'!L97-'Baseline NGGT'!L97</f>
        <v>0</v>
      </c>
      <c r="M97" s="53">
        <f>'14-15 NGGT'!M97-'Baseline NGGT'!M97</f>
        <v>0</v>
      </c>
      <c r="N97" s="53">
        <f>'14-15 NGGT'!N97-'Baseline NGGT'!N97</f>
        <v>0</v>
      </c>
    </row>
    <row r="98" spans="1:14">
      <c r="C98" s="17"/>
      <c r="D98" s="126"/>
      <c r="E98" s="126"/>
      <c r="F98" s="126"/>
      <c r="G98" s="126"/>
      <c r="H98" s="126"/>
      <c r="I98" s="126"/>
      <c r="J98" s="126"/>
      <c r="K98" s="126"/>
      <c r="L98" s="126"/>
      <c r="M98" s="53"/>
      <c r="N98" s="53"/>
    </row>
    <row r="99" spans="1:14" ht="13.8" thickBot="1">
      <c r="C99" s="23" t="s">
        <v>51</v>
      </c>
      <c r="D99" s="131">
        <f>'14-15 NGGT'!D99-'Baseline NGGT'!D99</f>
        <v>0</v>
      </c>
      <c r="E99" s="131">
        <f>'14-15 NGGT'!E99-'Baseline NGGT'!E99</f>
        <v>0</v>
      </c>
      <c r="F99" s="131">
        <f>'14-15 NGGT'!F99-'Baseline NGGT'!F99</f>
        <v>0</v>
      </c>
      <c r="G99" s="131">
        <f>'14-15 NGGT'!G99-'Baseline NGGT'!G99</f>
        <v>0</v>
      </c>
      <c r="H99" s="131">
        <f>'14-15 NGGT'!H99-'Baseline NGGT'!H99</f>
        <v>0</v>
      </c>
      <c r="I99" s="131">
        <f>'14-15 NGGT'!I99-'Baseline NGGT'!I99</f>
        <v>0</v>
      </c>
      <c r="J99" s="131">
        <f>'14-15 NGGT'!J99-'Baseline NGGT'!J99</f>
        <v>0</v>
      </c>
      <c r="K99" s="131">
        <f>'14-15 NGGT'!K99-'Baseline NGGT'!K99</f>
        <v>0</v>
      </c>
      <c r="L99" s="131">
        <f>'14-15 NGGT'!L99-'Baseline NGGT'!L99</f>
        <v>0</v>
      </c>
      <c r="M99" s="53">
        <f>'14-15 NGGT'!M99-'Baseline NGGT'!M99</f>
        <v>0</v>
      </c>
      <c r="N99" s="53">
        <f>'14-15 NGGT'!N99-'Baseline NGGT'!N99</f>
        <v>0</v>
      </c>
    </row>
    <row r="100" spans="1:14">
      <c r="C100" s="39"/>
      <c r="D100" s="203"/>
      <c r="E100" s="203"/>
      <c r="F100" s="203"/>
      <c r="G100" s="203"/>
      <c r="H100" s="203"/>
      <c r="I100" s="203"/>
      <c r="J100" s="203"/>
      <c r="K100" s="203"/>
      <c r="L100" s="203"/>
      <c r="M100" s="53"/>
      <c r="N100" s="53"/>
    </row>
    <row r="101" spans="1:14">
      <c r="A101" s="38" t="s">
        <v>409</v>
      </c>
    </row>
    <row r="102" spans="1:14" ht="13.8" thickBot="1">
      <c r="C102" s="38" t="s">
        <v>140</v>
      </c>
    </row>
    <row r="103" spans="1:14" ht="13.8" thickBot="1">
      <c r="C103" s="7" t="s">
        <v>58</v>
      </c>
      <c r="D103" s="8" t="s">
        <v>59</v>
      </c>
      <c r="E103" s="8" t="s">
        <v>60</v>
      </c>
      <c r="F103" s="8" t="s">
        <v>61</v>
      </c>
      <c r="G103" s="8" t="s">
        <v>62</v>
      </c>
      <c r="H103" s="8" t="s">
        <v>63</v>
      </c>
      <c r="I103" s="8" t="s">
        <v>64</v>
      </c>
      <c r="J103" s="8" t="s">
        <v>65</v>
      </c>
      <c r="K103" s="8" t="s">
        <v>66</v>
      </c>
    </row>
    <row r="104" spans="1:14">
      <c r="C104" s="22" t="s">
        <v>91</v>
      </c>
      <c r="D104" s="175">
        <f>'14-15 NGGT'!D104-'Baseline NGGT'!D104</f>
        <v>0</v>
      </c>
      <c r="E104" s="175">
        <f>'14-15 NGGT'!E104-'Baseline NGGT'!E104</f>
        <v>84.537005389605838</v>
      </c>
      <c r="F104" s="175">
        <f>'14-15 NGGT'!F104-'Baseline NGGT'!F104</f>
        <v>83.014898949462804</v>
      </c>
      <c r="G104" s="175">
        <f>'14-15 NGGT'!G104-'Baseline NGGT'!G104</f>
        <v>81.492792509318861</v>
      </c>
      <c r="H104" s="175">
        <f>'14-15 NGGT'!H104-'Baseline NGGT'!H104</f>
        <v>79.970686069175827</v>
      </c>
      <c r="I104" s="175">
        <f>'14-15 NGGT'!I104-'Baseline NGGT'!I104</f>
        <v>78.448579629033702</v>
      </c>
      <c r="J104" s="175">
        <f>'14-15 NGGT'!J104-'Baseline NGGT'!J104</f>
        <v>76.926473188890668</v>
      </c>
      <c r="K104" s="175">
        <f>'14-15 NGGT'!K104-'Baseline NGGT'!K104</f>
        <v>75.404366748746725</v>
      </c>
    </row>
    <row r="105" spans="1:14">
      <c r="C105" s="10" t="s">
        <v>86</v>
      </c>
      <c r="D105" s="176">
        <f>'14-15 NGGT'!D105-'Baseline NGGT'!D105</f>
        <v>84.537005389605497</v>
      </c>
      <c r="E105" s="176">
        <f>'14-15 NGGT'!E105-'Baseline NGGT'!E105</f>
        <v>0</v>
      </c>
      <c r="F105" s="176">
        <f>'14-15 NGGT'!F105-'Baseline NGGT'!F105</f>
        <v>0</v>
      </c>
      <c r="G105" s="176">
        <f>'14-15 NGGT'!G105-'Baseline NGGT'!G105</f>
        <v>0</v>
      </c>
      <c r="H105" s="176">
        <f>'14-15 NGGT'!H105-'Baseline NGGT'!H105</f>
        <v>0</v>
      </c>
      <c r="I105" s="176">
        <f>'14-15 NGGT'!I105-'Baseline NGGT'!I105</f>
        <v>0</v>
      </c>
      <c r="J105" s="176">
        <f>'14-15 NGGT'!J105-'Baseline NGGT'!J105</f>
        <v>0</v>
      </c>
      <c r="K105" s="176">
        <f>'14-15 NGGT'!K105-'Baseline NGGT'!K105</f>
        <v>0</v>
      </c>
    </row>
    <row r="106" spans="1:14">
      <c r="C106" s="11" t="s">
        <v>87</v>
      </c>
      <c r="D106" s="177">
        <f>'14-15 NGGT'!D106-'Baseline NGGT'!D106</f>
        <v>0</v>
      </c>
      <c r="E106" s="177">
        <f>'14-15 NGGT'!E106-'Baseline NGGT'!E106</f>
        <v>-1.5221064401432614</v>
      </c>
      <c r="F106" s="177">
        <f>'14-15 NGGT'!F106-'Baseline NGGT'!F106</f>
        <v>-1.5221064401432329</v>
      </c>
      <c r="G106" s="177">
        <f>'14-15 NGGT'!G106-'Baseline NGGT'!G106</f>
        <v>-1.5221064401432329</v>
      </c>
      <c r="H106" s="177">
        <f>'14-15 NGGT'!H106-'Baseline NGGT'!H106</f>
        <v>-1.5221064401432614</v>
      </c>
      <c r="I106" s="177">
        <f>'14-15 NGGT'!I106-'Baseline NGGT'!I106</f>
        <v>-1.5221064401432614</v>
      </c>
      <c r="J106" s="177">
        <f>'14-15 NGGT'!J106-'Baseline NGGT'!J106</f>
        <v>-1.5221064401432045</v>
      </c>
      <c r="K106" s="177">
        <f>'14-15 NGGT'!K106-'Baseline NGGT'!K106</f>
        <v>-1.5221064401432329</v>
      </c>
    </row>
    <row r="107" spans="1:14" ht="13.8" thickBot="1">
      <c r="C107" s="13" t="s">
        <v>94</v>
      </c>
      <c r="D107" s="178">
        <f>'14-15 NGGT'!D107-'Baseline NGGT'!D107</f>
        <v>84.537005389605838</v>
      </c>
      <c r="E107" s="178">
        <f>'14-15 NGGT'!E107-'Baseline NGGT'!E107</f>
        <v>83.014898949462804</v>
      </c>
      <c r="F107" s="178">
        <f>'14-15 NGGT'!F107-'Baseline NGGT'!F107</f>
        <v>81.492792509318861</v>
      </c>
      <c r="G107" s="178">
        <f>'14-15 NGGT'!G107-'Baseline NGGT'!G107</f>
        <v>79.970686069175827</v>
      </c>
      <c r="H107" s="178">
        <f>'14-15 NGGT'!H107-'Baseline NGGT'!H107</f>
        <v>78.448579629033702</v>
      </c>
      <c r="I107" s="178">
        <f>'14-15 NGGT'!I107-'Baseline NGGT'!I107</f>
        <v>76.926473188890668</v>
      </c>
      <c r="J107" s="178">
        <f>'14-15 NGGT'!J107-'Baseline NGGT'!J107</f>
        <v>75.404366748746725</v>
      </c>
      <c r="K107" s="178">
        <f>'14-15 NGGT'!K107-'Baseline NGGT'!K107</f>
        <v>73.882260308603691</v>
      </c>
    </row>
    <row r="109" spans="1:14" ht="13.8" thickBot="1"/>
    <row r="110" spans="1:14" ht="13.8" thickBot="1">
      <c r="C110" s="7" t="s">
        <v>58</v>
      </c>
      <c r="D110" s="8" t="s">
        <v>59</v>
      </c>
      <c r="E110" s="8" t="s">
        <v>60</v>
      </c>
      <c r="F110" s="8" t="s">
        <v>61</v>
      </c>
      <c r="G110" s="8" t="s">
        <v>62</v>
      </c>
      <c r="H110" s="8" t="s">
        <v>63</v>
      </c>
      <c r="I110" s="8" t="s">
        <v>64</v>
      </c>
      <c r="J110" s="8" t="s">
        <v>65</v>
      </c>
      <c r="K110" s="8" t="s">
        <v>66</v>
      </c>
    </row>
    <row r="111" spans="1:14">
      <c r="C111" s="11" t="s">
        <v>142</v>
      </c>
      <c r="D111" s="171">
        <f>'14-15 NGGT'!D111-'Baseline NGGT'!D111</f>
        <v>0</v>
      </c>
      <c r="E111" s="171">
        <f>'14-15 NGGT'!E111-'Baseline NGGT'!E111</f>
        <v>0</v>
      </c>
      <c r="F111" s="171">
        <f>'14-15 NGGT'!F111-'Baseline NGGT'!F111</f>
        <v>0</v>
      </c>
      <c r="G111" s="171">
        <f>'14-15 NGGT'!G111-'Baseline NGGT'!G111</f>
        <v>0</v>
      </c>
      <c r="H111" s="171">
        <f>'14-15 NGGT'!H111-'Baseline NGGT'!H111</f>
        <v>0</v>
      </c>
      <c r="I111" s="171">
        <f>'14-15 NGGT'!I111-'Baseline NGGT'!I111</f>
        <v>0</v>
      </c>
      <c r="J111" s="171">
        <f>'14-15 NGGT'!J111-'Baseline NGGT'!J111</f>
        <v>0</v>
      </c>
      <c r="K111" s="171">
        <f>'14-15 NGGT'!K111-'Baseline NGGT'!K111</f>
        <v>0</v>
      </c>
    </row>
    <row r="112" spans="1:14" ht="13.8" thickBot="1">
      <c r="C112" s="40" t="s">
        <v>143</v>
      </c>
      <c r="D112" s="174">
        <f>'14-15 NGGT'!D112-'Baseline NGGT'!D112</f>
        <v>0</v>
      </c>
      <c r="E112" s="174">
        <f>'14-15 NGGT'!E112-'Baseline NGGT'!E112</f>
        <v>0</v>
      </c>
      <c r="F112" s="174">
        <f>'14-15 NGGT'!F112-'Baseline NGGT'!F112</f>
        <v>0</v>
      </c>
      <c r="G112" s="174">
        <f>'14-15 NGGT'!G112-'Baseline NGGT'!G112</f>
        <v>0</v>
      </c>
      <c r="H112" s="174">
        <f>'14-15 NGGT'!H112-'Baseline NGGT'!H112</f>
        <v>0</v>
      </c>
      <c r="I112" s="174">
        <f>'14-15 NGGT'!I112-'Baseline NGGT'!I112</f>
        <v>0</v>
      </c>
      <c r="J112" s="174">
        <f>'14-15 NGGT'!J112-'Baseline NGGT'!J112</f>
        <v>0</v>
      </c>
      <c r="K112" s="174">
        <f>'14-15 NGGT'!K112-'Baseline NGGT'!K112</f>
        <v>0</v>
      </c>
    </row>
    <row r="115" spans="1:14" ht="13.8" thickBot="1">
      <c r="C115" s="38" t="s">
        <v>122</v>
      </c>
    </row>
    <row r="116" spans="1:14" ht="13.8" thickBot="1">
      <c r="C116" s="7" t="s">
        <v>58</v>
      </c>
      <c r="D116" s="8" t="s">
        <v>59</v>
      </c>
      <c r="E116" s="8" t="s">
        <v>60</v>
      </c>
      <c r="F116" s="8" t="s">
        <v>61</v>
      </c>
      <c r="G116" s="8" t="s">
        <v>62</v>
      </c>
      <c r="H116" s="8" t="s">
        <v>63</v>
      </c>
      <c r="I116" s="8" t="s">
        <v>64</v>
      </c>
      <c r="J116" s="8" t="s">
        <v>65</v>
      </c>
      <c r="K116" s="8" t="s">
        <v>66</v>
      </c>
    </row>
    <row r="117" spans="1:14">
      <c r="C117" s="22" t="s">
        <v>91</v>
      </c>
      <c r="D117" s="41">
        <f>'14-15 NGGT'!D117-'Baseline NGGT'!D117</f>
        <v>0</v>
      </c>
      <c r="E117" s="41">
        <f>'14-15 NGGT'!E117-'Baseline NGGT'!E117</f>
        <v>-2.9551449758452861</v>
      </c>
      <c r="F117" s="41">
        <f>'14-15 NGGT'!F117-'Baseline NGGT'!F117</f>
        <v>-2.5329814078673962</v>
      </c>
      <c r="G117" s="41">
        <f>'14-15 NGGT'!G117-'Baseline NGGT'!G117</f>
        <v>-2.1108178398895063</v>
      </c>
      <c r="H117" s="41">
        <f>'14-15 NGGT'!H117-'Baseline NGGT'!H117</f>
        <v>-1.6886542719116164</v>
      </c>
      <c r="I117" s="41">
        <f>'14-15 NGGT'!I117-'Baseline NGGT'!I117</f>
        <v>-1.2664907039337265</v>
      </c>
      <c r="J117" s="41">
        <f>'14-15 NGGT'!J117-'Baseline NGGT'!J117</f>
        <v>-0.84432713595580822</v>
      </c>
      <c r="K117" s="41">
        <f>'14-15 NGGT'!K117-'Baseline NGGT'!K117</f>
        <v>-0.42216356797790411</v>
      </c>
    </row>
    <row r="118" spans="1:14">
      <c r="C118" s="10" t="s">
        <v>86</v>
      </c>
      <c r="D118" s="42">
        <f>'14-15 NGGT'!D118-'Baseline NGGT'!D118</f>
        <v>-2.955144975845279</v>
      </c>
      <c r="E118" s="42">
        <f>'14-15 NGGT'!E118-'Baseline NGGT'!E118</f>
        <v>0</v>
      </c>
      <c r="F118" s="42">
        <f>'14-15 NGGT'!F118-'Baseline NGGT'!F118</f>
        <v>0</v>
      </c>
      <c r="G118" s="42">
        <f>'14-15 NGGT'!G118-'Baseline NGGT'!G118</f>
        <v>0</v>
      </c>
      <c r="H118" s="42">
        <f>'14-15 NGGT'!H118-'Baseline NGGT'!H118</f>
        <v>0</v>
      </c>
      <c r="I118" s="42">
        <f>'14-15 NGGT'!I118-'Baseline NGGT'!I118</f>
        <v>0</v>
      </c>
      <c r="J118" s="42">
        <f>'14-15 NGGT'!J118-'Baseline NGGT'!J118</f>
        <v>0</v>
      </c>
      <c r="K118" s="42">
        <f>'14-15 NGGT'!K118-'Baseline NGGT'!K118</f>
        <v>0</v>
      </c>
    </row>
    <row r="119" spans="1:14">
      <c r="C119" s="11" t="s">
        <v>87</v>
      </c>
      <c r="D119" s="43">
        <f>'14-15 NGGT'!D119-'Baseline NGGT'!D119</f>
        <v>0</v>
      </c>
      <c r="E119" s="43">
        <f>'14-15 NGGT'!E119-'Baseline NGGT'!E119</f>
        <v>0.422163567977897</v>
      </c>
      <c r="F119" s="43">
        <f>'14-15 NGGT'!F119-'Baseline NGGT'!F119</f>
        <v>0.422163567977897</v>
      </c>
      <c r="G119" s="43">
        <f>'14-15 NGGT'!G119-'Baseline NGGT'!G119</f>
        <v>0.422163567977897</v>
      </c>
      <c r="H119" s="43">
        <f>'14-15 NGGT'!H119-'Baseline NGGT'!H119</f>
        <v>0.422163567977897</v>
      </c>
      <c r="I119" s="43">
        <f>'14-15 NGGT'!I119-'Baseline NGGT'!I119</f>
        <v>0.422163567977897</v>
      </c>
      <c r="J119" s="43">
        <f>'14-15 NGGT'!J119-'Baseline NGGT'!J119</f>
        <v>0.422163567977897</v>
      </c>
      <c r="K119" s="43">
        <f>'14-15 NGGT'!K119-'Baseline NGGT'!K119</f>
        <v>0.422163567977897</v>
      </c>
    </row>
    <row r="120" spans="1:14" ht="13.8" thickBot="1">
      <c r="C120" s="13" t="s">
        <v>94</v>
      </c>
      <c r="D120" s="52">
        <f>'14-15 NGGT'!D120-'Baseline NGGT'!D120</f>
        <v>-2.9551449758452861</v>
      </c>
      <c r="E120" s="52">
        <f>'14-15 NGGT'!E120-'Baseline NGGT'!E120</f>
        <v>-2.5329814078673962</v>
      </c>
      <c r="F120" s="52">
        <f>'14-15 NGGT'!F120-'Baseline NGGT'!F120</f>
        <v>-2.1108178398895063</v>
      </c>
      <c r="G120" s="52">
        <f>'14-15 NGGT'!G120-'Baseline NGGT'!G120</f>
        <v>-1.6886542719116164</v>
      </c>
      <c r="H120" s="52">
        <f>'14-15 NGGT'!H120-'Baseline NGGT'!H120</f>
        <v>-1.2664907039337265</v>
      </c>
      <c r="I120" s="52">
        <f>'14-15 NGGT'!I120-'Baseline NGGT'!I120</f>
        <v>-0.84432713595580822</v>
      </c>
      <c r="J120" s="52">
        <f>'14-15 NGGT'!J120-'Baseline NGGT'!J120</f>
        <v>-0.42216356797790411</v>
      </c>
      <c r="K120" s="52">
        <f>'14-15 NGGT'!K120-'Baseline NGGT'!K120</f>
        <v>0</v>
      </c>
    </row>
    <row r="122" spans="1:14">
      <c r="A122" s="38" t="s">
        <v>402</v>
      </c>
    </row>
    <row r="123" spans="1:14" ht="13.8" thickBot="1">
      <c r="C123" s="38" t="s">
        <v>395</v>
      </c>
    </row>
    <row r="124" spans="1:14" ht="13.8" thickBot="1">
      <c r="C124" s="14" t="s">
        <v>58</v>
      </c>
      <c r="D124" s="15" t="s">
        <v>59</v>
      </c>
      <c r="E124" s="15" t="s">
        <v>60</v>
      </c>
      <c r="F124" s="15" t="s">
        <v>61</v>
      </c>
      <c r="G124" s="15" t="s">
        <v>62</v>
      </c>
      <c r="H124" s="15" t="s">
        <v>63</v>
      </c>
      <c r="I124" s="15" t="s">
        <v>64</v>
      </c>
      <c r="J124" s="15" t="s">
        <v>65</v>
      </c>
      <c r="K124" s="15" t="s">
        <v>66</v>
      </c>
      <c r="L124" s="15" t="s">
        <v>118</v>
      </c>
    </row>
    <row r="125" spans="1:14">
      <c r="C125" s="16"/>
      <c r="D125" s="26"/>
      <c r="E125" s="26"/>
      <c r="F125" s="26"/>
      <c r="G125" s="26"/>
      <c r="H125" s="26"/>
      <c r="I125" s="26"/>
      <c r="J125" s="26"/>
      <c r="K125" s="26"/>
      <c r="L125" s="26"/>
    </row>
    <row r="126" spans="1:14">
      <c r="A126" t="s">
        <v>338</v>
      </c>
      <c r="C126" s="17" t="s">
        <v>119</v>
      </c>
      <c r="D126" s="27">
        <f>'14-15 NGGT'!D126-'Baseline NGGT'!D126</f>
        <v>0</v>
      </c>
      <c r="E126" s="27">
        <f>'14-15 NGGT'!E126-'Baseline NGGT'!E126</f>
        <v>0</v>
      </c>
      <c r="F126" s="27">
        <f>'14-15 NGGT'!F126-'Baseline NGGT'!F126</f>
        <v>0</v>
      </c>
      <c r="G126" s="27">
        <f>'14-15 NGGT'!G126-'Baseline NGGT'!G126</f>
        <v>0</v>
      </c>
      <c r="H126" s="27">
        <f>'14-15 NGGT'!H126-'Baseline NGGT'!H126</f>
        <v>0</v>
      </c>
      <c r="I126" s="27">
        <f>'14-15 NGGT'!I126-'Baseline NGGT'!I126</f>
        <v>0</v>
      </c>
      <c r="J126" s="27">
        <f>'14-15 NGGT'!J126-'Baseline NGGT'!J126</f>
        <v>0</v>
      </c>
      <c r="K126" s="27">
        <f>'14-15 NGGT'!K126-'Baseline NGGT'!K126</f>
        <v>0</v>
      </c>
      <c r="L126" s="28">
        <f>'14-15 NGGT'!L126-'Baseline NGGT'!L126</f>
        <v>0</v>
      </c>
      <c r="N126" s="53">
        <f>'14-15 NGGT'!N126-'Baseline NGGT'!N126</f>
        <v>0</v>
      </c>
    </row>
    <row r="127" spans="1:14">
      <c r="C127" s="18" t="s">
        <v>396</v>
      </c>
      <c r="D127" s="29">
        <f>'14-15 NGGT'!D127-'Baseline NGGT'!D127</f>
        <v>0</v>
      </c>
      <c r="E127" s="29">
        <f>'14-15 NGGT'!E127-'Baseline NGGT'!E127</f>
        <v>0</v>
      </c>
      <c r="F127" s="29">
        <f>'14-15 NGGT'!F127-'Baseline NGGT'!F127</f>
        <v>0</v>
      </c>
      <c r="G127" s="29">
        <f>'14-15 NGGT'!G127-'Baseline NGGT'!G127</f>
        <v>0</v>
      </c>
      <c r="H127" s="29">
        <f>'14-15 NGGT'!H127-'Baseline NGGT'!H127</f>
        <v>0</v>
      </c>
      <c r="I127" s="29">
        <f>'14-15 NGGT'!I127-'Baseline NGGT'!I127</f>
        <v>0</v>
      </c>
      <c r="J127" s="29">
        <f>'14-15 NGGT'!J127-'Baseline NGGT'!J127</f>
        <v>0</v>
      </c>
      <c r="K127" s="29">
        <f>'14-15 NGGT'!K127-'Baseline NGGT'!K127</f>
        <v>0</v>
      </c>
      <c r="L127" s="30">
        <f>'14-15 NGGT'!L127-'Baseline NGGT'!L127</f>
        <v>0</v>
      </c>
      <c r="N127" s="53">
        <f>'14-15 NGGT'!N127-'Baseline NGGT'!N127</f>
        <v>0</v>
      </c>
    </row>
    <row r="128" spans="1:14">
      <c r="C128" s="19" t="s">
        <v>71</v>
      </c>
      <c r="D128" s="31">
        <f>'14-15 NGGT'!D128-'Baseline NGGT'!D128</f>
        <v>0</v>
      </c>
      <c r="E128" s="31">
        <f>'14-15 NGGT'!E128-'Baseline NGGT'!E128</f>
        <v>0</v>
      </c>
      <c r="F128" s="31">
        <f>'14-15 NGGT'!F128-'Baseline NGGT'!F128</f>
        <v>0</v>
      </c>
      <c r="G128" s="31">
        <f>'14-15 NGGT'!G128-'Baseline NGGT'!G128</f>
        <v>0</v>
      </c>
      <c r="H128" s="31">
        <f>'14-15 NGGT'!H128-'Baseline NGGT'!H128</f>
        <v>0</v>
      </c>
      <c r="I128" s="31">
        <f>'14-15 NGGT'!I128-'Baseline NGGT'!I128</f>
        <v>0</v>
      </c>
      <c r="J128" s="31">
        <f>'14-15 NGGT'!J128-'Baseline NGGT'!J128</f>
        <v>0</v>
      </c>
      <c r="K128" s="31">
        <f>'14-15 NGGT'!K128-'Baseline NGGT'!K128</f>
        <v>0</v>
      </c>
      <c r="L128" s="28">
        <f>'14-15 NGGT'!L128-'Baseline NGGT'!L128</f>
        <v>0</v>
      </c>
    </row>
    <row r="129" spans="1:16">
      <c r="A129" t="s">
        <v>346</v>
      </c>
      <c r="C129" s="17" t="s">
        <v>121</v>
      </c>
      <c r="D129" s="27">
        <f>'14-15 NGGT'!D129-'Baseline NGGT'!D129</f>
        <v>0</v>
      </c>
      <c r="E129" s="27">
        <f>'14-15 NGGT'!E129-'Baseline NGGT'!E129</f>
        <v>0</v>
      </c>
      <c r="F129" s="27">
        <f>'14-15 NGGT'!F129-'Baseline NGGT'!F129</f>
        <v>0</v>
      </c>
      <c r="G129" s="27">
        <f>'14-15 NGGT'!G129-'Baseline NGGT'!G129</f>
        <v>0</v>
      </c>
      <c r="H129" s="27">
        <f>'14-15 NGGT'!H129-'Baseline NGGT'!H129</f>
        <v>0</v>
      </c>
      <c r="I129" s="27">
        <f>'14-15 NGGT'!I129-'Baseline NGGT'!I129</f>
        <v>0</v>
      </c>
      <c r="J129" s="27">
        <f>'14-15 NGGT'!J129-'Baseline NGGT'!J129</f>
        <v>0</v>
      </c>
      <c r="K129" s="27">
        <f>'14-15 NGGT'!K129-'Baseline NGGT'!K129</f>
        <v>0</v>
      </c>
      <c r="L129" s="28">
        <f>'14-15 NGGT'!L129-'Baseline NGGT'!L129</f>
        <v>0</v>
      </c>
      <c r="N129" s="53"/>
      <c r="P129" s="53"/>
    </row>
    <row r="130" spans="1:16">
      <c r="C130" s="18" t="s">
        <v>387</v>
      </c>
      <c r="D130" s="29">
        <f>'14-15 NGGT'!D130-'Baseline NGGT'!D130</f>
        <v>0</v>
      </c>
      <c r="E130" s="29">
        <f>'14-15 NGGT'!E130-'Baseline NGGT'!E130</f>
        <v>0</v>
      </c>
      <c r="F130" s="29">
        <f>'14-15 NGGT'!F130-'Baseline NGGT'!F130</f>
        <v>0</v>
      </c>
      <c r="G130" s="29">
        <f>'14-15 NGGT'!G130-'Baseline NGGT'!G130</f>
        <v>0</v>
      </c>
      <c r="H130" s="29">
        <f>'14-15 NGGT'!H130-'Baseline NGGT'!H130</f>
        <v>0</v>
      </c>
      <c r="I130" s="29">
        <f>'14-15 NGGT'!I130-'Baseline NGGT'!I130</f>
        <v>0</v>
      </c>
      <c r="J130" s="29">
        <f>'14-15 NGGT'!J130-'Baseline NGGT'!J130</f>
        <v>0</v>
      </c>
      <c r="K130" s="29">
        <f>'14-15 NGGT'!K130-'Baseline NGGT'!K130</f>
        <v>0</v>
      </c>
      <c r="L130" s="30">
        <f>'14-15 NGGT'!L130-'Baseline NGGT'!L130</f>
        <v>0</v>
      </c>
      <c r="N130" s="53"/>
      <c r="P130" s="53"/>
    </row>
    <row r="131" spans="1:16">
      <c r="C131" s="19" t="s">
        <v>77</v>
      </c>
      <c r="D131" s="31">
        <f>'14-15 NGGT'!D131-'Baseline NGGT'!D131</f>
        <v>0</v>
      </c>
      <c r="E131" s="31">
        <f>'14-15 NGGT'!E131-'Baseline NGGT'!E131</f>
        <v>0</v>
      </c>
      <c r="F131" s="31">
        <f>'14-15 NGGT'!F131-'Baseline NGGT'!F131</f>
        <v>0</v>
      </c>
      <c r="G131" s="31">
        <f>'14-15 NGGT'!G131-'Baseline NGGT'!G131</f>
        <v>0</v>
      </c>
      <c r="H131" s="31">
        <f>'14-15 NGGT'!H131-'Baseline NGGT'!H131</f>
        <v>0</v>
      </c>
      <c r="I131" s="31">
        <f>'14-15 NGGT'!I131-'Baseline NGGT'!I131</f>
        <v>0</v>
      </c>
      <c r="J131" s="31">
        <f>'14-15 NGGT'!J131-'Baseline NGGT'!J131</f>
        <v>0</v>
      </c>
      <c r="K131" s="31">
        <f>'14-15 NGGT'!K131-'Baseline NGGT'!K131</f>
        <v>0</v>
      </c>
      <c r="L131" s="28">
        <f>'14-15 NGGT'!L131-'Baseline NGGT'!L131</f>
        <v>0</v>
      </c>
    </row>
    <row r="132" spans="1:16">
      <c r="A132" t="s">
        <v>233</v>
      </c>
      <c r="C132" s="17" t="s">
        <v>388</v>
      </c>
      <c r="D132" s="27">
        <f>'14-15 NGGT'!D132-'Baseline NGGT'!D132</f>
        <v>0</v>
      </c>
      <c r="E132" s="27">
        <f>'14-15 NGGT'!E132-'Baseline NGGT'!E132</f>
        <v>0</v>
      </c>
      <c r="F132" s="27">
        <f>'14-15 NGGT'!F132-'Baseline NGGT'!F132</f>
        <v>0</v>
      </c>
      <c r="G132" s="27">
        <f>'14-15 NGGT'!G132-'Baseline NGGT'!G132</f>
        <v>0</v>
      </c>
      <c r="H132" s="27">
        <f>'14-15 NGGT'!H132-'Baseline NGGT'!H132</f>
        <v>0</v>
      </c>
      <c r="I132" s="27">
        <f>'14-15 NGGT'!I132-'Baseline NGGT'!I132</f>
        <v>0</v>
      </c>
      <c r="J132" s="27">
        <f>'14-15 NGGT'!J132-'Baseline NGGT'!J132</f>
        <v>0</v>
      </c>
      <c r="K132" s="27">
        <f>'14-15 NGGT'!K132-'Baseline NGGT'!K132</f>
        <v>0</v>
      </c>
      <c r="L132" s="28">
        <f>'14-15 NGGT'!L132-'Baseline NGGT'!L132</f>
        <v>0</v>
      </c>
      <c r="N132" s="53"/>
      <c r="P132" s="53"/>
    </row>
    <row r="133" spans="1:16">
      <c r="C133" s="18" t="s">
        <v>389</v>
      </c>
      <c r="D133" s="29">
        <f>'14-15 NGGT'!D133-'Baseline NGGT'!D133</f>
        <v>0</v>
      </c>
      <c r="E133" s="29">
        <f>'14-15 NGGT'!E133-'Baseline NGGT'!E133</f>
        <v>0</v>
      </c>
      <c r="F133" s="29">
        <f>'14-15 NGGT'!F133-'Baseline NGGT'!F133</f>
        <v>0</v>
      </c>
      <c r="G133" s="29">
        <f>'14-15 NGGT'!G133-'Baseline NGGT'!G133</f>
        <v>0</v>
      </c>
      <c r="H133" s="29">
        <f>'14-15 NGGT'!H133-'Baseline NGGT'!H133</f>
        <v>0</v>
      </c>
      <c r="I133" s="29">
        <f>'14-15 NGGT'!I133-'Baseline NGGT'!I133</f>
        <v>0</v>
      </c>
      <c r="J133" s="29">
        <f>'14-15 NGGT'!J133-'Baseline NGGT'!J133</f>
        <v>0</v>
      </c>
      <c r="K133" s="29">
        <f>'14-15 NGGT'!K133-'Baseline NGGT'!K133</f>
        <v>0</v>
      </c>
      <c r="L133" s="30">
        <f>'14-15 NGGT'!L133-'Baseline NGGT'!L133</f>
        <v>0</v>
      </c>
      <c r="N133" s="53"/>
      <c r="P133" s="53"/>
    </row>
    <row r="134" spans="1:16">
      <c r="C134" s="19" t="s">
        <v>78</v>
      </c>
      <c r="D134" s="31">
        <f>'14-15 NGGT'!D134-'Baseline NGGT'!D134</f>
        <v>0</v>
      </c>
      <c r="E134" s="31">
        <f>'14-15 NGGT'!E134-'Baseline NGGT'!E134</f>
        <v>0</v>
      </c>
      <c r="F134" s="31">
        <f>'14-15 NGGT'!F134-'Baseline NGGT'!F134</f>
        <v>0</v>
      </c>
      <c r="G134" s="31">
        <f>'14-15 NGGT'!G134-'Baseline NGGT'!G134</f>
        <v>0</v>
      </c>
      <c r="H134" s="31">
        <f>'14-15 NGGT'!H134-'Baseline NGGT'!H134</f>
        <v>0</v>
      </c>
      <c r="I134" s="31">
        <f>'14-15 NGGT'!I134-'Baseline NGGT'!I134</f>
        <v>0</v>
      </c>
      <c r="J134" s="31">
        <f>'14-15 NGGT'!J134-'Baseline NGGT'!J134</f>
        <v>0</v>
      </c>
      <c r="K134" s="31">
        <f>'14-15 NGGT'!K134-'Baseline NGGT'!K134</f>
        <v>0</v>
      </c>
      <c r="L134" s="28">
        <f>'14-15 NGGT'!L134-'Baseline NGGT'!L134</f>
        <v>0</v>
      </c>
    </row>
    <row r="135" spans="1:16">
      <c r="C135" s="20"/>
      <c r="D135" s="32"/>
      <c r="E135" s="32"/>
      <c r="F135" s="32"/>
      <c r="G135" s="32"/>
      <c r="H135" s="32"/>
      <c r="I135" s="32"/>
      <c r="J135" s="32"/>
      <c r="K135" s="32"/>
      <c r="L135" s="33"/>
    </row>
    <row r="136" spans="1:16">
      <c r="C136" s="17" t="s">
        <v>79</v>
      </c>
      <c r="D136" s="27">
        <f>'14-15 NGGT'!D136-'Baseline NGGT'!D136</f>
        <v>0</v>
      </c>
      <c r="E136" s="27">
        <f>'14-15 NGGT'!E136-'Baseline NGGT'!E136</f>
        <v>0</v>
      </c>
      <c r="F136" s="27">
        <f>'14-15 NGGT'!F136-'Baseline NGGT'!F136</f>
        <v>0</v>
      </c>
      <c r="G136" s="27">
        <f>'14-15 NGGT'!G136-'Baseline NGGT'!G136</f>
        <v>0</v>
      </c>
      <c r="H136" s="27">
        <f>'14-15 NGGT'!H136-'Baseline NGGT'!H136</f>
        <v>0</v>
      </c>
      <c r="I136" s="27">
        <f>'14-15 NGGT'!I136-'Baseline NGGT'!I136</f>
        <v>0</v>
      </c>
      <c r="J136" s="27">
        <f>'14-15 NGGT'!J136-'Baseline NGGT'!J136</f>
        <v>0</v>
      </c>
      <c r="K136" s="27">
        <f>'14-15 NGGT'!K136-'Baseline NGGT'!K136</f>
        <v>0</v>
      </c>
      <c r="L136" s="28">
        <f>'14-15 NGGT'!L136-'Baseline NGGT'!L136</f>
        <v>0</v>
      </c>
    </row>
    <row r="137" spans="1:16">
      <c r="C137" s="18" t="s">
        <v>80</v>
      </c>
      <c r="D137" s="29">
        <f>'14-15 NGGT'!D137-'Baseline NGGT'!D137</f>
        <v>0</v>
      </c>
      <c r="E137" s="29">
        <f>'14-15 NGGT'!E137-'Baseline NGGT'!E137</f>
        <v>0</v>
      </c>
      <c r="F137" s="29">
        <f>'14-15 NGGT'!F137-'Baseline NGGT'!F137</f>
        <v>0</v>
      </c>
      <c r="G137" s="29">
        <f>'14-15 NGGT'!G137-'Baseline NGGT'!G137</f>
        <v>0</v>
      </c>
      <c r="H137" s="29">
        <f>'14-15 NGGT'!H137-'Baseline NGGT'!H137</f>
        <v>0</v>
      </c>
      <c r="I137" s="29">
        <f>'14-15 NGGT'!I137-'Baseline NGGT'!I137</f>
        <v>0</v>
      </c>
      <c r="J137" s="29">
        <f>'14-15 NGGT'!J137-'Baseline NGGT'!J137</f>
        <v>0</v>
      </c>
      <c r="K137" s="29">
        <f>'14-15 NGGT'!K137-'Baseline NGGT'!K137</f>
        <v>0</v>
      </c>
      <c r="L137" s="30">
        <f>'14-15 NGGT'!L137-'Baseline NGGT'!L137</f>
        <v>0</v>
      </c>
    </row>
    <row r="138" spans="1:16" ht="13.8" thickBot="1">
      <c r="C138" s="21" t="s">
        <v>390</v>
      </c>
      <c r="D138" s="34">
        <f>'14-15 NGGT'!D138-'Baseline NGGT'!D138</f>
        <v>0</v>
      </c>
      <c r="E138" s="34">
        <f>'14-15 NGGT'!E138-'Baseline NGGT'!E138</f>
        <v>0</v>
      </c>
      <c r="F138" s="34">
        <f>'14-15 NGGT'!F138-'Baseline NGGT'!F138</f>
        <v>0</v>
      </c>
      <c r="G138" s="34">
        <f>'14-15 NGGT'!G138-'Baseline NGGT'!G138</f>
        <v>0</v>
      </c>
      <c r="H138" s="34">
        <f>'14-15 NGGT'!H138-'Baseline NGGT'!H138</f>
        <v>0</v>
      </c>
      <c r="I138" s="34">
        <f>'14-15 NGGT'!I138-'Baseline NGGT'!I138</f>
        <v>0</v>
      </c>
      <c r="J138" s="34">
        <f>'14-15 NGGT'!J138-'Baseline NGGT'!J138</f>
        <v>0</v>
      </c>
      <c r="K138" s="34">
        <f>'14-15 NGGT'!K138-'Baseline NGGT'!K138</f>
        <v>0</v>
      </c>
      <c r="L138" s="35">
        <f>'14-15 NGGT'!L138-'Baseline NGGT'!L138</f>
        <v>0</v>
      </c>
    </row>
    <row r="140" spans="1:16" ht="13.8" thickBot="1">
      <c r="A140" s="38" t="s">
        <v>410</v>
      </c>
    </row>
    <row r="141" spans="1:16" ht="13.8" thickBot="1">
      <c r="C141" s="7" t="s">
        <v>58</v>
      </c>
      <c r="D141" s="8" t="s">
        <v>59</v>
      </c>
      <c r="E141" s="8" t="s">
        <v>60</v>
      </c>
      <c r="F141" s="8" t="s">
        <v>61</v>
      </c>
      <c r="G141" s="8" t="s">
        <v>62</v>
      </c>
      <c r="H141" s="8" t="s">
        <v>63</v>
      </c>
      <c r="I141" s="8" t="s">
        <v>64</v>
      </c>
      <c r="J141" s="8" t="s">
        <v>65</v>
      </c>
      <c r="K141" s="8" t="s">
        <v>66</v>
      </c>
    </row>
    <row r="142" spans="1:16">
      <c r="C142" s="10" t="s">
        <v>79</v>
      </c>
      <c r="D142" s="42">
        <f>'14-15 NGGT'!D142-'Baseline NGGT'!D142</f>
        <v>0</v>
      </c>
      <c r="E142" s="42">
        <f>'14-15 NGGT'!E142-'Baseline NGGT'!E142</f>
        <v>0</v>
      </c>
      <c r="F142" s="42">
        <f>'14-15 NGGT'!F142-'Baseline NGGT'!F142</f>
        <v>0</v>
      </c>
      <c r="G142" s="42">
        <f>'14-15 NGGT'!G142-'Baseline NGGT'!G142</f>
        <v>0</v>
      </c>
      <c r="H142" s="42">
        <f>'14-15 NGGT'!H142-'Baseline NGGT'!H142</f>
        <v>0</v>
      </c>
      <c r="I142" s="42">
        <f>'14-15 NGGT'!I142-'Baseline NGGT'!I142</f>
        <v>0</v>
      </c>
      <c r="J142" s="42">
        <f>'14-15 NGGT'!J142-'Baseline NGGT'!J142</f>
        <v>0</v>
      </c>
      <c r="K142" s="42">
        <f>'14-15 NGGT'!K142-'Baseline NGGT'!K142</f>
        <v>0</v>
      </c>
    </row>
    <row r="143" spans="1:16">
      <c r="C143" s="11" t="s">
        <v>98</v>
      </c>
      <c r="D143" s="43">
        <f>'14-15 NGGT'!D143-'Baseline NGGT'!D143</f>
        <v>0</v>
      </c>
      <c r="E143" s="43">
        <f>'14-15 NGGT'!E143-'Baseline NGGT'!E143</f>
        <v>0</v>
      </c>
      <c r="F143" s="43">
        <f>'14-15 NGGT'!F143-'Baseline NGGT'!F143</f>
        <v>0</v>
      </c>
      <c r="G143" s="43">
        <f>'14-15 NGGT'!G143-'Baseline NGGT'!G143</f>
        <v>0</v>
      </c>
      <c r="H143" s="43">
        <f>'14-15 NGGT'!H143-'Baseline NGGT'!H143</f>
        <v>0</v>
      </c>
      <c r="I143" s="43">
        <f>'14-15 NGGT'!I143-'Baseline NGGT'!I143</f>
        <v>0</v>
      </c>
      <c r="J143" s="43">
        <f>'14-15 NGGT'!J143-'Baseline NGGT'!J143</f>
        <v>0</v>
      </c>
      <c r="K143" s="43">
        <f>'14-15 NGGT'!K143-'Baseline NGGT'!K143</f>
        <v>0</v>
      </c>
    </row>
    <row r="144" spans="1:16">
      <c r="C144" s="11" t="s">
        <v>100</v>
      </c>
      <c r="D144" s="43">
        <f>'14-15 NGGT'!D144-'Baseline NGGT'!D144</f>
        <v>0</v>
      </c>
      <c r="E144" s="43">
        <f>'14-15 NGGT'!E144-'Baseline NGGT'!E144</f>
        <v>0</v>
      </c>
      <c r="F144" s="43">
        <f>'14-15 NGGT'!F144-'Baseline NGGT'!F144</f>
        <v>0</v>
      </c>
      <c r="G144" s="43">
        <f>'14-15 NGGT'!G144-'Baseline NGGT'!G144</f>
        <v>0</v>
      </c>
      <c r="H144" s="43">
        <f>'14-15 NGGT'!H144-'Baseline NGGT'!H144</f>
        <v>0</v>
      </c>
      <c r="I144" s="43">
        <f>'14-15 NGGT'!I144-'Baseline NGGT'!I144</f>
        <v>0</v>
      </c>
      <c r="J144" s="43">
        <f>'14-15 NGGT'!J144-'Baseline NGGT'!J144</f>
        <v>0</v>
      </c>
      <c r="K144" s="43">
        <f>'14-15 NGGT'!K144-'Baseline NGGT'!K144</f>
        <v>0</v>
      </c>
    </row>
    <row r="145" spans="3:11">
      <c r="C145" s="10" t="s">
        <v>101</v>
      </c>
      <c r="D145" s="42">
        <f>'14-15 NGGT'!D145-'Baseline NGGT'!D145</f>
        <v>0</v>
      </c>
      <c r="E145" s="42">
        <f>'14-15 NGGT'!E145-'Baseline NGGT'!E145</f>
        <v>0</v>
      </c>
      <c r="F145" s="42">
        <f>'14-15 NGGT'!F145-'Baseline NGGT'!F145</f>
        <v>0</v>
      </c>
      <c r="G145" s="42">
        <f>'14-15 NGGT'!G145-'Baseline NGGT'!G145</f>
        <v>0</v>
      </c>
      <c r="H145" s="42">
        <f>'14-15 NGGT'!H145-'Baseline NGGT'!H145</f>
        <v>0</v>
      </c>
      <c r="I145" s="42">
        <f>'14-15 NGGT'!I145-'Baseline NGGT'!I145</f>
        <v>0</v>
      </c>
      <c r="J145" s="42">
        <f>'14-15 NGGT'!J145-'Baseline NGGT'!J145</f>
        <v>0</v>
      </c>
      <c r="K145" s="42">
        <f>'14-15 NGGT'!K145-'Baseline NGGT'!K145</f>
        <v>0</v>
      </c>
    </row>
    <row r="146" spans="3:11">
      <c r="C146" s="11" t="s">
        <v>102</v>
      </c>
      <c r="D146" s="43">
        <f>'14-15 NGGT'!D146-'Baseline NGGT'!D146</f>
        <v>-2.3380918191918343E-2</v>
      </c>
      <c r="E146" s="43">
        <f>'14-15 NGGT'!E146-'Baseline NGGT'!E146</f>
        <v>0</v>
      </c>
      <c r="F146" s="43">
        <f>'14-15 NGGT'!F146-'Baseline NGGT'!F146</f>
        <v>0</v>
      </c>
      <c r="G146" s="43">
        <f>'14-15 NGGT'!G146-'Baseline NGGT'!G146</f>
        <v>0</v>
      </c>
      <c r="H146" s="43">
        <f>'14-15 NGGT'!H146-'Baseline NGGT'!H146</f>
        <v>0</v>
      </c>
      <c r="I146" s="43">
        <f>'14-15 NGGT'!I146-'Baseline NGGT'!I146</f>
        <v>0</v>
      </c>
      <c r="J146" s="43">
        <f>'14-15 NGGT'!J146-'Baseline NGGT'!J146</f>
        <v>0</v>
      </c>
      <c r="K146" s="43">
        <f>'14-15 NGGT'!K146-'Baseline NGGT'!K146</f>
        <v>0</v>
      </c>
    </row>
    <row r="147" spans="3:11">
      <c r="C147" s="10" t="s">
        <v>103</v>
      </c>
      <c r="D147" s="42">
        <f>'14-15 NGGT'!D147-'Baseline NGGT'!D147</f>
        <v>-6.1934176140471919E-2</v>
      </c>
      <c r="E147" s="42">
        <f>'14-15 NGGT'!E147-'Baseline NGGT'!E147</f>
        <v>-0.63385992751237197</v>
      </c>
      <c r="F147" s="42">
        <f>'14-15 NGGT'!F147-'Baseline NGGT'!F147</f>
        <v>-0.63132216647712269</v>
      </c>
      <c r="G147" s="42">
        <f>'14-15 NGGT'!G147-'Baseline NGGT'!G147</f>
        <v>-0.62496233629144982</v>
      </c>
      <c r="H147" s="42">
        <f>'14-15 NGGT'!H147-'Baseline NGGT'!H147</f>
        <v>-0.61472860031123133</v>
      </c>
      <c r="I147" s="42">
        <f>'14-15 NGGT'!I147-'Baseline NGGT'!I147</f>
        <v>-0.59932719437313509</v>
      </c>
      <c r="J147" s="42">
        <f>'14-15 NGGT'!J147-'Baseline NGGT'!J147</f>
        <v>-0.57991000202951426</v>
      </c>
      <c r="K147" s="42">
        <f>'14-15 NGGT'!K147-'Baseline NGGT'!K147</f>
        <v>-0.55893829480454116</v>
      </c>
    </row>
    <row r="148" spans="3:11">
      <c r="C148" s="11" t="s">
        <v>104</v>
      </c>
      <c r="D148" s="43">
        <f>'14-15 NGGT'!D148-'Baseline NGGT'!D148</f>
        <v>-1.1661078241589788E-2</v>
      </c>
      <c r="E148" s="43">
        <f>'14-15 NGGT'!E148-'Baseline NGGT'!E148</f>
        <v>-1.2156674066857352E-2</v>
      </c>
      <c r="F148" s="43">
        <f>'14-15 NGGT'!F148-'Baseline NGGT'!F148</f>
        <v>-1.2673332714698792E-2</v>
      </c>
      <c r="G148" s="43">
        <f>'14-15 NGGT'!G148-'Baseline NGGT'!G148</f>
        <v>-1.3211949355073492E-2</v>
      </c>
      <c r="H148" s="43">
        <f>'14-15 NGGT'!H148-'Baseline NGGT'!H148</f>
        <v>-1.3773457202664111E-2</v>
      </c>
      <c r="I148" s="43">
        <f>'14-15 NGGT'!I148-'Baseline NGGT'!I148</f>
        <v>-1.4358829133777336E-2</v>
      </c>
      <c r="J148" s="43">
        <f>'14-15 NGGT'!J148-'Baseline NGGT'!J148</f>
        <v>-1.4969079371962872E-2</v>
      </c>
      <c r="K148" s="43">
        <f>'14-15 NGGT'!K148-'Baseline NGGT'!K148</f>
        <v>-1.5605265245271295E-2</v>
      </c>
    </row>
    <row r="149" spans="3:11">
      <c r="C149" s="12" t="s">
        <v>105</v>
      </c>
      <c r="D149" s="50">
        <f>'14-15 NGGT'!D149-'Baseline NGGT'!D149</f>
        <v>-9.6976172573974395E-2</v>
      </c>
      <c r="E149" s="50">
        <f>'14-15 NGGT'!E149-'Baseline NGGT'!E149</f>
        <v>-0.64601660157923391</v>
      </c>
      <c r="F149" s="50">
        <f>'14-15 NGGT'!F149-'Baseline NGGT'!F149</f>
        <v>-0.64399549919181709</v>
      </c>
      <c r="G149" s="50">
        <f>'14-15 NGGT'!G149-'Baseline NGGT'!G149</f>
        <v>-0.63817428564652801</v>
      </c>
      <c r="H149" s="50">
        <f>'14-15 NGGT'!H149-'Baseline NGGT'!H149</f>
        <v>-0.62850205751389865</v>
      </c>
      <c r="I149" s="50">
        <f>'14-15 NGGT'!I149-'Baseline NGGT'!I149</f>
        <v>-0.61368602350692925</v>
      </c>
      <c r="J149" s="50">
        <f>'14-15 NGGT'!J149-'Baseline NGGT'!J149</f>
        <v>-0.59487908140148704</v>
      </c>
      <c r="K149" s="50">
        <f>'14-15 NGGT'!K149-'Baseline NGGT'!K149</f>
        <v>-0.57454356004980411</v>
      </c>
    </row>
    <row r="150" spans="3:11">
      <c r="C150" s="11" t="s">
        <v>277</v>
      </c>
      <c r="D150" s="43">
        <f>'14-15 NGGT'!D150-'Baseline NGGT'!D150</f>
        <v>0</v>
      </c>
      <c r="E150" s="43">
        <f>'14-15 NGGT'!E150-'Baseline NGGT'!E150</f>
        <v>0</v>
      </c>
      <c r="F150" s="43">
        <f>'14-15 NGGT'!F150-'Baseline NGGT'!F150</f>
        <v>0</v>
      </c>
      <c r="G150" s="43">
        <f>'14-15 NGGT'!G150-'Baseline NGGT'!G150</f>
        <v>0</v>
      </c>
      <c r="H150" s="43">
        <f>'14-15 NGGT'!H150-'Baseline NGGT'!H150</f>
        <v>0</v>
      </c>
      <c r="I150" s="43">
        <f>'14-15 NGGT'!I150-'Baseline NGGT'!I150</f>
        <v>0</v>
      </c>
      <c r="J150" s="43">
        <f>'14-15 NGGT'!J150-'Baseline NGGT'!J150</f>
        <v>0</v>
      </c>
      <c r="K150" s="43">
        <f>'14-15 NGGT'!K150-'Baseline NGGT'!K150</f>
        <v>0</v>
      </c>
    </row>
    <row r="151" spans="3:11" ht="13.8" thickBot="1">
      <c r="C151" s="13" t="s">
        <v>107</v>
      </c>
      <c r="D151" s="52">
        <f>'14-15 NGGT'!D151-'Baseline NGGT'!D151</f>
        <v>-9.6976172573960184E-2</v>
      </c>
      <c r="E151" s="52">
        <f>'14-15 NGGT'!E151-'Baseline NGGT'!E151</f>
        <v>-0.64601660157924812</v>
      </c>
      <c r="F151" s="52">
        <f>'14-15 NGGT'!F151-'Baseline NGGT'!F151</f>
        <v>-0.64399549919181709</v>
      </c>
      <c r="G151" s="52">
        <f>'14-15 NGGT'!G151-'Baseline NGGT'!G151</f>
        <v>-0.63817428564652801</v>
      </c>
      <c r="H151" s="52">
        <f>'14-15 NGGT'!H151-'Baseline NGGT'!H151</f>
        <v>-0.62850205751389865</v>
      </c>
      <c r="I151" s="52">
        <f>'14-15 NGGT'!I151-'Baseline NGGT'!I151</f>
        <v>-0.61368602350692925</v>
      </c>
      <c r="J151" s="52">
        <f>'14-15 NGGT'!J151-'Baseline NGGT'!J151</f>
        <v>-0.59487908140148704</v>
      </c>
      <c r="K151" s="52">
        <f>'14-15 NGGT'!K151-'Baseline NGGT'!K151</f>
        <v>-0.57454356004980411</v>
      </c>
    </row>
    <row r="153" spans="3:11">
      <c r="D153" s="53" t="s">
        <v>397</v>
      </c>
      <c r="E153" s="53">
        <f>D151*1.04375+E151</f>
        <v>-0.7472354817033191</v>
      </c>
      <c r="F153" s="53" t="s">
        <v>201</v>
      </c>
      <c r="G153" s="53">
        <f>E153-'GT workings 14-15'!E236</f>
        <v>-5.5511151231257827E-15</v>
      </c>
      <c r="H153" s="53"/>
      <c r="I153" s="53"/>
      <c r="J153" s="53"/>
      <c r="K153" s="53"/>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12" width="10.6640625" customWidth="1"/>
    <col min="14" max="14" width="7.5546875" customWidth="1"/>
  </cols>
  <sheetData>
    <row r="1" spans="1:8" ht="13.8" thickBot="1"/>
    <row r="2" spans="1:8" ht="63" thickBot="1">
      <c r="A2" s="38" t="s">
        <v>411</v>
      </c>
      <c r="C2" s="1" t="s">
        <v>384</v>
      </c>
      <c r="D2" s="2" t="s">
        <v>40</v>
      </c>
      <c r="E2" s="47" t="s">
        <v>41</v>
      </c>
      <c r="G2" s="112" t="s">
        <v>362</v>
      </c>
      <c r="H2" s="113" t="str">
        <f>RPI!$B$1</f>
        <v>Updated Oct 2019</v>
      </c>
    </row>
    <row r="3" spans="1:8" ht="15.6" thickBot="1">
      <c r="C3" s="3" t="s">
        <v>406</v>
      </c>
      <c r="D3" s="62">
        <f>'15-16 NGGT'!D3-'14-15 NGGT'!D3</f>
        <v>0</v>
      </c>
      <c r="E3" s="63">
        <f>'15-16 NGGT'!E3-'14-15 NGGT'!E3</f>
        <v>0</v>
      </c>
    </row>
    <row r="4" spans="1:8" ht="15.6" thickBot="1">
      <c r="C4" s="3" t="s">
        <v>407</v>
      </c>
      <c r="D4" s="62">
        <f>'15-16 NGGT'!D4-'14-15 NGGT'!D4</f>
        <v>0</v>
      </c>
      <c r="E4" s="63">
        <f>'15-16 NGGT'!E4-'14-15 NGGT'!E4</f>
        <v>0</v>
      </c>
    </row>
    <row r="5" spans="1:8" ht="15.6" thickBot="1">
      <c r="C5" s="4" t="s">
        <v>44</v>
      </c>
      <c r="D5" s="64">
        <f>'15-16 NGGT'!D5-'14-15 NGGT'!D5</f>
        <v>0</v>
      </c>
      <c r="E5" s="63">
        <f>'15-16 NGGT'!E5-'14-15 NGGT'!E5</f>
        <v>0</v>
      </c>
    </row>
    <row r="6" spans="1:8" ht="15.6" thickBot="1">
      <c r="C6" s="3" t="s">
        <v>408</v>
      </c>
      <c r="D6" s="62">
        <f>'15-16 NGGT'!D6-'14-15 NGGT'!D6</f>
        <v>0</v>
      </c>
      <c r="E6" s="63">
        <f>'15-16 NGGT'!E6-'14-15 NGGT'!E6</f>
        <v>0</v>
      </c>
    </row>
    <row r="7" spans="1:8" ht="15.6" thickBot="1">
      <c r="C7" s="4" t="s">
        <v>46</v>
      </c>
      <c r="D7" s="64">
        <f>'15-16 NGGT'!D7-'14-15 NGGT'!D7</f>
        <v>0</v>
      </c>
      <c r="E7" s="63">
        <f>'15-16 NGGT'!E7-'14-15 NGGT'!E7</f>
        <v>0</v>
      </c>
    </row>
    <row r="8" spans="1:8" ht="16.2" thickBot="1">
      <c r="C8" s="6" t="s">
        <v>48</v>
      </c>
      <c r="D8" s="65">
        <f>'15-16 NGGT'!D8-'14-15 NGGT'!D8</f>
        <v>0</v>
      </c>
      <c r="E8" s="66">
        <f>'15-16 NGGT'!E8-'14-15 NGGT'!E8</f>
        <v>0</v>
      </c>
    </row>
    <row r="9" spans="1:8" ht="15.6" thickBot="1">
      <c r="C9" s="4" t="s">
        <v>52</v>
      </c>
      <c r="D9" s="64">
        <f>'15-16 NGGT'!D9-'14-15 NGGT'!D9</f>
        <v>0</v>
      </c>
      <c r="E9" s="63">
        <f>'15-16 NGGT'!E9-'14-15 NGGT'!E9</f>
        <v>0</v>
      </c>
    </row>
    <row r="10" spans="1:8" ht="15.6" thickBot="1">
      <c r="C10" s="3"/>
      <c r="D10" s="62"/>
      <c r="E10" s="63"/>
    </row>
    <row r="11" spans="1:8" ht="15.6" thickBot="1">
      <c r="C11" s="4" t="s">
        <v>138</v>
      </c>
      <c r="D11" s="64">
        <f>'15-16 NGGT'!D11-'14-15 NGGT'!D11</f>
        <v>0</v>
      </c>
      <c r="E11" s="63">
        <f>'15-16 NGGT'!E11-'14-15 NGGT'!E11</f>
        <v>0</v>
      </c>
    </row>
    <row r="12" spans="1:8" ht="15.6" thickBot="1">
      <c r="C12" s="3" t="s">
        <v>44</v>
      </c>
      <c r="D12" s="62">
        <f>'15-16 NGGT'!D12-'14-15 NGGT'!D12</f>
        <v>0</v>
      </c>
      <c r="E12" s="63">
        <f>'15-16 NGGT'!E12-'14-15 NGGT'!E12</f>
        <v>0</v>
      </c>
    </row>
    <row r="13" spans="1:8" ht="15.6" thickBot="1">
      <c r="C13" s="4" t="s">
        <v>45</v>
      </c>
      <c r="D13" s="64">
        <f>'15-16 NGGT'!D13-'14-15 NGGT'!D13</f>
        <v>0</v>
      </c>
      <c r="E13" s="63">
        <f>'15-16 NGGT'!E13-'14-15 NGGT'!E13</f>
        <v>0</v>
      </c>
    </row>
    <row r="14" spans="1:8" ht="15.6" thickBot="1">
      <c r="C14" s="3" t="s">
        <v>46</v>
      </c>
      <c r="D14" s="62">
        <f>'15-16 NGGT'!D14-'14-15 NGGT'!D14</f>
        <v>0</v>
      </c>
      <c r="E14" s="63">
        <f>'15-16 NGGT'!E14-'14-15 NGGT'!E14</f>
        <v>0</v>
      </c>
    </row>
    <row r="15" spans="1:8" ht="16.2" thickBot="1">
      <c r="C15" s="5" t="s">
        <v>50</v>
      </c>
      <c r="D15" s="67">
        <f>'15-16 NGGT'!D15-'14-15 NGGT'!D15</f>
        <v>0</v>
      </c>
      <c r="E15" s="66">
        <f>'15-16 NGGT'!E15-'14-15 NGGT'!E15</f>
        <v>0</v>
      </c>
    </row>
    <row r="16" spans="1:8" ht="15.6" thickBot="1">
      <c r="C16" s="3"/>
      <c r="D16" s="62"/>
      <c r="E16" s="63"/>
    </row>
    <row r="17" spans="1:38" ht="16.2" thickBot="1">
      <c r="C17" s="5" t="s">
        <v>51</v>
      </c>
      <c r="D17" s="67">
        <f>'15-16 NGGT'!D17-'14-15 NGGT'!D17</f>
        <v>0</v>
      </c>
      <c r="E17" s="66">
        <f>'15-16 NGGT'!E17-'14-15 NGGT'!E17</f>
        <v>0</v>
      </c>
    </row>
    <row r="18" spans="1:38" ht="16.2" thickBot="1">
      <c r="C18" s="6"/>
      <c r="D18" s="65"/>
      <c r="E18" s="66"/>
    </row>
    <row r="19" spans="1:38" ht="16.2" thickBot="1">
      <c r="C19" s="5" t="s">
        <v>53</v>
      </c>
      <c r="D19" s="67">
        <f>'15-16 NGGT'!D19-'14-15 NGGT'!D19</f>
        <v>0</v>
      </c>
      <c r="E19" s="66">
        <f>'15-16 NGGT'!E19-'14-15 NGGT'!E19</f>
        <v>0</v>
      </c>
    </row>
    <row r="20" spans="1:38" ht="16.2" thickBot="1">
      <c r="C20" s="6" t="s">
        <v>54</v>
      </c>
      <c r="D20" s="65">
        <f>'15-16 NGGT'!D20-'14-15 NGGT'!D20</f>
        <v>1.2595247298872181E-3</v>
      </c>
      <c r="E20" s="66">
        <f>'15-16 NGGT'!E20-'14-15 NGGT'!E20</f>
        <v>8.9839157868354391E-4</v>
      </c>
    </row>
    <row r="24" spans="1:38" ht="13.8" thickBot="1">
      <c r="A24" s="38" t="s">
        <v>399</v>
      </c>
    </row>
    <row r="25" spans="1:38" ht="13.8" thickBot="1">
      <c r="C25" s="7" t="s">
        <v>58</v>
      </c>
      <c r="D25" s="8" t="s">
        <v>59</v>
      </c>
      <c r="E25" s="8" t="s">
        <v>60</v>
      </c>
      <c r="F25" s="8" t="s">
        <v>61</v>
      </c>
      <c r="G25" s="8" t="s">
        <v>62</v>
      </c>
      <c r="H25" s="8" t="s">
        <v>63</v>
      </c>
      <c r="I25" s="8" t="s">
        <v>64</v>
      </c>
      <c r="J25" s="8" t="s">
        <v>65</v>
      </c>
      <c r="K25" s="8" t="s">
        <v>66</v>
      </c>
      <c r="L25" s="8" t="s">
        <v>67</v>
      </c>
    </row>
    <row r="26" spans="1:38">
      <c r="C26" s="9"/>
      <c r="D26" s="49"/>
      <c r="E26" s="49"/>
      <c r="F26" s="49"/>
      <c r="G26" s="49"/>
      <c r="H26" s="49"/>
      <c r="I26" s="49"/>
      <c r="J26" s="49"/>
      <c r="K26" s="49"/>
      <c r="L26" s="49"/>
    </row>
    <row r="27" spans="1:38" ht="12.75" customHeight="1">
      <c r="A27" t="s">
        <v>338</v>
      </c>
      <c r="C27" s="10" t="s">
        <v>414</v>
      </c>
      <c r="D27" s="42">
        <f>'15-16 NGGT'!D27-'14-15 NGGT'!D27</f>
        <v>0</v>
      </c>
      <c r="E27" s="42">
        <f>'15-16 NGGT'!E27-'14-15 NGGT'!E27</f>
        <v>0</v>
      </c>
      <c r="F27" s="42">
        <f>'15-16 NGGT'!F27-'14-15 NGGT'!F27</f>
        <v>0</v>
      </c>
      <c r="G27" s="42">
        <f>'15-16 NGGT'!G27-'14-15 NGGT'!G27</f>
        <v>0</v>
      </c>
      <c r="H27" s="42">
        <f>'15-16 NGGT'!H27-'14-15 NGGT'!H27</f>
        <v>0</v>
      </c>
      <c r="I27" s="42">
        <f>'15-16 NGGT'!I27-'14-15 NGGT'!I27</f>
        <v>0</v>
      </c>
      <c r="J27" s="42">
        <f>'15-16 NGGT'!J27-'14-15 NGGT'!J27</f>
        <v>0</v>
      </c>
      <c r="K27" s="42">
        <f>'15-16 NGGT'!K27-'14-15 NGGT'!K27</f>
        <v>0</v>
      </c>
      <c r="L27" s="50">
        <f>'15-16 NGGT'!L27-'14-15 NGGT'!L27</f>
        <v>0</v>
      </c>
      <c r="S27" s="10" t="s">
        <v>415</v>
      </c>
      <c r="T27" s="335">
        <v>112</v>
      </c>
      <c r="U27" s="335">
        <v>98</v>
      </c>
      <c r="V27" s="335">
        <v>107</v>
      </c>
      <c r="W27" s="335">
        <v>137</v>
      </c>
      <c r="X27" s="335">
        <v>166</v>
      </c>
      <c r="Y27" s="335">
        <v>85</v>
      </c>
      <c r="Z27" s="335">
        <v>72</v>
      </c>
      <c r="AA27" s="335">
        <v>71</v>
      </c>
      <c r="AB27" s="336">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416</v>
      </c>
      <c r="D28" s="42">
        <f>'15-16 NGGT'!D28-'14-15 NGGT'!D28</f>
        <v>0</v>
      </c>
      <c r="E28" s="42">
        <f>'15-16 NGGT'!E28-'14-15 NGGT'!E28</f>
        <v>0</v>
      </c>
      <c r="F28" s="42">
        <f>'15-16 NGGT'!F28-'14-15 NGGT'!F28</f>
        <v>0</v>
      </c>
      <c r="G28" s="42">
        <f>'15-16 NGGT'!G28-'14-15 NGGT'!G28</f>
        <v>0</v>
      </c>
      <c r="H28" s="42">
        <f>'15-16 NGGT'!H28-'14-15 NGGT'!H28</f>
        <v>0</v>
      </c>
      <c r="I28" s="42">
        <f>'15-16 NGGT'!I28-'14-15 NGGT'!I28</f>
        <v>0</v>
      </c>
      <c r="J28" s="42">
        <f>'15-16 NGGT'!J28-'14-15 NGGT'!J28</f>
        <v>0</v>
      </c>
      <c r="K28" s="42">
        <f>'15-16 NGGT'!K28-'14-15 NGGT'!K28</f>
        <v>0</v>
      </c>
      <c r="L28" s="50">
        <f>'15-16 NGGT'!L28-'14-15 NGGT'!L28</f>
        <v>0</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'15-16 NGGT'!D29-'14-15 NGGT'!D29</f>
        <v>0</v>
      </c>
      <c r="E29" s="43">
        <f>'15-16 NGGT'!E29-'14-15 NGGT'!E29</f>
        <v>0</v>
      </c>
      <c r="F29" s="43">
        <f>'15-16 NGGT'!F29-'14-15 NGGT'!F29</f>
        <v>0</v>
      </c>
      <c r="G29" s="43">
        <f>'15-16 NGGT'!G29-'14-15 NGGT'!G29</f>
        <v>0</v>
      </c>
      <c r="H29" s="43">
        <f>'15-16 NGGT'!H29-'14-15 NGGT'!H29</f>
        <v>0</v>
      </c>
      <c r="I29" s="43">
        <f>'15-16 NGGT'!I29-'14-15 NGGT'!I29</f>
        <v>0</v>
      </c>
      <c r="J29" s="43">
        <f>'15-16 NGGT'!J29-'14-15 NGGT'!J29</f>
        <v>0</v>
      </c>
      <c r="K29" s="43">
        <f>'15-16 NGGT'!K29-'14-15 NGGT'!K29</f>
        <v>0</v>
      </c>
      <c r="L29" s="45">
        <f>'15-16 NGGT'!L29-'14-15 NGGT'!L29</f>
        <v>0</v>
      </c>
      <c r="S29" s="11" t="s">
        <v>417</v>
      </c>
      <c r="T29" s="337">
        <v>90</v>
      </c>
      <c r="U29" s="337">
        <v>89</v>
      </c>
      <c r="V29" s="337">
        <v>92</v>
      </c>
      <c r="W29" s="337">
        <v>92</v>
      </c>
      <c r="X29" s="337">
        <v>94</v>
      </c>
      <c r="Y29" s="337">
        <v>95</v>
      </c>
      <c r="Z29" s="337">
        <v>96</v>
      </c>
      <c r="AA29" s="337">
        <v>96</v>
      </c>
      <c r="AB29" s="338">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71</v>
      </c>
      <c r="D30" s="50">
        <f>'15-16 NGGT'!D30-'14-15 NGGT'!D30</f>
        <v>0</v>
      </c>
      <c r="E30" s="50">
        <f>'15-16 NGGT'!E30-'14-15 NGGT'!E30</f>
        <v>0</v>
      </c>
      <c r="F30" s="50">
        <f>'15-16 NGGT'!F30-'14-15 NGGT'!F30</f>
        <v>0</v>
      </c>
      <c r="G30" s="50">
        <f>'15-16 NGGT'!G30-'14-15 NGGT'!G30</f>
        <v>0</v>
      </c>
      <c r="H30" s="50">
        <f>'15-16 NGGT'!H30-'14-15 NGGT'!H30</f>
        <v>0</v>
      </c>
      <c r="I30" s="50">
        <f>'15-16 NGGT'!I30-'14-15 NGGT'!I30</f>
        <v>0</v>
      </c>
      <c r="J30" s="50">
        <f>'15-16 NGGT'!J30-'14-15 NGGT'!J30</f>
        <v>0</v>
      </c>
      <c r="K30" s="50">
        <f>'15-16 NGGT'!K30-'14-15 NGGT'!K30</f>
        <v>0</v>
      </c>
      <c r="L30" s="50">
        <f>'15-16 NGGT'!L30-'14-15 NGGT'!L30</f>
        <v>0</v>
      </c>
      <c r="S30" s="12" t="s">
        <v>390</v>
      </c>
      <c r="T30" s="336">
        <v>201</v>
      </c>
      <c r="U30" s="336">
        <v>187</v>
      </c>
      <c r="V30" s="336">
        <v>198</v>
      </c>
      <c r="W30" s="336">
        <v>229</v>
      </c>
      <c r="X30" s="336">
        <v>260</v>
      </c>
      <c r="Y30" s="336">
        <v>179</v>
      </c>
      <c r="Z30" s="336">
        <v>167</v>
      </c>
      <c r="AA30" s="336">
        <v>166</v>
      </c>
      <c r="AB30" s="339">
        <v>1588</v>
      </c>
      <c r="AD30" s="50">
        <f t="shared" si="0"/>
        <v>-201</v>
      </c>
      <c r="AE30" s="50">
        <f t="shared" si="0"/>
        <v>-187</v>
      </c>
      <c r="AF30" s="50">
        <f t="shared" si="0"/>
        <v>-198</v>
      </c>
      <c r="AG30" s="50">
        <f t="shared" si="0"/>
        <v>-229</v>
      </c>
      <c r="AH30" s="50">
        <f t="shared" si="0"/>
        <v>-260</v>
      </c>
      <c r="AI30" s="50">
        <f t="shared" si="0"/>
        <v>-179</v>
      </c>
      <c r="AJ30" s="50">
        <f t="shared" si="0"/>
        <v>-167</v>
      </c>
      <c r="AK30" s="50">
        <f t="shared" si="0"/>
        <v>-166</v>
      </c>
      <c r="AL30" s="50">
        <f t="shared" si="0"/>
        <v>-1588</v>
      </c>
    </row>
    <row r="31" spans="1:38" ht="12.75" customHeight="1">
      <c r="A31" t="s">
        <v>346</v>
      </c>
      <c r="C31" s="10" t="s">
        <v>74</v>
      </c>
      <c r="D31" s="42">
        <f>'15-16 NGGT'!D31-'14-15 NGGT'!D31</f>
        <v>-25.142597730683299</v>
      </c>
      <c r="E31" s="42">
        <f>'15-16 NGGT'!E31-'14-15 NGGT'!E31</f>
        <v>0</v>
      </c>
      <c r="F31" s="42">
        <f>'15-16 NGGT'!F31-'14-15 NGGT'!F31</f>
        <v>0</v>
      </c>
      <c r="G31" s="42">
        <f>'15-16 NGGT'!G31-'14-15 NGGT'!G31</f>
        <v>0</v>
      </c>
      <c r="H31" s="42">
        <f>'15-16 NGGT'!H31-'14-15 NGGT'!H31</f>
        <v>0</v>
      </c>
      <c r="I31" s="42">
        <f>'15-16 NGGT'!I31-'14-15 NGGT'!I31</f>
        <v>0</v>
      </c>
      <c r="J31" s="42">
        <f>'15-16 NGGT'!J31-'14-15 NGGT'!J31</f>
        <v>0</v>
      </c>
      <c r="K31" s="42">
        <f>'15-16 NGGT'!K31-'14-15 NGGT'!K31</f>
        <v>0</v>
      </c>
      <c r="L31" s="50">
        <f>'15-16 NGGT'!L31-'14-15 NGGT'!L31</f>
        <v>-25.14259773068332</v>
      </c>
      <c r="S31" s="10" t="s">
        <v>415</v>
      </c>
      <c r="T31" s="335">
        <v>112</v>
      </c>
      <c r="U31" s="335">
        <v>98</v>
      </c>
      <c r="V31" s="335">
        <v>107</v>
      </c>
      <c r="W31" s="335">
        <v>137</v>
      </c>
      <c r="X31" s="335">
        <v>166</v>
      </c>
      <c r="Y31" s="335">
        <v>85</v>
      </c>
      <c r="Z31" s="335">
        <v>72</v>
      </c>
      <c r="AA31" s="335">
        <v>71</v>
      </c>
      <c r="AB31" s="336">
        <v>846</v>
      </c>
      <c r="AD31" s="42">
        <f t="shared" si="0"/>
        <v>-137.14259773068329</v>
      </c>
      <c r="AE31" s="42">
        <f t="shared" si="0"/>
        <v>-98</v>
      </c>
      <c r="AF31" s="42">
        <f t="shared" si="0"/>
        <v>-107</v>
      </c>
      <c r="AG31" s="42">
        <f t="shared" si="0"/>
        <v>-137</v>
      </c>
      <c r="AH31" s="42">
        <f t="shared" si="0"/>
        <v>-166</v>
      </c>
      <c r="AI31" s="42">
        <f t="shared" si="0"/>
        <v>-85</v>
      </c>
      <c r="AJ31" s="42">
        <f t="shared" si="0"/>
        <v>-72</v>
      </c>
      <c r="AK31" s="42">
        <f t="shared" si="0"/>
        <v>-71</v>
      </c>
      <c r="AL31" s="42">
        <f t="shared" si="0"/>
        <v>-871.14259773068329</v>
      </c>
    </row>
    <row r="32" spans="1:38" ht="12.75" customHeight="1">
      <c r="C32" s="10" t="s">
        <v>75</v>
      </c>
      <c r="D32" s="42">
        <f>'15-16 NGGT'!D32-'14-15 NGGT'!D32</f>
        <v>17.557359392491833</v>
      </c>
      <c r="E32" s="42">
        <f>'15-16 NGGT'!E32-'14-15 NGGT'!E32</f>
        <v>0</v>
      </c>
      <c r="F32" s="42">
        <f>'15-16 NGGT'!F32-'14-15 NGGT'!F32</f>
        <v>0</v>
      </c>
      <c r="G32" s="42">
        <f>'15-16 NGGT'!G32-'14-15 NGGT'!G32</f>
        <v>0</v>
      </c>
      <c r="H32" s="42">
        <f>'15-16 NGGT'!H32-'14-15 NGGT'!H32</f>
        <v>0</v>
      </c>
      <c r="I32" s="42">
        <f>'15-16 NGGT'!I32-'14-15 NGGT'!I32</f>
        <v>0</v>
      </c>
      <c r="J32" s="42">
        <f>'15-16 NGGT'!J32-'14-15 NGGT'!J32</f>
        <v>0</v>
      </c>
      <c r="K32" s="42">
        <f>'15-16 NGGT'!K32-'14-15 NGGT'!K32</f>
        <v>0</v>
      </c>
      <c r="L32" s="50">
        <f>'15-16 NGGT'!L32-'14-15 NGGT'!L32</f>
        <v>17.557359392491776</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'15-16 NGGT'!D33-'14-15 NGGT'!D33</f>
        <v>-3.6512966797794633</v>
      </c>
      <c r="E33" s="43">
        <f>'15-16 NGGT'!E33-'14-15 NGGT'!E33</f>
        <v>0</v>
      </c>
      <c r="F33" s="43">
        <f>'15-16 NGGT'!F33-'14-15 NGGT'!F33</f>
        <v>0</v>
      </c>
      <c r="G33" s="43">
        <f>'15-16 NGGT'!G33-'14-15 NGGT'!G33</f>
        <v>0</v>
      </c>
      <c r="H33" s="43">
        <f>'15-16 NGGT'!H33-'14-15 NGGT'!H33</f>
        <v>0</v>
      </c>
      <c r="I33" s="43">
        <f>'15-16 NGGT'!I33-'14-15 NGGT'!I33</f>
        <v>0</v>
      </c>
      <c r="J33" s="43">
        <f>'15-16 NGGT'!J33-'14-15 NGGT'!J33</f>
        <v>0</v>
      </c>
      <c r="K33" s="43">
        <f>'15-16 NGGT'!K33-'14-15 NGGT'!K33</f>
        <v>0</v>
      </c>
      <c r="L33" s="45">
        <f>'15-16 NGGT'!L33-'14-15 NGGT'!L33</f>
        <v>-3.6512966797795343</v>
      </c>
      <c r="S33" s="11" t="s">
        <v>417</v>
      </c>
      <c r="T33" s="337">
        <v>90</v>
      </c>
      <c r="U33" s="337">
        <v>89</v>
      </c>
      <c r="V33" s="337">
        <v>92</v>
      </c>
      <c r="W33" s="337">
        <v>92</v>
      </c>
      <c r="X33" s="337">
        <v>94</v>
      </c>
      <c r="Y33" s="337">
        <v>95</v>
      </c>
      <c r="Z33" s="337">
        <v>96</v>
      </c>
      <c r="AA33" s="337">
        <v>96</v>
      </c>
      <c r="AB33" s="338">
        <v>743</v>
      </c>
      <c r="AD33" s="43">
        <f t="shared" ref="AD33:AL35" si="1">D33-T33</f>
        <v>-93.651296679779463</v>
      </c>
      <c r="AE33" s="43">
        <f t="shared" si="1"/>
        <v>-89</v>
      </c>
      <c r="AF33" s="43">
        <f t="shared" si="1"/>
        <v>-92</v>
      </c>
      <c r="AG33" s="43">
        <f t="shared" si="1"/>
        <v>-92</v>
      </c>
      <c r="AH33" s="43">
        <f t="shared" si="1"/>
        <v>-94</v>
      </c>
      <c r="AI33" s="43">
        <f t="shared" si="1"/>
        <v>-95</v>
      </c>
      <c r="AJ33" s="43">
        <f t="shared" si="1"/>
        <v>-96</v>
      </c>
      <c r="AK33" s="43">
        <f t="shared" si="1"/>
        <v>-96</v>
      </c>
      <c r="AL33" s="43">
        <f t="shared" si="1"/>
        <v>-746.65129667977953</v>
      </c>
    </row>
    <row r="34" spans="1:39" ht="12.75" customHeight="1">
      <c r="C34" s="12" t="s">
        <v>77</v>
      </c>
      <c r="D34" s="50">
        <f>'15-16 NGGT'!D34-'14-15 NGGT'!D34</f>
        <v>-11.236535017970937</v>
      </c>
      <c r="E34" s="50">
        <f>'15-16 NGGT'!E34-'14-15 NGGT'!E34</f>
        <v>0</v>
      </c>
      <c r="F34" s="50">
        <f>'15-16 NGGT'!F34-'14-15 NGGT'!F34</f>
        <v>0</v>
      </c>
      <c r="G34" s="50">
        <f>'15-16 NGGT'!G34-'14-15 NGGT'!G34</f>
        <v>0</v>
      </c>
      <c r="H34" s="50">
        <f>'15-16 NGGT'!H34-'14-15 NGGT'!H34</f>
        <v>0</v>
      </c>
      <c r="I34" s="50">
        <f>'15-16 NGGT'!I34-'14-15 NGGT'!I34</f>
        <v>0</v>
      </c>
      <c r="J34" s="50">
        <f>'15-16 NGGT'!J34-'14-15 NGGT'!J34</f>
        <v>0</v>
      </c>
      <c r="K34" s="50">
        <f>'15-16 NGGT'!K34-'14-15 NGGT'!K34</f>
        <v>0</v>
      </c>
      <c r="L34" s="50">
        <f>'15-16 NGGT'!L34-'14-15 NGGT'!L34</f>
        <v>-11.236535017971164</v>
      </c>
      <c r="S34" s="12" t="s">
        <v>390</v>
      </c>
      <c r="T34" s="336">
        <v>201</v>
      </c>
      <c r="U34" s="336">
        <v>187</v>
      </c>
      <c r="V34" s="336">
        <v>198</v>
      </c>
      <c r="W34" s="336">
        <v>229</v>
      </c>
      <c r="X34" s="336">
        <v>260</v>
      </c>
      <c r="Y34" s="336">
        <v>179</v>
      </c>
      <c r="Z34" s="336">
        <v>167</v>
      </c>
      <c r="AA34" s="336">
        <v>166</v>
      </c>
      <c r="AB34" s="339">
        <v>1588</v>
      </c>
      <c r="AD34" s="50">
        <f t="shared" si="1"/>
        <v>-212.23653501797094</v>
      </c>
      <c r="AE34" s="50">
        <f t="shared" si="1"/>
        <v>-187</v>
      </c>
      <c r="AF34" s="50">
        <f t="shared" si="1"/>
        <v>-198</v>
      </c>
      <c r="AG34" s="50">
        <f t="shared" si="1"/>
        <v>-229</v>
      </c>
      <c r="AH34" s="50">
        <f t="shared" si="1"/>
        <v>-260</v>
      </c>
      <c r="AI34" s="50">
        <f t="shared" si="1"/>
        <v>-179</v>
      </c>
      <c r="AJ34" s="50">
        <f t="shared" si="1"/>
        <v>-167</v>
      </c>
      <c r="AK34" s="50">
        <f t="shared" si="1"/>
        <v>-166</v>
      </c>
      <c r="AL34" s="50">
        <f t="shared" si="1"/>
        <v>-1599.2365350179712</v>
      </c>
    </row>
    <row r="35" spans="1:39" ht="12.75" customHeight="1">
      <c r="A35" t="s">
        <v>233</v>
      </c>
      <c r="C35" s="10" t="s">
        <v>418</v>
      </c>
      <c r="D35" s="42">
        <f>'15-16 NGGT'!D35-'14-15 NGGT'!D35</f>
        <v>-13.989341377352188</v>
      </c>
      <c r="E35" s="42">
        <f>'15-16 NGGT'!E35-'14-15 NGGT'!E35</f>
        <v>0</v>
      </c>
      <c r="F35" s="42">
        <f>'15-16 NGGT'!F35-'14-15 NGGT'!F35</f>
        <v>0</v>
      </c>
      <c r="G35" s="42">
        <f>'15-16 NGGT'!G35-'14-15 NGGT'!G35</f>
        <v>0</v>
      </c>
      <c r="H35" s="42">
        <f>'15-16 NGGT'!H35-'14-15 NGGT'!H35</f>
        <v>0</v>
      </c>
      <c r="I35" s="42">
        <f>'15-16 NGGT'!I35-'14-15 NGGT'!I35</f>
        <v>0</v>
      </c>
      <c r="J35" s="42">
        <f>'15-16 NGGT'!J35-'14-15 NGGT'!J35</f>
        <v>0</v>
      </c>
      <c r="K35" s="42">
        <f>'15-16 NGGT'!K35-'14-15 NGGT'!K35</f>
        <v>0</v>
      </c>
      <c r="L35" s="50">
        <f>'15-16 NGGT'!L35-'14-15 NGGT'!L35</f>
        <v>-13.98934137735219</v>
      </c>
      <c r="S35" s="10" t="s">
        <v>415</v>
      </c>
      <c r="T35" s="335">
        <v>112</v>
      </c>
      <c r="U35" s="335">
        <v>98</v>
      </c>
      <c r="V35" s="335">
        <v>107</v>
      </c>
      <c r="W35" s="335">
        <v>137</v>
      </c>
      <c r="X35" s="335">
        <v>166</v>
      </c>
      <c r="Y35" s="335">
        <v>85</v>
      </c>
      <c r="Z35" s="335">
        <v>72</v>
      </c>
      <c r="AA35" s="335">
        <v>71</v>
      </c>
      <c r="AB35" s="336">
        <v>846</v>
      </c>
      <c r="AD35" s="42">
        <f t="shared" si="1"/>
        <v>-125.98934137735219</v>
      </c>
      <c r="AE35" s="42">
        <f t="shared" si="1"/>
        <v>-98</v>
      </c>
      <c r="AF35" s="42">
        <f t="shared" si="1"/>
        <v>-107</v>
      </c>
      <c r="AG35" s="42">
        <f t="shared" si="1"/>
        <v>-137</v>
      </c>
      <c r="AH35" s="42">
        <f t="shared" si="1"/>
        <v>-166</v>
      </c>
      <c r="AI35" s="42">
        <f t="shared" si="1"/>
        <v>-85</v>
      </c>
      <c r="AJ35" s="42">
        <f t="shared" si="1"/>
        <v>-72</v>
      </c>
      <c r="AK35" s="42">
        <f t="shared" si="1"/>
        <v>-71</v>
      </c>
      <c r="AL35" s="42">
        <f t="shared" si="1"/>
        <v>-859.98934137735216</v>
      </c>
    </row>
    <row r="36" spans="1:39" ht="12.75" customHeight="1">
      <c r="C36" s="10" t="s">
        <v>419</v>
      </c>
      <c r="D36" s="42">
        <f>'15-16 NGGT'!D36-'14-15 NGGT'!D36</f>
        <v>9.7689147659824584</v>
      </c>
      <c r="E36" s="42">
        <f>'15-16 NGGT'!E36-'14-15 NGGT'!E36</f>
        <v>0</v>
      </c>
      <c r="F36" s="42">
        <f>'15-16 NGGT'!F36-'14-15 NGGT'!F36</f>
        <v>0</v>
      </c>
      <c r="G36" s="42">
        <f>'15-16 NGGT'!G36-'14-15 NGGT'!G36</f>
        <v>0</v>
      </c>
      <c r="H36" s="42">
        <f>'15-16 NGGT'!H36-'14-15 NGGT'!H36</f>
        <v>0</v>
      </c>
      <c r="I36" s="42">
        <f>'15-16 NGGT'!I36-'14-15 NGGT'!I36</f>
        <v>0</v>
      </c>
      <c r="J36" s="42">
        <f>'15-16 NGGT'!J36-'14-15 NGGT'!J36</f>
        <v>0</v>
      </c>
      <c r="K36" s="42">
        <f>'15-16 NGGT'!K36-'14-15 NGGT'!K36</f>
        <v>0</v>
      </c>
      <c r="L36" s="50">
        <f>'15-16 NGGT'!L36-'14-15 NGGT'!L36</f>
        <v>9.7689147659824584</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'15-16 NGGT'!D37-'14-15 NGGT'!D37</f>
        <v>-2.0315814726292913</v>
      </c>
      <c r="E37" s="43">
        <f>'15-16 NGGT'!E37-'14-15 NGGT'!E37</f>
        <v>0</v>
      </c>
      <c r="F37" s="43">
        <f>'15-16 NGGT'!F37-'14-15 NGGT'!F37</f>
        <v>0</v>
      </c>
      <c r="G37" s="43">
        <f>'15-16 NGGT'!G37-'14-15 NGGT'!G37</f>
        <v>0</v>
      </c>
      <c r="H37" s="43">
        <f>'15-16 NGGT'!H37-'14-15 NGGT'!H37</f>
        <v>0</v>
      </c>
      <c r="I37" s="43">
        <f>'15-16 NGGT'!I37-'14-15 NGGT'!I37</f>
        <v>0</v>
      </c>
      <c r="J37" s="43">
        <f>'15-16 NGGT'!J37-'14-15 NGGT'!J37</f>
        <v>0</v>
      </c>
      <c r="K37" s="43">
        <f>'15-16 NGGT'!K37-'14-15 NGGT'!K37</f>
        <v>0</v>
      </c>
      <c r="L37" s="45">
        <f>'15-16 NGGT'!L37-'14-15 NGGT'!L37</f>
        <v>-2.0315814726293411</v>
      </c>
      <c r="S37" s="11" t="s">
        <v>417</v>
      </c>
      <c r="T37" s="337">
        <v>90</v>
      </c>
      <c r="U37" s="337">
        <v>89</v>
      </c>
      <c r="V37" s="337">
        <v>92</v>
      </c>
      <c r="W37" s="337">
        <v>92</v>
      </c>
      <c r="X37" s="337">
        <v>94</v>
      </c>
      <c r="Y37" s="337">
        <v>95</v>
      </c>
      <c r="Z37" s="337">
        <v>96</v>
      </c>
      <c r="AA37" s="337">
        <v>96</v>
      </c>
      <c r="AB37" s="338">
        <v>743</v>
      </c>
      <c r="AD37" s="43">
        <f t="shared" ref="AD37:AL38" si="2">D37-T37</f>
        <v>-92.031581472629284</v>
      </c>
      <c r="AE37" s="43">
        <f t="shared" si="2"/>
        <v>-89</v>
      </c>
      <c r="AF37" s="43">
        <f t="shared" si="2"/>
        <v>-92</v>
      </c>
      <c r="AG37" s="43">
        <f t="shared" si="2"/>
        <v>-92</v>
      </c>
      <c r="AH37" s="43">
        <f t="shared" si="2"/>
        <v>-94</v>
      </c>
      <c r="AI37" s="43">
        <f t="shared" si="2"/>
        <v>-95</v>
      </c>
      <c r="AJ37" s="43">
        <f t="shared" si="2"/>
        <v>-96</v>
      </c>
      <c r="AK37" s="43">
        <f t="shared" si="2"/>
        <v>-96</v>
      </c>
      <c r="AL37" s="43">
        <f t="shared" si="2"/>
        <v>-745.03158147262934</v>
      </c>
    </row>
    <row r="38" spans="1:39" ht="12.75" customHeight="1">
      <c r="C38" s="12" t="s">
        <v>78</v>
      </c>
      <c r="D38" s="50">
        <f>'15-16 NGGT'!D38-'14-15 NGGT'!D38</f>
        <v>-6.2520080839990158</v>
      </c>
      <c r="E38" s="50">
        <f>'15-16 NGGT'!E38-'14-15 NGGT'!E38</f>
        <v>0</v>
      </c>
      <c r="F38" s="50">
        <f>'15-16 NGGT'!F38-'14-15 NGGT'!F38</f>
        <v>0</v>
      </c>
      <c r="G38" s="50">
        <f>'15-16 NGGT'!G38-'14-15 NGGT'!G38</f>
        <v>0</v>
      </c>
      <c r="H38" s="50">
        <f>'15-16 NGGT'!H38-'14-15 NGGT'!H38</f>
        <v>0</v>
      </c>
      <c r="I38" s="50">
        <f>'15-16 NGGT'!I38-'14-15 NGGT'!I38</f>
        <v>0</v>
      </c>
      <c r="J38" s="50">
        <f>'15-16 NGGT'!J38-'14-15 NGGT'!J38</f>
        <v>0</v>
      </c>
      <c r="K38" s="50">
        <f>'15-16 NGGT'!K38-'14-15 NGGT'!K38</f>
        <v>0</v>
      </c>
      <c r="L38" s="50">
        <f>'15-16 NGGT'!L38-'14-15 NGGT'!L38</f>
        <v>-6.2520080839990442</v>
      </c>
      <c r="S38" s="12" t="s">
        <v>390</v>
      </c>
      <c r="T38" s="336">
        <v>201</v>
      </c>
      <c r="U38" s="336">
        <v>187</v>
      </c>
      <c r="V38" s="336">
        <v>198</v>
      </c>
      <c r="W38" s="336">
        <v>229</v>
      </c>
      <c r="X38" s="336">
        <v>260</v>
      </c>
      <c r="Y38" s="336">
        <v>179</v>
      </c>
      <c r="Z38" s="336">
        <v>167</v>
      </c>
      <c r="AA38" s="336">
        <v>166</v>
      </c>
      <c r="AB38" s="339">
        <v>1588</v>
      </c>
      <c r="AD38" s="50">
        <f t="shared" si="2"/>
        <v>-207.25200808399902</v>
      </c>
      <c r="AE38" s="50">
        <f t="shared" si="2"/>
        <v>-187</v>
      </c>
      <c r="AF38" s="50">
        <f t="shared" si="2"/>
        <v>-198</v>
      </c>
      <c r="AG38" s="50">
        <f t="shared" si="2"/>
        <v>-229</v>
      </c>
      <c r="AH38" s="50">
        <f t="shared" si="2"/>
        <v>-260</v>
      </c>
      <c r="AI38" s="50">
        <f t="shared" si="2"/>
        <v>-179</v>
      </c>
      <c r="AJ38" s="50">
        <f t="shared" si="2"/>
        <v>-167</v>
      </c>
      <c r="AK38" s="50">
        <f t="shared" si="2"/>
        <v>-166</v>
      </c>
      <c r="AL38" s="50">
        <f t="shared" si="2"/>
        <v>-1594.252008083999</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'15-16 NGGT'!D40-'14-15 NGGT'!D40</f>
        <v>-9.3042436178880905</v>
      </c>
      <c r="E40" s="43">
        <f>'15-16 NGGT'!E40-'14-15 NGGT'!E40</f>
        <v>0</v>
      </c>
      <c r="F40" s="43">
        <f>'15-16 NGGT'!F40-'14-15 NGGT'!F40</f>
        <v>0</v>
      </c>
      <c r="G40" s="43">
        <f>'15-16 NGGT'!G40-'14-15 NGGT'!G40</f>
        <v>0</v>
      </c>
      <c r="H40" s="43">
        <f>'15-16 NGGT'!H40-'14-15 NGGT'!H40</f>
        <v>0</v>
      </c>
      <c r="I40" s="43">
        <f>'15-16 NGGT'!I40-'14-15 NGGT'!I40</f>
        <v>0</v>
      </c>
      <c r="J40" s="43">
        <f>'15-16 NGGT'!J40-'14-15 NGGT'!J40</f>
        <v>0</v>
      </c>
      <c r="K40" s="43">
        <f>'15-16 NGGT'!K40-'14-15 NGGT'!K40</f>
        <v>0</v>
      </c>
      <c r="L40" s="45">
        <f>'15-16 NGGT'!L40-'14-15 NGGT'!L40</f>
        <v>-9.3042436178880052</v>
      </c>
      <c r="S40" s="11" t="s">
        <v>79</v>
      </c>
      <c r="T40" s="337">
        <v>95</v>
      </c>
      <c r="U40" s="337">
        <v>88</v>
      </c>
      <c r="V40" s="337">
        <v>93</v>
      </c>
      <c r="W40" s="337">
        <v>108</v>
      </c>
      <c r="X40" s="337">
        <v>122</v>
      </c>
      <c r="Y40" s="337">
        <v>84</v>
      </c>
      <c r="Z40" s="337">
        <v>79</v>
      </c>
      <c r="AA40" s="337">
        <v>78</v>
      </c>
      <c r="AB40" s="338">
        <v>747</v>
      </c>
      <c r="AD40" s="43">
        <f t="shared" si="0"/>
        <v>-104.30424361788809</v>
      </c>
      <c r="AE40" s="43">
        <f t="shared" si="0"/>
        <v>-88</v>
      </c>
      <c r="AF40" s="43">
        <f t="shared" si="0"/>
        <v>-93</v>
      </c>
      <c r="AG40" s="43">
        <f t="shared" si="0"/>
        <v>-108</v>
      </c>
      <c r="AH40" s="43">
        <f t="shared" si="0"/>
        <v>-122</v>
      </c>
      <c r="AI40" s="43">
        <f t="shared" si="0"/>
        <v>-84</v>
      </c>
      <c r="AJ40" s="43">
        <f t="shared" si="0"/>
        <v>-79</v>
      </c>
      <c r="AK40" s="43">
        <f t="shared" si="0"/>
        <v>-78</v>
      </c>
      <c r="AL40" s="43">
        <f t="shared" si="0"/>
        <v>-756.30424361788801</v>
      </c>
    </row>
    <row r="41" spans="1:39" ht="12.75" customHeight="1">
      <c r="C41" s="10" t="s">
        <v>80</v>
      </c>
      <c r="D41" s="42">
        <f>'15-16 NGGT'!D41-'14-15 NGGT'!D41</f>
        <v>-16.83127216269645</v>
      </c>
      <c r="E41" s="42">
        <f>'15-16 NGGT'!E41-'14-15 NGGT'!E41</f>
        <v>0</v>
      </c>
      <c r="F41" s="42">
        <f>'15-16 NGGT'!F41-'14-15 NGGT'!F41</f>
        <v>0</v>
      </c>
      <c r="G41" s="42">
        <f>'15-16 NGGT'!G41-'14-15 NGGT'!G41</f>
        <v>0</v>
      </c>
      <c r="H41" s="42">
        <f>'15-16 NGGT'!H41-'14-15 NGGT'!H41</f>
        <v>0</v>
      </c>
      <c r="I41" s="42">
        <f>'15-16 NGGT'!I41-'14-15 NGGT'!I41</f>
        <v>0</v>
      </c>
      <c r="J41" s="42">
        <f>'15-16 NGGT'!J41-'14-15 NGGT'!J41</f>
        <v>0</v>
      </c>
      <c r="K41" s="42">
        <f>'15-16 NGGT'!K41-'14-15 NGGT'!K41</f>
        <v>0</v>
      </c>
      <c r="L41" s="50">
        <f>'15-16 NGGT'!L41-'14-15 NGGT'!L41</f>
        <v>-16.83127216269645</v>
      </c>
      <c r="S41" s="10" t="s">
        <v>80</v>
      </c>
      <c r="T41" s="335">
        <v>107</v>
      </c>
      <c r="U41" s="335">
        <v>99</v>
      </c>
      <c r="V41" s="335">
        <v>105</v>
      </c>
      <c r="W41" s="335">
        <v>121</v>
      </c>
      <c r="X41" s="335">
        <v>138</v>
      </c>
      <c r="Y41" s="335">
        <v>95</v>
      </c>
      <c r="Z41" s="335">
        <v>89</v>
      </c>
      <c r="AA41" s="335">
        <v>88</v>
      </c>
      <c r="AB41" s="336">
        <v>842</v>
      </c>
      <c r="AD41" s="42">
        <f t="shared" si="0"/>
        <v>-123.83127216269645</v>
      </c>
      <c r="AE41" s="42">
        <f t="shared" si="0"/>
        <v>-99</v>
      </c>
      <c r="AF41" s="42">
        <f t="shared" si="0"/>
        <v>-105</v>
      </c>
      <c r="AG41" s="42">
        <f t="shared" si="0"/>
        <v>-121</v>
      </c>
      <c r="AH41" s="42">
        <f t="shared" si="0"/>
        <v>-138</v>
      </c>
      <c r="AI41" s="42">
        <f t="shared" si="0"/>
        <v>-95</v>
      </c>
      <c r="AJ41" s="42">
        <f t="shared" si="0"/>
        <v>-89</v>
      </c>
      <c r="AK41" s="42">
        <f t="shared" si="0"/>
        <v>-88</v>
      </c>
      <c r="AL41" s="42">
        <f t="shared" si="0"/>
        <v>-858.83127216269645</v>
      </c>
    </row>
    <row r="42" spans="1:39" ht="12.75" customHeight="1">
      <c r="C42" s="39" t="s">
        <v>420</v>
      </c>
      <c r="D42" s="45">
        <f>'15-16 NGGT'!D42-'14-15 NGGT'!D42</f>
        <v>-26.135515780584541</v>
      </c>
      <c r="E42" s="45">
        <f>'15-16 NGGT'!E42-'14-15 NGGT'!E42</f>
        <v>0</v>
      </c>
      <c r="F42" s="45">
        <f>'15-16 NGGT'!F42-'14-15 NGGT'!F42</f>
        <v>0</v>
      </c>
      <c r="G42" s="45">
        <f>'15-16 NGGT'!G42-'14-15 NGGT'!G42</f>
        <v>0</v>
      </c>
      <c r="H42" s="45">
        <f>'15-16 NGGT'!H42-'14-15 NGGT'!H42</f>
        <v>0</v>
      </c>
      <c r="I42" s="45">
        <f>'15-16 NGGT'!I42-'14-15 NGGT'!I42</f>
        <v>0</v>
      </c>
      <c r="J42" s="45">
        <f>'15-16 NGGT'!J42-'14-15 NGGT'!J42</f>
        <v>0</v>
      </c>
      <c r="K42" s="45">
        <f>'15-16 NGGT'!K42-'14-15 NGGT'!K42</f>
        <v>0</v>
      </c>
      <c r="L42" s="45">
        <f>'15-16 NGGT'!L42-'14-15 NGGT'!L42</f>
        <v>-26.135515780584683</v>
      </c>
      <c r="S42" s="39" t="s">
        <v>421</v>
      </c>
      <c r="T42" s="338">
        <v>201</v>
      </c>
      <c r="U42" s="338">
        <v>187</v>
      </c>
      <c r="V42" s="338">
        <v>198</v>
      </c>
      <c r="W42" s="338">
        <v>229</v>
      </c>
      <c r="X42" s="338">
        <v>260</v>
      </c>
      <c r="Y42" s="338">
        <v>179</v>
      </c>
      <c r="Z42" s="338">
        <v>167</v>
      </c>
      <c r="AA42" s="338">
        <v>166</v>
      </c>
      <c r="AB42" s="340">
        <v>1588</v>
      </c>
      <c r="AD42" s="45">
        <f t="shared" si="0"/>
        <v>-227.13551578058454</v>
      </c>
      <c r="AE42" s="45">
        <f t="shared" si="0"/>
        <v>-187</v>
      </c>
      <c r="AF42" s="45">
        <f t="shared" si="0"/>
        <v>-198</v>
      </c>
      <c r="AG42" s="45">
        <f t="shared" si="0"/>
        <v>-229</v>
      </c>
      <c r="AH42" s="45">
        <f t="shared" si="0"/>
        <v>-260</v>
      </c>
      <c r="AI42" s="45">
        <f t="shared" si="0"/>
        <v>-179</v>
      </c>
      <c r="AJ42" s="45">
        <f t="shared" si="0"/>
        <v>-167</v>
      </c>
      <c r="AK42" s="45">
        <f t="shared" si="0"/>
        <v>-166</v>
      </c>
      <c r="AL42" s="45">
        <f t="shared" si="0"/>
        <v>-1614.1355157805847</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'15-16 NGGT'!D44-'14-15 NGGT'!D44</f>
        <v>1.9883507696585525</v>
      </c>
      <c r="E44" s="43">
        <f>'15-16 NGGT'!E44-'14-15 NGGT'!E44</f>
        <v>0</v>
      </c>
      <c r="F44" s="43">
        <f>'15-16 NGGT'!F44-'14-15 NGGT'!F44</f>
        <v>0</v>
      </c>
      <c r="G44" s="43">
        <f>'15-16 NGGT'!G44-'14-15 NGGT'!G44</f>
        <v>0</v>
      </c>
      <c r="H44" s="43">
        <f>'15-16 NGGT'!H44-'14-15 NGGT'!H44</f>
        <v>0</v>
      </c>
      <c r="I44" s="43">
        <f>'15-16 NGGT'!I44-'14-15 NGGT'!I44</f>
        <v>0</v>
      </c>
      <c r="J44" s="43">
        <f>'15-16 NGGT'!J44-'14-15 NGGT'!J44</f>
        <v>0</v>
      </c>
      <c r="K44" s="43">
        <f>'15-16 NGGT'!K44-'14-15 NGGT'!K44</f>
        <v>0</v>
      </c>
      <c r="L44" s="45">
        <f>'15-16 NGGT'!L44-'14-15 NGGT'!L44</f>
        <v>1.9883507696585525</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'15-16 NGGT'!D45-'14-15 NGGT'!D45</f>
        <v>17.895156926926962</v>
      </c>
      <c r="E45" s="42">
        <f>'15-16 NGGT'!E45-'14-15 NGGT'!E45</f>
        <v>0</v>
      </c>
      <c r="F45" s="42">
        <f>'15-16 NGGT'!F45-'14-15 NGGT'!F45</f>
        <v>0</v>
      </c>
      <c r="G45" s="42">
        <f>'15-16 NGGT'!G45-'14-15 NGGT'!G45</f>
        <v>0</v>
      </c>
      <c r="H45" s="42">
        <f>'15-16 NGGT'!H45-'14-15 NGGT'!H45</f>
        <v>0</v>
      </c>
      <c r="I45" s="42">
        <f>'15-16 NGGT'!I45-'14-15 NGGT'!I45</f>
        <v>0</v>
      </c>
      <c r="J45" s="42">
        <f>'15-16 NGGT'!J45-'14-15 NGGT'!J45</f>
        <v>0</v>
      </c>
      <c r="K45" s="42">
        <f>'15-16 NGGT'!K45-'14-15 NGGT'!K45</f>
        <v>0</v>
      </c>
      <c r="L45" s="50">
        <f>'15-16 NGGT'!L45-'14-15 NGGT'!L45</f>
        <v>17.895156926926962</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'15-16 NGGT'!D46-'14-15 NGGT'!D46</f>
        <v>19.883507696585514</v>
      </c>
      <c r="E46" s="45">
        <f>'15-16 NGGT'!E46-'14-15 NGGT'!E46</f>
        <v>0</v>
      </c>
      <c r="F46" s="45">
        <f>'15-16 NGGT'!F46-'14-15 NGGT'!F46</f>
        <v>0</v>
      </c>
      <c r="G46" s="45">
        <f>'15-16 NGGT'!G46-'14-15 NGGT'!G46</f>
        <v>0</v>
      </c>
      <c r="H46" s="45">
        <f>'15-16 NGGT'!H46-'14-15 NGGT'!H46</f>
        <v>0</v>
      </c>
      <c r="I46" s="45">
        <f>'15-16 NGGT'!I46-'14-15 NGGT'!I46</f>
        <v>0</v>
      </c>
      <c r="J46" s="45">
        <f>'15-16 NGGT'!J46-'14-15 NGGT'!J46</f>
        <v>0</v>
      </c>
      <c r="K46" s="45">
        <f>'15-16 NGGT'!K46-'14-15 NGGT'!K46</f>
        <v>0</v>
      </c>
      <c r="L46" s="45">
        <f>'15-16 NGGT'!L46-'14-15 NGGT'!L46</f>
        <v>19.883507696585514</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'15-16 NGGT'!D48-'14-15 NGGT'!D48</f>
        <v>1.063884764230508</v>
      </c>
      <c r="E48" s="44">
        <f>'15-16 NGGT'!E48-'14-15 NGGT'!E48</f>
        <v>0</v>
      </c>
      <c r="F48" s="44">
        <f>'15-16 NGGT'!F48-'14-15 NGGT'!F48</f>
        <v>0</v>
      </c>
      <c r="G48" s="44">
        <f>'15-16 NGGT'!G48-'14-15 NGGT'!G48</f>
        <v>0</v>
      </c>
      <c r="H48" s="44">
        <f>'15-16 NGGT'!H48-'14-15 NGGT'!H48</f>
        <v>0</v>
      </c>
      <c r="I48" s="44">
        <f>'15-16 NGGT'!I48-'14-15 NGGT'!I48</f>
        <v>0</v>
      </c>
      <c r="J48" s="44">
        <f>'15-16 NGGT'!J48-'14-15 NGGT'!J48</f>
        <v>0</v>
      </c>
      <c r="K48" s="44">
        <f>'15-16 NGGT'!K48-'14-15 NGGT'!K48</f>
        <v>0</v>
      </c>
      <c r="L48" s="44">
        <f>'15-16 NGGT'!L48-'14-15 NGGT'!L48</f>
        <v>1.0638847642305791</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-154.93611523576948</v>
      </c>
      <c r="AE48" s="44">
        <f t="shared" si="0"/>
        <v>-193</v>
      </c>
      <c r="AF48" s="44">
        <f t="shared" si="0"/>
        <v>-300</v>
      </c>
      <c r="AG48" s="44">
        <f t="shared" si="0"/>
        <v>-405</v>
      </c>
      <c r="AH48" s="44">
        <f t="shared" si="0"/>
        <v>-527</v>
      </c>
      <c r="AI48" s="44">
        <f t="shared" si="0"/>
        <v>-468</v>
      </c>
      <c r="AJ48" s="44">
        <f t="shared" si="0"/>
        <v>-514</v>
      </c>
      <c r="AK48" s="44">
        <f t="shared" si="0"/>
        <v>-552</v>
      </c>
      <c r="AL48" s="44">
        <f t="shared" si="0"/>
        <v>-3112.9361152357696</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'15-16 NGGT'!D52-'14-15 NGGT'!D52</f>
        <v>0</v>
      </c>
      <c r="E52" s="41">
        <f>'15-16 NGGT'!E52-'14-15 NGGT'!E52</f>
        <v>1.0638847642303517</v>
      </c>
      <c r="F52" s="41">
        <f>'15-16 NGGT'!F52-'14-15 NGGT'!F52</f>
        <v>1.0402428805809905</v>
      </c>
      <c r="G52" s="41">
        <f>'15-16 NGGT'!G52-'14-15 NGGT'!G52</f>
        <v>1.0166009969316292</v>
      </c>
      <c r="H52" s="41">
        <f>'15-16 NGGT'!H52-'14-15 NGGT'!H52</f>
        <v>0.99295911328317743</v>
      </c>
      <c r="I52" s="41">
        <f>'15-16 NGGT'!I52-'14-15 NGGT'!I52</f>
        <v>0.96931722963381617</v>
      </c>
      <c r="J52" s="41">
        <f>'15-16 NGGT'!J52-'14-15 NGGT'!J52</f>
        <v>0.94567534598445491</v>
      </c>
      <c r="K52" s="41">
        <f>'15-16 NGGT'!K52-'14-15 NGGT'!K52</f>
        <v>0.92203346233418415</v>
      </c>
    </row>
    <row r="53" spans="1:14" ht="13.8" thickBot="1">
      <c r="C53" s="10" t="s">
        <v>86</v>
      </c>
      <c r="D53" s="42">
        <f>'15-16 NGGT'!D53-'14-15 NGGT'!D53</f>
        <v>1.0638847642304938</v>
      </c>
      <c r="E53" s="42">
        <f>'15-16 NGGT'!E53-'14-15 NGGT'!E53</f>
        <v>0</v>
      </c>
      <c r="F53" s="42">
        <f>'15-16 NGGT'!F53-'14-15 NGGT'!F53</f>
        <v>0</v>
      </c>
      <c r="G53" s="42">
        <f>'15-16 NGGT'!G53-'14-15 NGGT'!G53</f>
        <v>0</v>
      </c>
      <c r="H53" s="42">
        <f>'15-16 NGGT'!H53-'14-15 NGGT'!H53</f>
        <v>0</v>
      </c>
      <c r="I53" s="42">
        <f>'15-16 NGGT'!I53-'14-15 NGGT'!I53</f>
        <v>0</v>
      </c>
      <c r="J53" s="42">
        <f>'15-16 NGGT'!J53-'14-15 NGGT'!J53</f>
        <v>0</v>
      </c>
      <c r="K53" s="42">
        <f>'15-16 NGGT'!K53-'14-15 NGGT'!K53</f>
        <v>0</v>
      </c>
    </row>
    <row r="54" spans="1:14">
      <c r="C54" s="11" t="s">
        <v>92</v>
      </c>
      <c r="D54" s="41">
        <f>'15-16 NGGT'!D54-'14-15 NGGT'!D54</f>
        <v>0</v>
      </c>
      <c r="E54" s="41">
        <f>'15-16 NGGT'!E54-'14-15 NGGT'!E54</f>
        <v>0</v>
      </c>
      <c r="F54" s="41">
        <f>'15-16 NGGT'!F54-'14-15 NGGT'!F54</f>
        <v>0</v>
      </c>
      <c r="G54" s="41">
        <f>'15-16 NGGT'!G54-'14-15 NGGT'!G54</f>
        <v>0</v>
      </c>
      <c r="H54" s="41">
        <f>'15-16 NGGT'!H54-'14-15 NGGT'!H54</f>
        <v>0</v>
      </c>
      <c r="I54" s="41">
        <f>'15-16 NGGT'!I54-'14-15 NGGT'!I54</f>
        <v>0</v>
      </c>
      <c r="J54" s="41">
        <f>'15-16 NGGT'!J54-'14-15 NGGT'!J54</f>
        <v>0</v>
      </c>
      <c r="K54" s="41">
        <f>'15-16 NGGT'!K54-'14-15 NGGT'!K54</f>
        <v>0</v>
      </c>
    </row>
    <row r="55" spans="1:14">
      <c r="C55" s="10" t="s">
        <v>93</v>
      </c>
      <c r="D55" s="42">
        <f>'15-16 NGGT'!D55-'14-15 NGGT'!D55</f>
        <v>0</v>
      </c>
      <c r="E55" s="42">
        <f>'15-16 NGGT'!E55-'14-15 NGGT'!E55</f>
        <v>-2.3641883649566431E-2</v>
      </c>
      <c r="F55" s="42">
        <f>'15-16 NGGT'!F55-'14-15 NGGT'!F55</f>
        <v>-2.3641883649566431E-2</v>
      </c>
      <c r="G55" s="42">
        <f>'15-16 NGGT'!G55-'14-15 NGGT'!G55</f>
        <v>-2.3641883649565543E-2</v>
      </c>
      <c r="H55" s="42">
        <f>'15-16 NGGT'!H55-'14-15 NGGT'!H55</f>
        <v>-2.3641883649565543E-2</v>
      </c>
      <c r="I55" s="42">
        <f>'15-16 NGGT'!I55-'14-15 NGGT'!I55</f>
        <v>-2.3641883649563766E-2</v>
      </c>
      <c r="J55" s="42">
        <f>'15-16 NGGT'!J55-'14-15 NGGT'!J55</f>
        <v>-2.3641883649563766E-2</v>
      </c>
      <c r="K55" s="42">
        <f>'15-16 NGGT'!K55-'14-15 NGGT'!K55</f>
        <v>-2.3641883649563766E-2</v>
      </c>
      <c r="N55" s="208"/>
    </row>
    <row r="56" spans="1:14" ht="13.8" thickBot="1">
      <c r="C56" s="23" t="s">
        <v>94</v>
      </c>
      <c r="D56" s="44">
        <f>'15-16 NGGT'!D56-'14-15 NGGT'!D56</f>
        <v>1.0638847642303517</v>
      </c>
      <c r="E56" s="44">
        <f>'15-16 NGGT'!E56-'14-15 NGGT'!E56</f>
        <v>1.0402428805809905</v>
      </c>
      <c r="F56" s="44">
        <f>'15-16 NGGT'!F56-'14-15 NGGT'!F56</f>
        <v>1.0166009969316292</v>
      </c>
      <c r="G56" s="44">
        <f>'15-16 NGGT'!G56-'14-15 NGGT'!G56</f>
        <v>0.99295911328317743</v>
      </c>
      <c r="H56" s="44">
        <f>'15-16 NGGT'!H56-'14-15 NGGT'!H56</f>
        <v>0.96931722963381617</v>
      </c>
      <c r="I56" s="44">
        <f>'15-16 NGGT'!I56-'14-15 NGGT'!I56</f>
        <v>0.94567534598445491</v>
      </c>
      <c r="J56" s="44">
        <f>'15-16 NGGT'!J56-'14-15 NGGT'!J56</f>
        <v>0.92203346233418415</v>
      </c>
      <c r="K56" s="44">
        <f>'15-16 NGGT'!K56-'14-15 NGGT'!K56</f>
        <v>0.89839157868482289</v>
      </c>
      <c r="N56" s="209"/>
    </row>
    <row r="58" spans="1:14">
      <c r="D58" s="53"/>
      <c r="E58" s="53"/>
      <c r="F58" s="53"/>
      <c r="G58" s="53"/>
      <c r="H58" s="53"/>
      <c r="I58" s="53"/>
      <c r="J58" s="53"/>
      <c r="K58" s="53"/>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'15-16 NGGT'!D61-'14-15 NGGT'!D61</f>
        <v>0</v>
      </c>
      <c r="E61" s="41">
        <f>'15-16 NGGT'!E61-'14-15 NGGT'!E61</f>
        <v>1.0638847642303517</v>
      </c>
      <c r="F61" s="41">
        <f>'15-16 NGGT'!F61-'14-15 NGGT'!F61</f>
        <v>1.0402428805809905</v>
      </c>
      <c r="G61" s="41">
        <f>'15-16 NGGT'!G61-'14-15 NGGT'!G61</f>
        <v>1.0166009969316292</v>
      </c>
      <c r="H61" s="41">
        <f>'15-16 NGGT'!H61-'14-15 NGGT'!H61</f>
        <v>0.99295911328226794</v>
      </c>
      <c r="I61" s="41">
        <f>'15-16 NGGT'!I61-'14-15 NGGT'!I61</f>
        <v>0.96931722963199718</v>
      </c>
      <c r="J61" s="41">
        <f>'15-16 NGGT'!J61-'14-15 NGGT'!J61</f>
        <v>0.94567534598263592</v>
      </c>
      <c r="K61" s="41">
        <f>'15-16 NGGT'!K61-'14-15 NGGT'!K61</f>
        <v>0.92203346233327466</v>
      </c>
    </row>
    <row r="62" spans="1:14">
      <c r="C62" s="10" t="s">
        <v>85</v>
      </c>
      <c r="D62" s="42">
        <f>'15-16 NGGT'!D62-'14-15 NGGT'!D62</f>
        <v>0</v>
      </c>
      <c r="E62" s="42">
        <f>'15-16 NGGT'!E62-'14-15 NGGT'!E62</f>
        <v>0</v>
      </c>
      <c r="F62" s="42">
        <f>'15-16 NGGT'!F62-'14-15 NGGT'!F62</f>
        <v>0</v>
      </c>
      <c r="G62" s="42">
        <f>'15-16 NGGT'!G62-'14-15 NGGT'!G62</f>
        <v>0</v>
      </c>
      <c r="H62" s="42">
        <f>'15-16 NGGT'!H62-'14-15 NGGT'!H62</f>
        <v>0</v>
      </c>
      <c r="I62" s="42">
        <f>'15-16 NGGT'!I62-'14-15 NGGT'!I62</f>
        <v>0</v>
      </c>
      <c r="J62" s="42">
        <f>'15-16 NGGT'!J62-'14-15 NGGT'!J62</f>
        <v>0</v>
      </c>
      <c r="K62" s="42">
        <f>'15-16 NGGT'!K62-'14-15 NGGT'!K62</f>
        <v>0</v>
      </c>
    </row>
    <row r="63" spans="1:14">
      <c r="C63" s="11" t="s">
        <v>86</v>
      </c>
      <c r="D63" s="43">
        <f>'15-16 NGGT'!D63-'14-15 NGGT'!D63</f>
        <v>1.0638847642304938</v>
      </c>
      <c r="E63" s="43">
        <f>'15-16 NGGT'!E63-'14-15 NGGT'!E63</f>
        <v>0</v>
      </c>
      <c r="F63" s="43">
        <f>'15-16 NGGT'!F63-'14-15 NGGT'!F63</f>
        <v>0</v>
      </c>
      <c r="G63" s="43">
        <f>'15-16 NGGT'!G63-'14-15 NGGT'!G63</f>
        <v>0</v>
      </c>
      <c r="H63" s="43">
        <f>'15-16 NGGT'!H63-'14-15 NGGT'!H63</f>
        <v>0</v>
      </c>
      <c r="I63" s="43">
        <f>'15-16 NGGT'!I63-'14-15 NGGT'!I63</f>
        <v>0</v>
      </c>
      <c r="J63" s="43">
        <f>'15-16 NGGT'!J63-'14-15 NGGT'!J63</f>
        <v>0</v>
      </c>
      <c r="K63" s="43">
        <f>'15-16 NGGT'!K63-'14-15 NGGT'!K63</f>
        <v>0</v>
      </c>
    </row>
    <row r="64" spans="1:14">
      <c r="C64" s="10" t="s">
        <v>87</v>
      </c>
      <c r="D64" s="42">
        <f>'15-16 NGGT'!D64-'14-15 NGGT'!D64</f>
        <v>0</v>
      </c>
      <c r="E64" s="42">
        <f>'15-16 NGGT'!E64-'14-15 NGGT'!E64</f>
        <v>-2.3641883649531792E-2</v>
      </c>
      <c r="F64" s="42">
        <f>'15-16 NGGT'!F64-'14-15 NGGT'!F64</f>
        <v>-2.3641883649588635E-2</v>
      </c>
      <c r="G64" s="42">
        <f>'15-16 NGGT'!G64-'14-15 NGGT'!G64</f>
        <v>-2.3641883649560214E-2</v>
      </c>
      <c r="H64" s="42">
        <f>'15-16 NGGT'!H64-'14-15 NGGT'!H64</f>
        <v>-2.3641883649560214E-2</v>
      </c>
      <c r="I64" s="42">
        <f>'15-16 NGGT'!I64-'14-15 NGGT'!I64</f>
        <v>-2.3641883649560214E-2</v>
      </c>
      <c r="J64" s="42">
        <f>'15-16 NGGT'!J64-'14-15 NGGT'!J64</f>
        <v>-2.3641883649531792E-2</v>
      </c>
      <c r="K64" s="42">
        <f>'15-16 NGGT'!K64-'14-15 NGGT'!K64</f>
        <v>-2.3641883649560214E-2</v>
      </c>
    </row>
    <row r="65" spans="1:14">
      <c r="C65" s="39" t="s">
        <v>94</v>
      </c>
      <c r="D65" s="45">
        <f>'15-16 NGGT'!D65-'14-15 NGGT'!D65</f>
        <v>1.0638847642303517</v>
      </c>
      <c r="E65" s="45">
        <f>'15-16 NGGT'!E65-'14-15 NGGT'!E65</f>
        <v>1.0402428805809905</v>
      </c>
      <c r="F65" s="45">
        <f>'15-16 NGGT'!F65-'14-15 NGGT'!F65</f>
        <v>1.0166009969316292</v>
      </c>
      <c r="G65" s="45">
        <f>'15-16 NGGT'!G65-'14-15 NGGT'!G65</f>
        <v>0.99295911328226794</v>
      </c>
      <c r="H65" s="45">
        <f>'15-16 NGGT'!H65-'14-15 NGGT'!H65</f>
        <v>0.96931722963199718</v>
      </c>
      <c r="I65" s="45">
        <f>'15-16 NGGT'!I65-'14-15 NGGT'!I65</f>
        <v>0.94567534598263592</v>
      </c>
      <c r="J65" s="45">
        <f>'15-16 NGGT'!J65-'14-15 NGGT'!J65</f>
        <v>0.92203346233327466</v>
      </c>
      <c r="K65" s="45">
        <f>'15-16 NGGT'!K65-'14-15 NGGT'!K65</f>
        <v>0.89839157868391339</v>
      </c>
    </row>
    <row r="66" spans="1:14">
      <c r="C66" s="10" t="s">
        <v>89</v>
      </c>
      <c r="D66" s="42">
        <f>'15-16 NGGT'!D66-'14-15 NGGT'!D66</f>
        <v>0</v>
      </c>
      <c r="E66" s="42">
        <f>'15-16 NGGT'!E66-'14-15 NGGT'!E66</f>
        <v>0</v>
      </c>
      <c r="F66" s="42">
        <f>'15-16 NGGT'!F66-'14-15 NGGT'!F66</f>
        <v>0</v>
      </c>
      <c r="G66" s="42">
        <f>'15-16 NGGT'!G66-'14-15 NGGT'!G66</f>
        <v>0</v>
      </c>
      <c r="H66" s="42">
        <f>'15-16 NGGT'!H66-'14-15 NGGT'!H66</f>
        <v>0</v>
      </c>
      <c r="I66" s="42">
        <f>'15-16 NGGT'!I66-'14-15 NGGT'!I66</f>
        <v>0</v>
      </c>
      <c r="J66" s="42">
        <f>'15-16 NGGT'!J66-'14-15 NGGT'!J66</f>
        <v>0</v>
      </c>
      <c r="K66" s="42">
        <f>'15-16 NGGT'!K66-'14-15 NGGT'!K66</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'15-16 NGGT'!D70-'14-15 NGGT'!D70</f>
        <v>-7.315892848229538</v>
      </c>
      <c r="E70" s="42">
        <f>'15-16 NGGT'!E70-'14-15 NGGT'!E70</f>
        <v>0</v>
      </c>
      <c r="F70" s="42">
        <f>'15-16 NGGT'!F70-'14-15 NGGT'!F70</f>
        <v>0</v>
      </c>
      <c r="G70" s="42">
        <f>'15-16 NGGT'!G70-'14-15 NGGT'!G70</f>
        <v>0</v>
      </c>
      <c r="H70" s="42">
        <f>'15-16 NGGT'!H70-'14-15 NGGT'!H70</f>
        <v>0</v>
      </c>
      <c r="I70" s="42">
        <f>'15-16 NGGT'!I70-'14-15 NGGT'!I70</f>
        <v>0</v>
      </c>
      <c r="J70" s="42">
        <f>'15-16 NGGT'!J70-'14-15 NGGT'!J70</f>
        <v>0</v>
      </c>
      <c r="K70" s="42">
        <f>'15-16 NGGT'!K70-'14-15 NGGT'!K70</f>
        <v>0</v>
      </c>
    </row>
    <row r="71" spans="1:14">
      <c r="C71" s="11" t="s">
        <v>98</v>
      </c>
      <c r="D71" s="43">
        <f>'15-16 NGGT'!D71-'14-15 NGGT'!D71</f>
        <v>0</v>
      </c>
      <c r="E71" s="43">
        <f>'15-16 NGGT'!E71-'14-15 NGGT'!E71</f>
        <v>0</v>
      </c>
      <c r="F71" s="43">
        <f>'15-16 NGGT'!F71-'14-15 NGGT'!F71</f>
        <v>0</v>
      </c>
      <c r="G71" s="43">
        <f>'15-16 NGGT'!G71-'14-15 NGGT'!G71</f>
        <v>0</v>
      </c>
      <c r="H71" s="43">
        <f>'15-16 NGGT'!H71-'14-15 NGGT'!H71</f>
        <v>0</v>
      </c>
      <c r="I71" s="43">
        <f>'15-16 NGGT'!I71-'14-15 NGGT'!I71</f>
        <v>0</v>
      </c>
      <c r="J71" s="43">
        <f>'15-16 NGGT'!J71-'14-15 NGGT'!J71</f>
        <v>0</v>
      </c>
      <c r="K71" s="43">
        <f>'15-16 NGGT'!K71-'14-15 NGGT'!K71</f>
        <v>0</v>
      </c>
    </row>
    <row r="72" spans="1:14">
      <c r="C72" s="10" t="s">
        <v>99</v>
      </c>
      <c r="D72" s="42">
        <f>'15-16 NGGT'!D72-'14-15 NGGT'!D72</f>
        <v>0</v>
      </c>
      <c r="E72" s="42">
        <f>'15-16 NGGT'!E72-'14-15 NGGT'!E72</f>
        <v>-1.4528056628265062E-2</v>
      </c>
      <c r="F72" s="42">
        <f>'15-16 NGGT'!F72-'14-15 NGGT'!F72</f>
        <v>22.924466164893822</v>
      </c>
      <c r="G72" s="42">
        <f>'15-16 NGGT'!G72-'14-15 NGGT'!G72</f>
        <v>22.893396698275026</v>
      </c>
      <c r="H72" s="42">
        <f>'15-16 NGGT'!H72-'14-15 NGGT'!H72</f>
        <v>22.859758787220514</v>
      </c>
      <c r="I72" s="42">
        <f>'15-16 NGGT'!I72-'14-15 NGGT'!I72</f>
        <v>22.823389957914685</v>
      </c>
      <c r="J72" s="42">
        <f>'15-16 NGGT'!J72-'14-15 NGGT'!J72</f>
        <v>22.784118552112602</v>
      </c>
      <c r="K72" s="42">
        <f>'15-16 NGGT'!K72-'14-15 NGGT'!K72</f>
        <v>22.741763239288659</v>
      </c>
    </row>
    <row r="73" spans="1:14">
      <c r="C73" s="11" t="s">
        <v>100</v>
      </c>
      <c r="D73" s="43">
        <f>'15-16 NGGT'!D73-'14-15 NGGT'!D73</f>
        <v>0</v>
      </c>
      <c r="E73" s="43">
        <f>'15-16 NGGT'!E73-'14-15 NGGT'!E73</f>
        <v>0</v>
      </c>
      <c r="F73" s="43">
        <f>'15-16 NGGT'!F73-'14-15 NGGT'!F73</f>
        <v>0</v>
      </c>
      <c r="G73" s="43">
        <f>'15-16 NGGT'!G73-'14-15 NGGT'!G73</f>
        <v>0</v>
      </c>
      <c r="H73" s="43">
        <f>'15-16 NGGT'!H73-'14-15 NGGT'!H73</f>
        <v>0</v>
      </c>
      <c r="I73" s="43">
        <f>'15-16 NGGT'!I73-'14-15 NGGT'!I73</f>
        <v>0</v>
      </c>
      <c r="J73" s="43">
        <f>'15-16 NGGT'!J73-'14-15 NGGT'!J73</f>
        <v>0</v>
      </c>
      <c r="K73" s="43">
        <f>'15-16 NGGT'!K73-'14-15 NGGT'!K73</f>
        <v>0</v>
      </c>
    </row>
    <row r="74" spans="1:14">
      <c r="C74" s="10" t="s">
        <v>101</v>
      </c>
      <c r="D74" s="42">
        <f>'15-16 NGGT'!D74-'14-15 NGGT'!D74</f>
        <v>0</v>
      </c>
      <c r="E74" s="42">
        <f>'15-16 NGGT'!E74-'14-15 NGGT'!E74</f>
        <v>0</v>
      </c>
      <c r="F74" s="42">
        <f>'15-16 NGGT'!F74-'14-15 NGGT'!F74</f>
        <v>0</v>
      </c>
      <c r="G74" s="42">
        <f>'15-16 NGGT'!G74-'14-15 NGGT'!G74</f>
        <v>0</v>
      </c>
      <c r="H74" s="42">
        <f>'15-16 NGGT'!H74-'14-15 NGGT'!H74</f>
        <v>0</v>
      </c>
      <c r="I74" s="42">
        <f>'15-16 NGGT'!I74-'14-15 NGGT'!I74</f>
        <v>0</v>
      </c>
      <c r="J74" s="42">
        <f>'15-16 NGGT'!J74-'14-15 NGGT'!J74</f>
        <v>0</v>
      </c>
      <c r="K74" s="42">
        <f>'15-16 NGGT'!K74-'14-15 NGGT'!K74</f>
        <v>0</v>
      </c>
    </row>
    <row r="75" spans="1:14">
      <c r="C75" s="11" t="s">
        <v>102</v>
      </c>
      <c r="D75" s="43">
        <f>'15-16 NGGT'!D75-'14-15 NGGT'!D75</f>
        <v>-1.585331582412957</v>
      </c>
      <c r="E75" s="43">
        <f>'15-16 NGGT'!E75-'14-15 NGGT'!E75</f>
        <v>7.0232862913428562E-2</v>
      </c>
      <c r="F75" s="43">
        <f>'15-16 NGGT'!F75-'14-15 NGGT'!F75</f>
        <v>-6.4240009191632197E-2</v>
      </c>
      <c r="G75" s="43">
        <f>'15-16 NGGT'!G75-'14-15 NGGT'!G75</f>
        <v>-3.7062807562548983E-2</v>
      </c>
      <c r="H75" s="43">
        <f>'15-16 NGGT'!H75-'14-15 NGGT'!H75</f>
        <v>-1.0118512354292619E-2</v>
      </c>
      <c r="I75" s="43">
        <f>'15-16 NGGT'!I75-'14-15 NGGT'!I75</f>
        <v>-2.6006228267544174E-2</v>
      </c>
      <c r="J75" s="43">
        <f>'15-16 NGGT'!J75-'14-15 NGGT'!J75</f>
        <v>-7.50830699471976E-2</v>
      </c>
      <c r="K75" s="43">
        <f>'15-16 NGGT'!K75-'14-15 NGGT'!K75</f>
        <v>-0.14615061426654563</v>
      </c>
    </row>
    <row r="76" spans="1:14">
      <c r="C76" s="10" t="s">
        <v>103</v>
      </c>
      <c r="D76" s="42">
        <f>'15-16 NGGT'!D76-'14-15 NGGT'!D76</f>
        <v>2.2296986076639769E-2</v>
      </c>
      <c r="E76" s="42">
        <f>'15-16 NGGT'!E76-'14-15 NGGT'!E76</f>
        <v>6.7453426460019728E-2</v>
      </c>
      <c r="F76" s="42">
        <f>'15-16 NGGT'!F76-'14-15 NGGT'!F76</f>
        <v>-4.3209414780981206</v>
      </c>
      <c r="G76" s="42">
        <f>'15-16 NGGT'!G76-'14-15 NGGT'!G76</f>
        <v>-4.3401254951573378</v>
      </c>
      <c r="H76" s="42">
        <f>'15-16 NGGT'!H76-'14-15 NGGT'!H76</f>
        <v>-4.8597156212324535</v>
      </c>
      <c r="I76" s="42">
        <f>'15-16 NGGT'!I76-'14-15 NGGT'!I76</f>
        <v>-4.9394188201668499</v>
      </c>
      <c r="J76" s="42">
        <f>'15-16 NGGT'!J76-'14-15 NGGT'!J76</f>
        <v>-4.9245113714810032</v>
      </c>
      <c r="K76" s="42">
        <f>'15-16 NGGT'!K76-'14-15 NGGT'!K76</f>
        <v>-4.8738020648677889</v>
      </c>
    </row>
    <row r="77" spans="1:14">
      <c r="C77" s="11" t="s">
        <v>104</v>
      </c>
      <c r="D77" s="43">
        <f>'15-16 NGGT'!D77-'14-15 NGGT'!D77</f>
        <v>-0.73734196840925925</v>
      </c>
      <c r="E77" s="43">
        <f>'15-16 NGGT'!E77-'14-15 NGGT'!E77</f>
        <v>-0.78173912577092963</v>
      </c>
      <c r="F77" s="43">
        <f>'15-16 NGGT'!F77-'14-15 NGGT'!F77</f>
        <v>-0.84174132375444799</v>
      </c>
      <c r="G77" s="43">
        <f>'15-16 NGGT'!G77-'14-15 NGGT'!G77</f>
        <v>-0.90543476319595051</v>
      </c>
      <c r="H77" s="43">
        <f>'15-16 NGGT'!H77-'14-15 NGGT'!H77</f>
        <v>-0.97302498730429221</v>
      </c>
      <c r="I77" s="43">
        <f>'15-16 NGGT'!I77-'14-15 NGGT'!I77</f>
        <v>-1.0447283517858725</v>
      </c>
      <c r="J77" s="43">
        <f>'15-16 NGGT'!J77-'14-15 NGGT'!J77</f>
        <v>-1.1207725730775149</v>
      </c>
      <c r="K77" s="43">
        <f>'15-16 NGGT'!K77-'14-15 NGGT'!K77</f>
        <v>-1.2013973036703227</v>
      </c>
    </row>
    <row r="78" spans="1:14">
      <c r="C78" s="12" t="s">
        <v>105</v>
      </c>
      <c r="D78" s="50">
        <f>'15-16 NGGT'!D78-'14-15 NGGT'!D78</f>
        <v>-9.6162694129751571</v>
      </c>
      <c r="E78" s="50">
        <f>'15-16 NGGT'!E78-'14-15 NGGT'!E78</f>
        <v>-0.65858089302571443</v>
      </c>
      <c r="F78" s="50">
        <f>'15-16 NGGT'!F78-'14-15 NGGT'!F78</f>
        <v>17.697543353849824</v>
      </c>
      <c r="G78" s="50">
        <f>'15-16 NGGT'!G78-'14-15 NGGT'!G78</f>
        <v>17.610773632359155</v>
      </c>
      <c r="H78" s="50">
        <f>'15-16 NGGT'!H78-'14-15 NGGT'!H78</f>
        <v>17.016899666329437</v>
      </c>
      <c r="I78" s="50">
        <f>'15-16 NGGT'!I78-'14-15 NGGT'!I78</f>
        <v>16.813236557694381</v>
      </c>
      <c r="J78" s="50">
        <f>'15-16 NGGT'!J78-'14-15 NGGT'!J78</f>
        <v>16.663751537607027</v>
      </c>
      <c r="K78" s="50">
        <f>'15-16 NGGT'!K78-'14-15 NGGT'!K78</f>
        <v>16.520413256484062</v>
      </c>
    </row>
    <row r="79" spans="1:14">
      <c r="C79" s="11" t="s">
        <v>106</v>
      </c>
      <c r="D79" s="43">
        <f>'15-16 NGGT'!D79-'14-15 NGGT'!D79</f>
        <v>0</v>
      </c>
      <c r="E79" s="43">
        <f>'15-16 NGGT'!E79-'14-15 NGGT'!E79</f>
        <v>0</v>
      </c>
      <c r="F79" s="43">
        <f>'15-16 NGGT'!F79-'14-15 NGGT'!F79</f>
        <v>0</v>
      </c>
      <c r="G79" s="43">
        <f>'15-16 NGGT'!G79-'14-15 NGGT'!G79</f>
        <v>0</v>
      </c>
      <c r="H79" s="43">
        <f>'15-16 NGGT'!H79-'14-15 NGGT'!H79</f>
        <v>0</v>
      </c>
      <c r="I79" s="43">
        <f>'15-16 NGGT'!I79-'14-15 NGGT'!I79</f>
        <v>0</v>
      </c>
      <c r="J79" s="43">
        <f>'15-16 NGGT'!J79-'14-15 NGGT'!J79</f>
        <v>0</v>
      </c>
      <c r="K79" s="43">
        <f>'15-16 NGGT'!K79-'14-15 NGGT'!K79</f>
        <v>0</v>
      </c>
      <c r="N79" s="208"/>
    </row>
    <row r="80" spans="1:14" ht="13.8" thickBot="1">
      <c r="A80" s="38"/>
      <c r="C80" s="13" t="s">
        <v>107</v>
      </c>
      <c r="D80" s="52">
        <f>'15-16 NGGT'!D80-'14-15 NGGT'!D80</f>
        <v>-9.6162694129751571</v>
      </c>
      <c r="E80" s="52">
        <f>'15-16 NGGT'!E80-'14-15 NGGT'!E80</f>
        <v>-0.65858089302571443</v>
      </c>
      <c r="F80" s="52">
        <f>'15-16 NGGT'!F80-'14-15 NGGT'!F80</f>
        <v>17.697543353849824</v>
      </c>
      <c r="G80" s="52">
        <f>'15-16 NGGT'!G80-'14-15 NGGT'!G80</f>
        <v>17.610773632359155</v>
      </c>
      <c r="H80" s="52">
        <f>'15-16 NGGT'!H80-'14-15 NGGT'!H80</f>
        <v>17.016899666329437</v>
      </c>
      <c r="I80" s="52">
        <f>'15-16 NGGT'!I80-'14-15 NGGT'!I80</f>
        <v>16.813236557694381</v>
      </c>
      <c r="J80" s="52">
        <f>'15-16 NGGT'!J80-'14-15 NGGT'!J80</f>
        <v>16.663751537607027</v>
      </c>
      <c r="K80" s="52">
        <f>'15-16 NGGT'!K80-'14-15 NGGT'!K80</f>
        <v>16.520413256484062</v>
      </c>
      <c r="N80" s="209"/>
    </row>
    <row r="81" spans="3:14">
      <c r="E81" s="53"/>
    </row>
    <row r="82" spans="3:14" ht="13.8" thickBot="1">
      <c r="E82" s="109" t="s">
        <v>393</v>
      </c>
      <c r="F82" s="53">
        <f>D80*1.04375*1.0425+E80*1.0425+F80</f>
        <v>6.5474198720865022</v>
      </c>
      <c r="G82" s="109" t="s">
        <v>201</v>
      </c>
      <c r="H82" s="53">
        <f>F82-'GT workings 15-16'!F106+'NGGT differences 14-15'!F80</f>
        <v>1.1449518149309057E-3</v>
      </c>
      <c r="I82" s="109"/>
      <c r="J82" s="109"/>
      <c r="K82" s="109"/>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406</v>
      </c>
      <c r="D85" s="126">
        <f>'15-16 NGGT'!D85-'14-15 NGGT'!D85</f>
        <v>0</v>
      </c>
      <c r="E85" s="126">
        <f>'15-16 NGGT'!E85-'14-15 NGGT'!E85</f>
        <v>0</v>
      </c>
      <c r="F85" s="126">
        <f>'15-16 NGGT'!F85-'14-15 NGGT'!F85</f>
        <v>0</v>
      </c>
      <c r="G85" s="126">
        <f>'15-16 NGGT'!G85-'14-15 NGGT'!G85</f>
        <v>0</v>
      </c>
      <c r="H85" s="126">
        <f>'15-16 NGGT'!H85-'14-15 NGGT'!H85</f>
        <v>0</v>
      </c>
      <c r="I85" s="126">
        <f>'15-16 NGGT'!I85-'14-15 NGGT'!I85</f>
        <v>0</v>
      </c>
      <c r="J85" s="126">
        <f>'15-16 NGGT'!J85-'14-15 NGGT'!J85</f>
        <v>0</v>
      </c>
      <c r="K85" s="126">
        <f>'15-16 NGGT'!K85-'14-15 NGGT'!K85</f>
        <v>0</v>
      </c>
      <c r="L85" s="126">
        <f>'15-16 NGGT'!L85-'14-15 NGGT'!L85</f>
        <v>0</v>
      </c>
      <c r="M85" s="53">
        <f>'15-16 NGGT'!M85-'14-15 NGGT'!M85</f>
        <v>0</v>
      </c>
      <c r="N85" s="53">
        <f>'15-16 NGGT'!N85-'14-15 NGGT'!N85</f>
        <v>-1</v>
      </c>
    </row>
    <row r="86" spans="3:14">
      <c r="C86" s="17" t="s">
        <v>407</v>
      </c>
      <c r="D86" s="126">
        <f>'15-16 NGGT'!D86-'14-15 NGGT'!D86</f>
        <v>0</v>
      </c>
      <c r="E86" s="126">
        <f>'15-16 NGGT'!E86-'14-15 NGGT'!E86</f>
        <v>0</v>
      </c>
      <c r="F86" s="126">
        <f>'15-16 NGGT'!F86-'14-15 NGGT'!F86</f>
        <v>0</v>
      </c>
      <c r="G86" s="126">
        <f>'15-16 NGGT'!G86-'14-15 NGGT'!G86</f>
        <v>0</v>
      </c>
      <c r="H86" s="126">
        <f>'15-16 NGGT'!H86-'14-15 NGGT'!H86</f>
        <v>0</v>
      </c>
      <c r="I86" s="126">
        <f>'15-16 NGGT'!I86-'14-15 NGGT'!I86</f>
        <v>0</v>
      </c>
      <c r="J86" s="126">
        <f>'15-16 NGGT'!J86-'14-15 NGGT'!J86</f>
        <v>0</v>
      </c>
      <c r="K86" s="126">
        <f>'15-16 NGGT'!K86-'14-15 NGGT'!K86</f>
        <v>0</v>
      </c>
      <c r="L86" s="126">
        <f>'15-16 NGGT'!L86-'14-15 NGGT'!L86</f>
        <v>0</v>
      </c>
      <c r="M86" s="53">
        <f>'15-16 NGGT'!M86-'14-15 NGGT'!M86</f>
        <v>0</v>
      </c>
      <c r="N86" s="53">
        <f>'15-16 NGGT'!N86-'14-15 NGGT'!N86</f>
        <v>-1</v>
      </c>
    </row>
    <row r="87" spans="3:14">
      <c r="C87" s="18" t="s">
        <v>44</v>
      </c>
      <c r="D87" s="128">
        <f>'15-16 NGGT'!D87-'14-15 NGGT'!D87</f>
        <v>0</v>
      </c>
      <c r="E87" s="128">
        <f>'15-16 NGGT'!E87-'14-15 NGGT'!E87</f>
        <v>0</v>
      </c>
      <c r="F87" s="128">
        <f>'15-16 NGGT'!F87-'14-15 NGGT'!F87</f>
        <v>0</v>
      </c>
      <c r="G87" s="128">
        <f>'15-16 NGGT'!G87-'14-15 NGGT'!G87</f>
        <v>0</v>
      </c>
      <c r="H87" s="128">
        <f>'15-16 NGGT'!H87-'14-15 NGGT'!H87</f>
        <v>0</v>
      </c>
      <c r="I87" s="128">
        <f>'15-16 NGGT'!I87-'14-15 NGGT'!I87</f>
        <v>0</v>
      </c>
      <c r="J87" s="128">
        <f>'15-16 NGGT'!J87-'14-15 NGGT'!J87</f>
        <v>0</v>
      </c>
      <c r="K87" s="128">
        <f>'15-16 NGGT'!K87-'14-15 NGGT'!K87</f>
        <v>0</v>
      </c>
      <c r="L87" s="128">
        <f>'15-16 NGGT'!L87-'14-15 NGGT'!L87</f>
        <v>0</v>
      </c>
      <c r="M87" s="53">
        <f>'15-16 NGGT'!M87-'14-15 NGGT'!M87</f>
        <v>0</v>
      </c>
      <c r="N87" s="53">
        <f>'15-16 NGGT'!N87-'14-15 NGGT'!N87</f>
        <v>-1</v>
      </c>
    </row>
    <row r="88" spans="3:14">
      <c r="C88" s="17" t="s">
        <v>408</v>
      </c>
      <c r="D88" s="126">
        <f>'15-16 NGGT'!D88-'14-15 NGGT'!D88</f>
        <v>0</v>
      </c>
      <c r="E88" s="126">
        <f>'15-16 NGGT'!E88-'14-15 NGGT'!E88</f>
        <v>0</v>
      </c>
      <c r="F88" s="126">
        <f>'15-16 NGGT'!F88-'14-15 NGGT'!F88</f>
        <v>0</v>
      </c>
      <c r="G88" s="126">
        <f>'15-16 NGGT'!G88-'14-15 NGGT'!G88</f>
        <v>0</v>
      </c>
      <c r="H88" s="126">
        <f>'15-16 NGGT'!H88-'14-15 NGGT'!H88</f>
        <v>0</v>
      </c>
      <c r="I88" s="126">
        <f>'15-16 NGGT'!I88-'14-15 NGGT'!I88</f>
        <v>0</v>
      </c>
      <c r="J88" s="126">
        <f>'15-16 NGGT'!J88-'14-15 NGGT'!J88</f>
        <v>0</v>
      </c>
      <c r="K88" s="126">
        <f>'15-16 NGGT'!K88-'14-15 NGGT'!K88</f>
        <v>0</v>
      </c>
      <c r="L88" s="126">
        <f>'15-16 NGGT'!L88-'14-15 NGGT'!L88</f>
        <v>0</v>
      </c>
      <c r="M88" s="53">
        <f>'15-16 NGGT'!M88-'14-15 NGGT'!M88</f>
        <v>0</v>
      </c>
      <c r="N88" s="53">
        <f>'15-16 NGGT'!N88-'14-15 NGGT'!N88</f>
        <v>-1</v>
      </c>
    </row>
    <row r="89" spans="3:14">
      <c r="C89" s="18" t="s">
        <v>46</v>
      </c>
      <c r="D89" s="127">
        <f>'15-16 NGGT'!D89-'14-15 NGGT'!D89</f>
        <v>0</v>
      </c>
      <c r="E89" s="127">
        <f>'15-16 NGGT'!E89-'14-15 NGGT'!E89</f>
        <v>0</v>
      </c>
      <c r="F89" s="127">
        <f>'15-16 NGGT'!F89-'14-15 NGGT'!F89</f>
        <v>0</v>
      </c>
      <c r="G89" s="127">
        <f>'15-16 NGGT'!G89-'14-15 NGGT'!G89</f>
        <v>0</v>
      </c>
      <c r="H89" s="127">
        <f>'15-16 NGGT'!H89-'14-15 NGGT'!H89</f>
        <v>0</v>
      </c>
      <c r="I89" s="127">
        <f>'15-16 NGGT'!I89-'14-15 NGGT'!I89</f>
        <v>0</v>
      </c>
      <c r="J89" s="127">
        <f>'15-16 NGGT'!J89-'14-15 NGGT'!J89</f>
        <v>0</v>
      </c>
      <c r="K89" s="127">
        <f>'15-16 NGGT'!K89-'14-15 NGGT'!K89</f>
        <v>0</v>
      </c>
      <c r="L89" s="127">
        <f>'15-16 NGGT'!L89-'14-15 NGGT'!L89</f>
        <v>0</v>
      </c>
      <c r="M89" s="53">
        <f>'15-16 NGGT'!M89-'14-15 NGGT'!M89</f>
        <v>0</v>
      </c>
      <c r="N89" s="53">
        <f>'15-16 NGGT'!N89-'14-15 NGGT'!N89</f>
        <v>-1</v>
      </c>
    </row>
    <row r="90" spans="3:14">
      <c r="C90" s="19" t="s">
        <v>48</v>
      </c>
      <c r="D90" s="129">
        <f>'15-16 NGGT'!D91-'14-15 NGGT'!D90</f>
        <v>-6.2520080839990158</v>
      </c>
      <c r="E90" s="129">
        <f>'15-16 NGGT'!E91-'14-15 NGGT'!E90</f>
        <v>0</v>
      </c>
      <c r="F90" s="129">
        <f>'15-16 NGGT'!F91-'14-15 NGGT'!F90</f>
        <v>0</v>
      </c>
      <c r="G90" s="129">
        <f>'15-16 NGGT'!G91-'14-15 NGGT'!G90</f>
        <v>0</v>
      </c>
      <c r="H90" s="129">
        <f>'15-16 NGGT'!H91-'14-15 NGGT'!H90</f>
        <v>0</v>
      </c>
      <c r="I90" s="129">
        <f>'15-16 NGGT'!I91-'14-15 NGGT'!I90</f>
        <v>0</v>
      </c>
      <c r="J90" s="129">
        <f>'15-16 NGGT'!J91-'14-15 NGGT'!J90</f>
        <v>0</v>
      </c>
      <c r="K90" s="129">
        <f>'15-16 NGGT'!K91-'14-15 NGGT'!K90</f>
        <v>0</v>
      </c>
      <c r="L90" s="129">
        <f>'15-16 NGGT'!L91-'14-15 NGGT'!L90</f>
        <v>-6.2520080839990442</v>
      </c>
      <c r="M90" s="53">
        <f>'15-16 NGGT'!M91-'14-15 NGGT'!M90</f>
        <v>0</v>
      </c>
      <c r="N90" s="53">
        <f>'15-16 NGGT'!N91-'14-15 NGGT'!N90</f>
        <v>-1</v>
      </c>
    </row>
    <row r="91" spans="3:14">
      <c r="C91" s="18" t="s">
        <v>52</v>
      </c>
      <c r="D91" s="128">
        <f>'15-16 NGGT'!D92-'14-15 NGGT'!D91</f>
        <v>0</v>
      </c>
      <c r="E91" s="128">
        <f>'15-16 NGGT'!E92-'14-15 NGGT'!E91</f>
        <v>0</v>
      </c>
      <c r="F91" s="128">
        <f>'15-16 NGGT'!F92-'14-15 NGGT'!F91</f>
        <v>0</v>
      </c>
      <c r="G91" s="128">
        <f>'15-16 NGGT'!G92-'14-15 NGGT'!G91</f>
        <v>0</v>
      </c>
      <c r="H91" s="128">
        <f>'15-16 NGGT'!H92-'14-15 NGGT'!H91</f>
        <v>0</v>
      </c>
      <c r="I91" s="128">
        <f>'15-16 NGGT'!I92-'14-15 NGGT'!I91</f>
        <v>0</v>
      </c>
      <c r="J91" s="128">
        <f>'15-16 NGGT'!J92-'14-15 NGGT'!J91</f>
        <v>0</v>
      </c>
      <c r="K91" s="128">
        <f>'15-16 NGGT'!K92-'14-15 NGGT'!K91</f>
        <v>0</v>
      </c>
      <c r="L91" s="128">
        <f>'15-16 NGGT'!L92-'14-15 NGGT'!L91</f>
        <v>0</v>
      </c>
      <c r="M91" s="53">
        <f>'15-16 NGGT'!M92-'14-15 NGGT'!M91</f>
        <v>0</v>
      </c>
      <c r="N91" s="53">
        <f>'15-16 NGGT'!N92-'14-15 NGGT'!N91</f>
        <v>-1</v>
      </c>
    </row>
    <row r="92" spans="3:14">
      <c r="C92" s="17"/>
      <c r="D92" s="126"/>
      <c r="E92" s="126"/>
      <c r="F92" s="126"/>
      <c r="G92" s="126"/>
      <c r="H92" s="126"/>
      <c r="I92" s="126"/>
      <c r="J92" s="126"/>
      <c r="K92" s="126"/>
      <c r="L92" s="126"/>
      <c r="M92" s="53"/>
      <c r="N92" s="53"/>
    </row>
    <row r="93" spans="3:14">
      <c r="C93" s="18" t="s">
        <v>138</v>
      </c>
      <c r="D93" s="127">
        <f>'15-16 NGGT'!D94-'14-15 NGGT'!D93</f>
        <v>0</v>
      </c>
      <c r="E93" s="127">
        <f>'15-16 NGGT'!E94-'14-15 NGGT'!E93</f>
        <v>0</v>
      </c>
      <c r="F93" s="127">
        <f>'15-16 NGGT'!F94-'14-15 NGGT'!F93</f>
        <v>0</v>
      </c>
      <c r="G93" s="127">
        <f>'15-16 NGGT'!G94-'14-15 NGGT'!G93</f>
        <v>0</v>
      </c>
      <c r="H93" s="127">
        <f>'15-16 NGGT'!H94-'14-15 NGGT'!H93</f>
        <v>0</v>
      </c>
      <c r="I93" s="127">
        <f>'15-16 NGGT'!I94-'14-15 NGGT'!I93</f>
        <v>0</v>
      </c>
      <c r="J93" s="127">
        <f>'15-16 NGGT'!J94-'14-15 NGGT'!J93</f>
        <v>0</v>
      </c>
      <c r="K93" s="127">
        <f>'15-16 NGGT'!K94-'14-15 NGGT'!K93</f>
        <v>0</v>
      </c>
      <c r="L93" s="127">
        <f>'15-16 NGGT'!L94-'14-15 NGGT'!L93</f>
        <v>0</v>
      </c>
      <c r="M93" s="53">
        <f>'15-16 NGGT'!M94-'14-15 NGGT'!M93</f>
        <v>0</v>
      </c>
      <c r="N93" s="53">
        <f>'15-16 NGGT'!N94-'14-15 NGGT'!N93</f>
        <v>-1</v>
      </c>
    </row>
    <row r="94" spans="3:14">
      <c r="C94" s="17" t="s">
        <v>44</v>
      </c>
      <c r="D94" s="126">
        <f>'15-16 NGGT'!D95-'14-15 NGGT'!D94</f>
        <v>0</v>
      </c>
      <c r="E94" s="126">
        <f>'15-16 NGGT'!E95-'14-15 NGGT'!E94</f>
        <v>0</v>
      </c>
      <c r="F94" s="126">
        <f>'15-16 NGGT'!F95-'14-15 NGGT'!F94</f>
        <v>0</v>
      </c>
      <c r="G94" s="126">
        <f>'15-16 NGGT'!G95-'14-15 NGGT'!G94</f>
        <v>0</v>
      </c>
      <c r="H94" s="126">
        <f>'15-16 NGGT'!H95-'14-15 NGGT'!H94</f>
        <v>0</v>
      </c>
      <c r="I94" s="126">
        <f>'15-16 NGGT'!I95-'14-15 NGGT'!I94</f>
        <v>0</v>
      </c>
      <c r="J94" s="126">
        <f>'15-16 NGGT'!J95-'14-15 NGGT'!J94</f>
        <v>0</v>
      </c>
      <c r="K94" s="126">
        <f>'15-16 NGGT'!K95-'14-15 NGGT'!K94</f>
        <v>0</v>
      </c>
      <c r="L94" s="126">
        <f>'15-16 NGGT'!L95-'14-15 NGGT'!L94</f>
        <v>0</v>
      </c>
      <c r="M94" s="53">
        <f>'15-16 NGGT'!M95-'14-15 NGGT'!M94</f>
        <v>0</v>
      </c>
      <c r="N94" s="53">
        <f>'15-16 NGGT'!N95-'14-15 NGGT'!N94</f>
        <v>-1</v>
      </c>
    </row>
    <row r="95" spans="3:14">
      <c r="C95" s="18" t="s">
        <v>45</v>
      </c>
      <c r="D95" s="127">
        <f>'15-16 NGGT'!D96-'14-15 NGGT'!D95</f>
        <v>0</v>
      </c>
      <c r="E95" s="127">
        <f>'15-16 NGGT'!E96-'14-15 NGGT'!E95</f>
        <v>0</v>
      </c>
      <c r="F95" s="127">
        <f>'15-16 NGGT'!F96-'14-15 NGGT'!F95</f>
        <v>0</v>
      </c>
      <c r="G95" s="127">
        <f>'15-16 NGGT'!G96-'14-15 NGGT'!G95</f>
        <v>0</v>
      </c>
      <c r="H95" s="127">
        <f>'15-16 NGGT'!H96-'14-15 NGGT'!H95</f>
        <v>0</v>
      </c>
      <c r="I95" s="127">
        <f>'15-16 NGGT'!I96-'14-15 NGGT'!I95</f>
        <v>0</v>
      </c>
      <c r="J95" s="127">
        <f>'15-16 NGGT'!J96-'14-15 NGGT'!J95</f>
        <v>0</v>
      </c>
      <c r="K95" s="127">
        <f>'15-16 NGGT'!K96-'14-15 NGGT'!K95</f>
        <v>0</v>
      </c>
      <c r="L95" s="127">
        <f>'15-16 NGGT'!L96-'14-15 NGGT'!L95</f>
        <v>0</v>
      </c>
      <c r="M95" s="53">
        <f>'15-16 NGGT'!M96-'14-15 NGGT'!M95</f>
        <v>0</v>
      </c>
      <c r="N95" s="53">
        <f>'15-16 NGGT'!N96-'14-15 NGGT'!N95</f>
        <v>-1</v>
      </c>
    </row>
    <row r="96" spans="3:14">
      <c r="C96" s="17" t="s">
        <v>46</v>
      </c>
      <c r="D96" s="126">
        <f>'15-16 NGGT'!D97-'14-15 NGGT'!D96</f>
        <v>0</v>
      </c>
      <c r="E96" s="126">
        <f>'15-16 NGGT'!E97-'14-15 NGGT'!E96</f>
        <v>0</v>
      </c>
      <c r="F96" s="126">
        <f>'15-16 NGGT'!F97-'14-15 NGGT'!F96</f>
        <v>0</v>
      </c>
      <c r="G96" s="126">
        <f>'15-16 NGGT'!G97-'14-15 NGGT'!G96</f>
        <v>0</v>
      </c>
      <c r="H96" s="126">
        <f>'15-16 NGGT'!H97-'14-15 NGGT'!H96</f>
        <v>0</v>
      </c>
      <c r="I96" s="126">
        <f>'15-16 NGGT'!I97-'14-15 NGGT'!I96</f>
        <v>0</v>
      </c>
      <c r="J96" s="126">
        <f>'15-16 NGGT'!J97-'14-15 NGGT'!J96</f>
        <v>0</v>
      </c>
      <c r="K96" s="126">
        <f>'15-16 NGGT'!K97-'14-15 NGGT'!K96</f>
        <v>0</v>
      </c>
      <c r="L96" s="126">
        <f>'15-16 NGGT'!L97-'14-15 NGGT'!L96</f>
        <v>0</v>
      </c>
      <c r="M96" s="53">
        <f>'15-16 NGGT'!M97-'14-15 NGGT'!M96</f>
        <v>0</v>
      </c>
      <c r="N96" s="53">
        <f>'15-16 NGGT'!N97-'14-15 NGGT'!N96</f>
        <v>-1</v>
      </c>
    </row>
    <row r="97" spans="1:14">
      <c r="C97" s="123" t="s">
        <v>50</v>
      </c>
      <c r="D97" s="130">
        <f>'15-16 NGGT'!D99-'14-15 NGGT'!D97</f>
        <v>-17.787810660121892</v>
      </c>
      <c r="E97" s="130">
        <f>'15-16 NGGT'!E99-'14-15 NGGT'!E97</f>
        <v>0</v>
      </c>
      <c r="F97" s="130">
        <f>'15-16 NGGT'!F99-'14-15 NGGT'!F97</f>
        <v>0</v>
      </c>
      <c r="G97" s="130">
        <f>'15-16 NGGT'!G99-'14-15 NGGT'!G97</f>
        <v>0</v>
      </c>
      <c r="H97" s="130">
        <f>'15-16 NGGT'!H99-'14-15 NGGT'!H97</f>
        <v>0</v>
      </c>
      <c r="I97" s="130">
        <f>'15-16 NGGT'!I99-'14-15 NGGT'!I97</f>
        <v>0</v>
      </c>
      <c r="J97" s="130">
        <f>'15-16 NGGT'!J99-'14-15 NGGT'!J97</f>
        <v>0</v>
      </c>
      <c r="K97" s="130">
        <f>'15-16 NGGT'!K99-'14-15 NGGT'!K97</f>
        <v>0</v>
      </c>
      <c r="L97" s="130">
        <f>'15-16 NGGT'!L99-'14-15 NGGT'!L97</f>
        <v>-17.787810660122204</v>
      </c>
      <c r="M97" s="53">
        <f>'15-16 NGGT'!M99-'14-15 NGGT'!M97</f>
        <v>0</v>
      </c>
      <c r="N97" s="53">
        <f>'15-16 NGGT'!N99-'14-15 NGGT'!N97</f>
        <v>-1</v>
      </c>
    </row>
    <row r="98" spans="1:14">
      <c r="C98" s="17"/>
      <c r="D98" s="126"/>
      <c r="E98" s="126"/>
      <c r="F98" s="126"/>
      <c r="G98" s="126"/>
      <c r="H98" s="126"/>
      <c r="I98" s="126"/>
      <c r="J98" s="126"/>
      <c r="K98" s="126"/>
      <c r="L98" s="126"/>
      <c r="M98" s="53"/>
      <c r="N98" s="53"/>
    </row>
    <row r="99" spans="1:14" ht="13.8" thickBot="1">
      <c r="C99" s="23" t="s">
        <v>51</v>
      </c>
      <c r="D99" s="131">
        <f>'15-16 NGGT'!D101-'14-15 NGGT'!D99</f>
        <v>-24.039818744120936</v>
      </c>
      <c r="E99" s="131">
        <f>'15-16 NGGT'!E101-'14-15 NGGT'!E99</f>
        <v>0</v>
      </c>
      <c r="F99" s="131">
        <f>'15-16 NGGT'!F101-'14-15 NGGT'!F99</f>
        <v>0</v>
      </c>
      <c r="G99" s="131">
        <f>'15-16 NGGT'!G101-'14-15 NGGT'!G99</f>
        <v>0</v>
      </c>
      <c r="H99" s="131">
        <f>'15-16 NGGT'!H101-'14-15 NGGT'!H99</f>
        <v>0</v>
      </c>
      <c r="I99" s="131">
        <f>'15-16 NGGT'!I101-'14-15 NGGT'!I99</f>
        <v>0</v>
      </c>
      <c r="J99" s="131">
        <f>'15-16 NGGT'!J101-'14-15 NGGT'!J99</f>
        <v>0</v>
      </c>
      <c r="K99" s="131">
        <f>'15-16 NGGT'!K101-'14-15 NGGT'!K99</f>
        <v>0</v>
      </c>
      <c r="L99" s="131">
        <f>'15-16 NGGT'!L101-'14-15 NGGT'!L99</f>
        <v>-24.039818744121021</v>
      </c>
      <c r="M99" s="53">
        <f>'15-16 NGGT'!M101-'14-15 NGGT'!M99</f>
        <v>0</v>
      </c>
      <c r="N99" s="53">
        <f>'15-16 NGGT'!N101-'14-15 NGGT'!N99</f>
        <v>-1</v>
      </c>
    </row>
    <row r="100" spans="1:14">
      <c r="C100" s="39"/>
      <c r="D100" s="203"/>
      <c r="E100" s="203"/>
      <c r="F100" s="203"/>
      <c r="G100" s="203"/>
      <c r="H100" s="203"/>
      <c r="I100" s="203"/>
      <c r="J100" s="203"/>
      <c r="K100" s="203"/>
      <c r="L100" s="203"/>
      <c r="M100" s="53"/>
      <c r="N100" s="53"/>
    </row>
    <row r="101" spans="1:14">
      <c r="A101" s="38" t="s">
        <v>409</v>
      </c>
    </row>
    <row r="102" spans="1:14" ht="13.8" thickBot="1">
      <c r="C102" s="38" t="s">
        <v>140</v>
      </c>
    </row>
    <row r="103" spans="1:14" ht="13.8" thickBot="1">
      <c r="C103" s="7" t="s">
        <v>58</v>
      </c>
      <c r="D103" s="8" t="s">
        <v>59</v>
      </c>
      <c r="E103" s="8" t="s">
        <v>60</v>
      </c>
      <c r="F103" s="8" t="s">
        <v>61</v>
      </c>
      <c r="G103" s="8" t="s">
        <v>62</v>
      </c>
      <c r="H103" s="8" t="s">
        <v>63</v>
      </c>
      <c r="I103" s="8" t="s">
        <v>64</v>
      </c>
      <c r="J103" s="8" t="s">
        <v>65</v>
      </c>
      <c r="K103" s="8" t="s">
        <v>66</v>
      </c>
    </row>
    <row r="104" spans="1:14">
      <c r="C104" s="22" t="s">
        <v>91</v>
      </c>
      <c r="D104" s="175">
        <f>'15-16 NGGT'!D106-'14-15 NGGT'!D104</f>
        <v>0</v>
      </c>
      <c r="E104" s="175">
        <f>'15-16 NGGT'!E106-'14-15 NGGT'!E104</f>
        <v>-5.5886664867930449</v>
      </c>
      <c r="F104" s="175">
        <f>'15-16 NGGT'!F106-'14-15 NGGT'!F104</f>
        <v>-4.6619439060114019</v>
      </c>
      <c r="G104" s="175">
        <f>'15-16 NGGT'!G106-'14-15 NGGT'!G104</f>
        <v>-3.7352213252279398</v>
      </c>
      <c r="H104" s="175">
        <f>'15-16 NGGT'!H106-'14-15 NGGT'!H104</f>
        <v>-2.8084987444453873</v>
      </c>
      <c r="I104" s="175">
        <f>'15-16 NGGT'!I106-'14-15 NGGT'!I104</f>
        <v>-1.8817761636637442</v>
      </c>
      <c r="J104" s="175">
        <f>'15-16 NGGT'!J106-'14-15 NGGT'!J104</f>
        <v>-0.95505358288119169</v>
      </c>
      <c r="K104" s="175">
        <f>'15-16 NGGT'!K106-'14-15 NGGT'!K104</f>
        <v>-2.8331002098639146E-2</v>
      </c>
    </row>
    <row r="105" spans="1:14">
      <c r="C105" s="10" t="s">
        <v>86</v>
      </c>
      <c r="D105" s="176">
        <f>'15-16 NGGT'!D107-'14-15 NGGT'!D105</f>
        <v>-5.5886664867923912</v>
      </c>
      <c r="E105" s="176">
        <f>'15-16 NGGT'!E107-'14-15 NGGT'!E105</f>
        <v>0</v>
      </c>
      <c r="F105" s="176">
        <f>'15-16 NGGT'!F107-'14-15 NGGT'!F105</f>
        <v>0</v>
      </c>
      <c r="G105" s="176">
        <f>'15-16 NGGT'!G107-'14-15 NGGT'!G105</f>
        <v>0</v>
      </c>
      <c r="H105" s="176">
        <f>'15-16 NGGT'!H107-'14-15 NGGT'!H105</f>
        <v>0</v>
      </c>
      <c r="I105" s="176">
        <f>'15-16 NGGT'!I107-'14-15 NGGT'!I105</f>
        <v>0</v>
      </c>
      <c r="J105" s="176">
        <f>'15-16 NGGT'!J107-'14-15 NGGT'!J105</f>
        <v>0</v>
      </c>
      <c r="K105" s="176">
        <f>'15-16 NGGT'!K107-'14-15 NGGT'!K105</f>
        <v>0</v>
      </c>
    </row>
    <row r="106" spans="1:14">
      <c r="C106" s="11" t="s">
        <v>87</v>
      </c>
      <c r="D106" s="177">
        <f>'15-16 NGGT'!D108-'14-15 NGGT'!D106</f>
        <v>0</v>
      </c>
      <c r="E106" s="177">
        <f>'15-16 NGGT'!E108-'14-15 NGGT'!E106</f>
        <v>0.92672258078232517</v>
      </c>
      <c r="F106" s="177">
        <f>'15-16 NGGT'!F108-'14-15 NGGT'!F106</f>
        <v>0.9267225807822399</v>
      </c>
      <c r="G106" s="177">
        <f>'15-16 NGGT'!G108-'14-15 NGGT'!G106</f>
        <v>0.92672258078229675</v>
      </c>
      <c r="H106" s="177">
        <f>'15-16 NGGT'!H108-'14-15 NGGT'!H106</f>
        <v>0.92672258078229675</v>
      </c>
      <c r="I106" s="177">
        <f>'15-16 NGGT'!I108-'14-15 NGGT'!I106</f>
        <v>0.92672258078226832</v>
      </c>
      <c r="J106" s="177">
        <f>'15-16 NGGT'!J108-'14-15 NGGT'!J106</f>
        <v>0.92672258078229675</v>
      </c>
      <c r="K106" s="177">
        <f>'15-16 NGGT'!K108-'14-15 NGGT'!K106</f>
        <v>0.92672258078229675</v>
      </c>
    </row>
    <row r="107" spans="1:14" ht="13.8" thickBot="1">
      <c r="C107" s="13" t="s">
        <v>94</v>
      </c>
      <c r="D107" s="178">
        <f>'15-16 NGGT'!D109-'14-15 NGGT'!D107</f>
        <v>-5.5886664867930449</v>
      </c>
      <c r="E107" s="178">
        <f>'15-16 NGGT'!E109-'14-15 NGGT'!E107</f>
        <v>-4.6619439060114019</v>
      </c>
      <c r="F107" s="178">
        <f>'15-16 NGGT'!F109-'14-15 NGGT'!F107</f>
        <v>-3.7352213252279398</v>
      </c>
      <c r="G107" s="178">
        <f>'15-16 NGGT'!G109-'14-15 NGGT'!G107</f>
        <v>-2.8084987444453873</v>
      </c>
      <c r="H107" s="178">
        <f>'15-16 NGGT'!H109-'14-15 NGGT'!H107</f>
        <v>-1.8817761636637442</v>
      </c>
      <c r="I107" s="178">
        <f>'15-16 NGGT'!I109-'14-15 NGGT'!I107</f>
        <v>-0.95505358288119169</v>
      </c>
      <c r="J107" s="178">
        <f>'15-16 NGGT'!J109-'14-15 NGGT'!J107</f>
        <v>-2.8331002098639146E-2</v>
      </c>
      <c r="K107" s="178">
        <f>'15-16 NGGT'!K109-'14-15 NGGT'!K107</f>
        <v>0.89839157868391339</v>
      </c>
    </row>
    <row r="109" spans="1:14" ht="13.8" thickBot="1"/>
    <row r="110" spans="1:14" ht="13.8" thickBot="1">
      <c r="C110" s="7" t="s">
        <v>58</v>
      </c>
      <c r="D110" s="8" t="s">
        <v>59</v>
      </c>
      <c r="E110" s="8" t="s">
        <v>60</v>
      </c>
      <c r="F110" s="8" t="s">
        <v>61</v>
      </c>
      <c r="G110" s="8" t="s">
        <v>62</v>
      </c>
      <c r="H110" s="8" t="s">
        <v>63</v>
      </c>
      <c r="I110" s="8" t="s">
        <v>64</v>
      </c>
      <c r="J110" s="8" t="s">
        <v>65</v>
      </c>
      <c r="K110" s="8" t="s">
        <v>66</v>
      </c>
    </row>
    <row r="111" spans="1:14">
      <c r="C111" s="11" t="s">
        <v>142</v>
      </c>
      <c r="D111" s="171">
        <f>'15-16 NGGT'!D113-'14-15 NGGT'!D111</f>
        <v>0</v>
      </c>
      <c r="E111" s="171">
        <f>'15-16 NGGT'!E113-'14-15 NGGT'!E111</f>
        <v>0</v>
      </c>
      <c r="F111" s="171">
        <f>'15-16 NGGT'!F113-'14-15 NGGT'!F111</f>
        <v>0</v>
      </c>
      <c r="G111" s="171">
        <f>'15-16 NGGT'!G113-'14-15 NGGT'!G111</f>
        <v>0</v>
      </c>
      <c r="H111" s="171">
        <f>'15-16 NGGT'!H113-'14-15 NGGT'!H111</f>
        <v>0</v>
      </c>
      <c r="I111" s="171">
        <f>'15-16 NGGT'!I113-'14-15 NGGT'!I111</f>
        <v>0</v>
      </c>
      <c r="J111" s="171">
        <f>'15-16 NGGT'!J113-'14-15 NGGT'!J111</f>
        <v>0</v>
      </c>
      <c r="K111" s="171">
        <f>'15-16 NGGT'!K113-'14-15 NGGT'!K111</f>
        <v>0</v>
      </c>
    </row>
    <row r="112" spans="1:14" ht="13.8" thickBot="1">
      <c r="C112" s="40" t="s">
        <v>143</v>
      </c>
      <c r="D112" s="174">
        <f>'15-16 NGGT'!D114-'14-15 NGGT'!D112</f>
        <v>0</v>
      </c>
      <c r="E112" s="174">
        <f>'15-16 NGGT'!E114-'14-15 NGGT'!E112</f>
        <v>0</v>
      </c>
      <c r="F112" s="174">
        <f>'15-16 NGGT'!F114-'14-15 NGGT'!F112</f>
        <v>0</v>
      </c>
      <c r="G112" s="174">
        <f>'15-16 NGGT'!G114-'14-15 NGGT'!G112</f>
        <v>0</v>
      </c>
      <c r="H112" s="174">
        <f>'15-16 NGGT'!H114-'14-15 NGGT'!H112</f>
        <v>0</v>
      </c>
      <c r="I112" s="174">
        <f>'15-16 NGGT'!I114-'14-15 NGGT'!I112</f>
        <v>0</v>
      </c>
      <c r="J112" s="174">
        <f>'15-16 NGGT'!J114-'14-15 NGGT'!J112</f>
        <v>0</v>
      </c>
      <c r="K112" s="174">
        <f>'15-16 NGGT'!K114-'14-15 NGGT'!K112</f>
        <v>0</v>
      </c>
    </row>
    <row r="115" spans="1:14" ht="13.8" thickBot="1">
      <c r="C115" s="38" t="s">
        <v>122</v>
      </c>
    </row>
    <row r="116" spans="1:14" ht="13.8" thickBot="1">
      <c r="C116" s="7" t="s">
        <v>58</v>
      </c>
      <c r="D116" s="8" t="s">
        <v>59</v>
      </c>
      <c r="E116" s="8" t="s">
        <v>60</v>
      </c>
      <c r="F116" s="8" t="s">
        <v>61</v>
      </c>
      <c r="G116" s="8" t="s">
        <v>62</v>
      </c>
      <c r="H116" s="8" t="s">
        <v>63</v>
      </c>
      <c r="I116" s="8" t="s">
        <v>64</v>
      </c>
      <c r="J116" s="8" t="s">
        <v>65</v>
      </c>
      <c r="K116" s="8" t="s">
        <v>66</v>
      </c>
    </row>
    <row r="117" spans="1:14">
      <c r="C117" s="22" t="s">
        <v>91</v>
      </c>
      <c r="D117" s="41">
        <f>'15-16 NGGT'!D119-'14-15 NGGT'!D117</f>
        <v>0</v>
      </c>
      <c r="E117" s="41">
        <f>'15-16 NGGT'!E119-'14-15 NGGT'!E117</f>
        <v>-6.652551251022885</v>
      </c>
      <c r="F117" s="41">
        <f>'15-16 NGGT'!F119-'14-15 NGGT'!F117</f>
        <v>-5.7021867865910423</v>
      </c>
      <c r="G117" s="41">
        <f>'15-16 NGGT'!G119-'14-15 NGGT'!G117</f>
        <v>-4.7518223221591995</v>
      </c>
      <c r="H117" s="41">
        <f>'15-16 NGGT'!H119-'14-15 NGGT'!H117</f>
        <v>-3.8014578577273426</v>
      </c>
      <c r="I117" s="41">
        <f>'15-16 NGGT'!I119-'14-15 NGGT'!I117</f>
        <v>-2.8510933932954998</v>
      </c>
      <c r="J117" s="41">
        <f>'15-16 NGGT'!J119-'14-15 NGGT'!J117</f>
        <v>-1.9007289288636713</v>
      </c>
      <c r="K117" s="41">
        <f>'15-16 NGGT'!K119-'14-15 NGGT'!K117</f>
        <v>-0.95036446443182854</v>
      </c>
    </row>
    <row r="118" spans="1:14">
      <c r="C118" s="10" t="s">
        <v>86</v>
      </c>
      <c r="D118" s="42">
        <f>'15-16 NGGT'!D120-'14-15 NGGT'!D118</f>
        <v>-6.6525512510228779</v>
      </c>
      <c r="E118" s="42">
        <f>'15-16 NGGT'!E120-'14-15 NGGT'!E118</f>
        <v>0</v>
      </c>
      <c r="F118" s="42">
        <f>'15-16 NGGT'!F120-'14-15 NGGT'!F118</f>
        <v>0</v>
      </c>
      <c r="G118" s="42">
        <f>'15-16 NGGT'!G120-'14-15 NGGT'!G118</f>
        <v>0</v>
      </c>
      <c r="H118" s="42">
        <f>'15-16 NGGT'!H120-'14-15 NGGT'!H118</f>
        <v>0</v>
      </c>
      <c r="I118" s="42">
        <f>'15-16 NGGT'!I120-'14-15 NGGT'!I118</f>
        <v>0</v>
      </c>
      <c r="J118" s="42">
        <f>'15-16 NGGT'!J120-'14-15 NGGT'!J118</f>
        <v>0</v>
      </c>
      <c r="K118" s="42">
        <f>'15-16 NGGT'!K120-'14-15 NGGT'!K118</f>
        <v>0</v>
      </c>
    </row>
    <row r="119" spans="1:14">
      <c r="C119" s="11" t="s">
        <v>87</v>
      </c>
      <c r="D119" s="43">
        <f>'15-16 NGGT'!D121-'14-15 NGGT'!D119</f>
        <v>0</v>
      </c>
      <c r="E119" s="43">
        <f>'15-16 NGGT'!E121-'14-15 NGGT'!E119</f>
        <v>0.95036446443184097</v>
      </c>
      <c r="F119" s="43">
        <f>'15-16 NGGT'!F121-'14-15 NGGT'!F119</f>
        <v>0.95036446443183564</v>
      </c>
      <c r="G119" s="43">
        <f>'15-16 NGGT'!G121-'14-15 NGGT'!G119</f>
        <v>0.95036446443184275</v>
      </c>
      <c r="H119" s="43">
        <f>'15-16 NGGT'!H121-'14-15 NGGT'!H119</f>
        <v>0.9503644644318392</v>
      </c>
      <c r="I119" s="43">
        <f>'15-16 NGGT'!I121-'14-15 NGGT'!I119</f>
        <v>0.9503644644318392</v>
      </c>
      <c r="J119" s="43">
        <f>'15-16 NGGT'!J121-'14-15 NGGT'!J119</f>
        <v>0.95036446443183564</v>
      </c>
      <c r="K119" s="43">
        <f>'15-16 NGGT'!K121-'14-15 NGGT'!K119</f>
        <v>0.9503644644318392</v>
      </c>
    </row>
    <row r="120" spans="1:14" ht="13.8" thickBot="1">
      <c r="C120" s="13" t="s">
        <v>94</v>
      </c>
      <c r="D120" s="52">
        <f>'15-16 NGGT'!D122-'14-15 NGGT'!D120</f>
        <v>-6.652551251022885</v>
      </c>
      <c r="E120" s="52">
        <f>'15-16 NGGT'!E122-'14-15 NGGT'!E120</f>
        <v>-5.7021867865910423</v>
      </c>
      <c r="F120" s="52">
        <f>'15-16 NGGT'!F122-'14-15 NGGT'!F120</f>
        <v>-4.7518223221591995</v>
      </c>
      <c r="G120" s="52">
        <f>'15-16 NGGT'!G122-'14-15 NGGT'!G120</f>
        <v>-3.8014578577273426</v>
      </c>
      <c r="H120" s="52">
        <f>'15-16 NGGT'!H122-'14-15 NGGT'!H120</f>
        <v>-2.8510933932954998</v>
      </c>
      <c r="I120" s="52">
        <f>'15-16 NGGT'!I122-'14-15 NGGT'!I120</f>
        <v>-1.9007289288636713</v>
      </c>
      <c r="J120" s="52">
        <f>'15-16 NGGT'!J122-'14-15 NGGT'!J120</f>
        <v>-0.95036446443182854</v>
      </c>
      <c r="K120" s="52">
        <f>'15-16 NGGT'!K122-'14-15 NGGT'!K120</f>
        <v>0</v>
      </c>
    </row>
    <row r="122" spans="1:14">
      <c r="A122" s="38" t="s">
        <v>402</v>
      </c>
    </row>
    <row r="123" spans="1:14" ht="13.8" thickBot="1">
      <c r="C123" s="38" t="s">
        <v>395</v>
      </c>
    </row>
    <row r="124" spans="1:14" ht="13.8" thickBot="1">
      <c r="C124" s="14" t="s">
        <v>58</v>
      </c>
      <c r="D124" s="15" t="s">
        <v>59</v>
      </c>
      <c r="E124" s="15" t="s">
        <v>60</v>
      </c>
      <c r="F124" s="15" t="s">
        <v>61</v>
      </c>
      <c r="G124" s="15" t="s">
        <v>62</v>
      </c>
      <c r="H124" s="15" t="s">
        <v>63</v>
      </c>
      <c r="I124" s="15" t="s">
        <v>64</v>
      </c>
      <c r="J124" s="15" t="s">
        <v>65</v>
      </c>
      <c r="K124" s="15" t="s">
        <v>66</v>
      </c>
      <c r="L124" s="15" t="s">
        <v>118</v>
      </c>
    </row>
    <row r="125" spans="1:14">
      <c r="C125" s="16"/>
      <c r="D125" s="26"/>
      <c r="E125" s="26"/>
      <c r="F125" s="26"/>
      <c r="G125" s="26"/>
      <c r="H125" s="26"/>
      <c r="I125" s="26"/>
      <c r="J125" s="26"/>
      <c r="K125" s="26"/>
      <c r="L125" s="26"/>
    </row>
    <row r="126" spans="1:14">
      <c r="A126" t="s">
        <v>338</v>
      </c>
      <c r="C126" s="17" t="s">
        <v>119</v>
      </c>
      <c r="D126" s="27">
        <f>'15-16 NGGT'!D128-'14-15 NGGT'!D126</f>
        <v>0</v>
      </c>
      <c r="E126" s="27">
        <f>'15-16 NGGT'!E128-'14-15 NGGT'!E126</f>
        <v>0</v>
      </c>
      <c r="F126" s="27">
        <f>'15-16 NGGT'!F128-'14-15 NGGT'!F126</f>
        <v>0</v>
      </c>
      <c r="G126" s="27">
        <f>'15-16 NGGT'!G128-'14-15 NGGT'!G126</f>
        <v>0</v>
      </c>
      <c r="H126" s="27">
        <f>'15-16 NGGT'!H128-'14-15 NGGT'!H126</f>
        <v>0</v>
      </c>
      <c r="I126" s="27">
        <f>'15-16 NGGT'!I128-'14-15 NGGT'!I126</f>
        <v>0</v>
      </c>
      <c r="J126" s="27">
        <f>'15-16 NGGT'!J128-'14-15 NGGT'!J126</f>
        <v>0</v>
      </c>
      <c r="K126" s="27">
        <f>'15-16 NGGT'!K128-'14-15 NGGT'!K126</f>
        <v>0</v>
      </c>
      <c r="L126" s="28">
        <f>'15-16 NGGT'!L128-'14-15 NGGT'!L126</f>
        <v>0</v>
      </c>
      <c r="N126" s="53">
        <f>'15-16 NGGT'!N128-'14-15 NGGT'!N126</f>
        <v>0</v>
      </c>
    </row>
    <row r="127" spans="1:14">
      <c r="C127" s="18" t="s">
        <v>396</v>
      </c>
      <c r="D127" s="29">
        <f>'15-16 NGGT'!D129-'14-15 NGGT'!D127</f>
        <v>0</v>
      </c>
      <c r="E127" s="29">
        <f>'15-16 NGGT'!E129-'14-15 NGGT'!E127</f>
        <v>0</v>
      </c>
      <c r="F127" s="29">
        <f>'15-16 NGGT'!F129-'14-15 NGGT'!F127</f>
        <v>0</v>
      </c>
      <c r="G127" s="29">
        <f>'15-16 NGGT'!G129-'14-15 NGGT'!G127</f>
        <v>0</v>
      </c>
      <c r="H127" s="29">
        <f>'15-16 NGGT'!H129-'14-15 NGGT'!H127</f>
        <v>0</v>
      </c>
      <c r="I127" s="29">
        <f>'15-16 NGGT'!I129-'14-15 NGGT'!I127</f>
        <v>0</v>
      </c>
      <c r="J127" s="29">
        <f>'15-16 NGGT'!J129-'14-15 NGGT'!J127</f>
        <v>0</v>
      </c>
      <c r="K127" s="29">
        <f>'15-16 NGGT'!K129-'14-15 NGGT'!K127</f>
        <v>0</v>
      </c>
      <c r="L127" s="30">
        <f>'15-16 NGGT'!L129-'14-15 NGGT'!L127</f>
        <v>0</v>
      </c>
      <c r="N127" s="53">
        <f>'15-16 NGGT'!N129-'14-15 NGGT'!N127</f>
        <v>0</v>
      </c>
    </row>
    <row r="128" spans="1:14">
      <c r="C128" s="19" t="s">
        <v>71</v>
      </c>
      <c r="D128" s="31">
        <f>'15-16 NGGT'!D130-'14-15 NGGT'!D128</f>
        <v>0</v>
      </c>
      <c r="E128" s="31">
        <f>'15-16 NGGT'!E130-'14-15 NGGT'!E128</f>
        <v>0</v>
      </c>
      <c r="F128" s="31">
        <f>'15-16 NGGT'!F130-'14-15 NGGT'!F128</f>
        <v>0</v>
      </c>
      <c r="G128" s="31">
        <f>'15-16 NGGT'!G130-'14-15 NGGT'!G128</f>
        <v>0</v>
      </c>
      <c r="H128" s="31">
        <f>'15-16 NGGT'!H130-'14-15 NGGT'!H128</f>
        <v>0</v>
      </c>
      <c r="I128" s="31">
        <f>'15-16 NGGT'!I130-'14-15 NGGT'!I128</f>
        <v>0</v>
      </c>
      <c r="J128" s="31">
        <f>'15-16 NGGT'!J130-'14-15 NGGT'!J128</f>
        <v>0</v>
      </c>
      <c r="K128" s="31">
        <f>'15-16 NGGT'!K130-'14-15 NGGT'!K128</f>
        <v>0</v>
      </c>
      <c r="L128" s="28">
        <f>'15-16 NGGT'!L130-'14-15 NGGT'!L128</f>
        <v>0</v>
      </c>
    </row>
    <row r="129" spans="1:16">
      <c r="A129" t="s">
        <v>346</v>
      </c>
      <c r="C129" s="17" t="s">
        <v>121</v>
      </c>
      <c r="D129" s="27">
        <f>'15-16 NGGT'!D131-'14-15 NGGT'!D129</f>
        <v>-23.181789721870004</v>
      </c>
      <c r="E129" s="27">
        <f>'15-16 NGGT'!E131-'14-15 NGGT'!E129</f>
        <v>0</v>
      </c>
      <c r="F129" s="27">
        <f>'15-16 NGGT'!F131-'14-15 NGGT'!F129</f>
        <v>0</v>
      </c>
      <c r="G129" s="27">
        <f>'15-16 NGGT'!G131-'14-15 NGGT'!G129</f>
        <v>0</v>
      </c>
      <c r="H129" s="27">
        <f>'15-16 NGGT'!H131-'14-15 NGGT'!H129</f>
        <v>0</v>
      </c>
      <c r="I129" s="27">
        <f>'15-16 NGGT'!I131-'14-15 NGGT'!I129</f>
        <v>0</v>
      </c>
      <c r="J129" s="27">
        <f>'15-16 NGGT'!J131-'14-15 NGGT'!J129</f>
        <v>0</v>
      </c>
      <c r="K129" s="27">
        <f>'15-16 NGGT'!K131-'14-15 NGGT'!K129</f>
        <v>0</v>
      </c>
      <c r="L129" s="28">
        <f>'15-16 NGGT'!L131-'14-15 NGGT'!L129</f>
        <v>-23.18178972186999</v>
      </c>
      <c r="N129" s="53"/>
      <c r="P129" s="53"/>
    </row>
    <row r="130" spans="1:16">
      <c r="C130" s="18" t="s">
        <v>387</v>
      </c>
      <c r="D130" s="29">
        <f>'15-16 NGGT'!D132-'14-15 NGGT'!D130</f>
        <v>-8.787675878636648</v>
      </c>
      <c r="E130" s="29">
        <f>'15-16 NGGT'!E132-'14-15 NGGT'!E130</f>
        <v>0</v>
      </c>
      <c r="F130" s="29">
        <f>'15-16 NGGT'!F132-'14-15 NGGT'!F130</f>
        <v>0</v>
      </c>
      <c r="G130" s="29">
        <f>'15-16 NGGT'!G132-'14-15 NGGT'!G130</f>
        <v>0</v>
      </c>
      <c r="H130" s="29">
        <f>'15-16 NGGT'!H132-'14-15 NGGT'!H130</f>
        <v>0</v>
      </c>
      <c r="I130" s="29">
        <f>'15-16 NGGT'!I132-'14-15 NGGT'!I130</f>
        <v>0</v>
      </c>
      <c r="J130" s="29">
        <f>'15-16 NGGT'!J132-'14-15 NGGT'!J130</f>
        <v>0</v>
      </c>
      <c r="K130" s="29">
        <f>'15-16 NGGT'!K132-'14-15 NGGT'!K130</f>
        <v>0</v>
      </c>
      <c r="L130" s="30">
        <f>'15-16 NGGT'!L132-'14-15 NGGT'!L130</f>
        <v>-8.7876758786366054</v>
      </c>
      <c r="N130" s="53"/>
      <c r="P130" s="53"/>
    </row>
    <row r="131" spans="1:16">
      <c r="C131" s="19" t="s">
        <v>77</v>
      </c>
      <c r="D131" s="31">
        <f>'15-16 NGGT'!D133-'14-15 NGGT'!D131</f>
        <v>-31.969465600506645</v>
      </c>
      <c r="E131" s="31">
        <f>'15-16 NGGT'!E133-'14-15 NGGT'!E131</f>
        <v>0</v>
      </c>
      <c r="F131" s="31">
        <f>'15-16 NGGT'!F133-'14-15 NGGT'!F131</f>
        <v>0</v>
      </c>
      <c r="G131" s="31">
        <f>'15-16 NGGT'!G133-'14-15 NGGT'!G131</f>
        <v>0</v>
      </c>
      <c r="H131" s="31">
        <f>'15-16 NGGT'!H133-'14-15 NGGT'!H131</f>
        <v>0</v>
      </c>
      <c r="I131" s="31">
        <f>'15-16 NGGT'!I133-'14-15 NGGT'!I131</f>
        <v>0</v>
      </c>
      <c r="J131" s="31">
        <f>'15-16 NGGT'!J133-'14-15 NGGT'!J131</f>
        <v>0</v>
      </c>
      <c r="K131" s="31">
        <f>'15-16 NGGT'!K133-'14-15 NGGT'!K131</f>
        <v>0</v>
      </c>
      <c r="L131" s="28">
        <f>'15-16 NGGT'!L133-'14-15 NGGT'!L131</f>
        <v>-31.969465600506737</v>
      </c>
    </row>
    <row r="132" spans="1:16">
      <c r="A132" t="s">
        <v>233</v>
      </c>
      <c r="C132" s="17" t="s">
        <v>388</v>
      </c>
      <c r="D132" s="27">
        <f>'15-16 NGGT'!D134-'14-15 NGGT'!D132</f>
        <v>-12.89834780124847</v>
      </c>
      <c r="E132" s="27">
        <f>'15-16 NGGT'!E134-'14-15 NGGT'!E132</f>
        <v>0</v>
      </c>
      <c r="F132" s="27">
        <f>'15-16 NGGT'!F134-'14-15 NGGT'!F132</f>
        <v>0</v>
      </c>
      <c r="G132" s="27">
        <f>'15-16 NGGT'!G134-'14-15 NGGT'!G132</f>
        <v>0</v>
      </c>
      <c r="H132" s="27">
        <f>'15-16 NGGT'!H134-'14-15 NGGT'!H132</f>
        <v>0</v>
      </c>
      <c r="I132" s="27">
        <f>'15-16 NGGT'!I134-'14-15 NGGT'!I132</f>
        <v>0</v>
      </c>
      <c r="J132" s="27">
        <f>'15-16 NGGT'!J134-'14-15 NGGT'!J132</f>
        <v>0</v>
      </c>
      <c r="K132" s="27">
        <f>'15-16 NGGT'!K134-'14-15 NGGT'!K132</f>
        <v>0</v>
      </c>
      <c r="L132" s="28">
        <f>'15-16 NGGT'!L134-'14-15 NGGT'!L132</f>
        <v>-12.898347801248462</v>
      </c>
      <c r="N132" s="53"/>
      <c r="P132" s="53"/>
    </row>
    <row r="133" spans="1:16">
      <c r="C133" s="18" t="s">
        <v>389</v>
      </c>
      <c r="D133" s="29">
        <f>'15-16 NGGT'!D135-'14-15 NGGT'!D133</f>
        <v>-4.8894628588734292</v>
      </c>
      <c r="E133" s="29">
        <f>'15-16 NGGT'!E135-'14-15 NGGT'!E133</f>
        <v>0</v>
      </c>
      <c r="F133" s="29">
        <f>'15-16 NGGT'!F135-'14-15 NGGT'!F133</f>
        <v>0</v>
      </c>
      <c r="G133" s="29">
        <f>'15-16 NGGT'!G135-'14-15 NGGT'!G133</f>
        <v>0</v>
      </c>
      <c r="H133" s="29">
        <f>'15-16 NGGT'!H135-'14-15 NGGT'!H133</f>
        <v>0</v>
      </c>
      <c r="I133" s="29">
        <f>'15-16 NGGT'!I135-'14-15 NGGT'!I133</f>
        <v>0</v>
      </c>
      <c r="J133" s="29">
        <f>'15-16 NGGT'!J135-'14-15 NGGT'!J133</f>
        <v>0</v>
      </c>
      <c r="K133" s="29">
        <f>'15-16 NGGT'!K135-'14-15 NGGT'!K133</f>
        <v>0</v>
      </c>
      <c r="L133" s="30">
        <f>'15-16 NGGT'!L135-'14-15 NGGT'!L133</f>
        <v>-4.8894628588734008</v>
      </c>
      <c r="N133" s="53"/>
      <c r="P133" s="53"/>
    </row>
    <row r="134" spans="1:16">
      <c r="C134" s="19" t="s">
        <v>78</v>
      </c>
      <c r="D134" s="31">
        <f>'15-16 NGGT'!D136-'14-15 NGGT'!D134</f>
        <v>-17.787810660121892</v>
      </c>
      <c r="E134" s="31">
        <f>'15-16 NGGT'!E136-'14-15 NGGT'!E134</f>
        <v>0</v>
      </c>
      <c r="F134" s="31">
        <f>'15-16 NGGT'!F136-'14-15 NGGT'!F134</f>
        <v>0</v>
      </c>
      <c r="G134" s="31">
        <f>'15-16 NGGT'!G136-'14-15 NGGT'!G134</f>
        <v>0</v>
      </c>
      <c r="H134" s="31">
        <f>'15-16 NGGT'!H136-'14-15 NGGT'!H134</f>
        <v>0</v>
      </c>
      <c r="I134" s="31">
        <f>'15-16 NGGT'!I136-'14-15 NGGT'!I134</f>
        <v>0</v>
      </c>
      <c r="J134" s="31">
        <f>'15-16 NGGT'!J136-'14-15 NGGT'!J134</f>
        <v>0</v>
      </c>
      <c r="K134" s="31">
        <f>'15-16 NGGT'!K136-'14-15 NGGT'!K134</f>
        <v>0</v>
      </c>
      <c r="L134" s="28">
        <f>'15-16 NGGT'!L136-'14-15 NGGT'!L134</f>
        <v>-17.787810660121977</v>
      </c>
    </row>
    <row r="135" spans="1:16">
      <c r="C135" s="20"/>
      <c r="D135" s="32"/>
      <c r="E135" s="32"/>
      <c r="F135" s="32"/>
      <c r="G135" s="32"/>
      <c r="H135" s="32"/>
      <c r="I135" s="32"/>
      <c r="J135" s="32"/>
      <c r="K135" s="32"/>
      <c r="L135" s="33"/>
    </row>
    <row r="136" spans="1:16">
      <c r="C136" s="17" t="s">
        <v>79</v>
      </c>
      <c r="D136" s="27">
        <f>'15-16 NGGT'!D138-'14-15 NGGT'!D136</f>
        <v>-11.135169473236303</v>
      </c>
      <c r="E136" s="27">
        <f>'15-16 NGGT'!E138-'14-15 NGGT'!E136</f>
        <v>0</v>
      </c>
      <c r="F136" s="27">
        <f>'15-16 NGGT'!F138-'14-15 NGGT'!F136</f>
        <v>0</v>
      </c>
      <c r="G136" s="27">
        <f>'15-16 NGGT'!G138-'14-15 NGGT'!G136</f>
        <v>0</v>
      </c>
      <c r="H136" s="27">
        <f>'15-16 NGGT'!H138-'14-15 NGGT'!H136</f>
        <v>0</v>
      </c>
      <c r="I136" s="27">
        <f>'15-16 NGGT'!I138-'14-15 NGGT'!I136</f>
        <v>0</v>
      </c>
      <c r="J136" s="27">
        <f>'15-16 NGGT'!J138-'14-15 NGGT'!J136</f>
        <v>0</v>
      </c>
      <c r="K136" s="27">
        <f>'15-16 NGGT'!K138-'14-15 NGGT'!K136</f>
        <v>0</v>
      </c>
      <c r="L136" s="28">
        <f>'15-16 NGGT'!L138-'14-15 NGGT'!L136</f>
        <v>-11.13516947323626</v>
      </c>
    </row>
    <row r="137" spans="1:16">
      <c r="C137" s="18" t="s">
        <v>80</v>
      </c>
      <c r="D137" s="29">
        <f>'15-16 NGGT'!D139-'14-15 NGGT'!D137</f>
        <v>-6.6526411868855888</v>
      </c>
      <c r="E137" s="29">
        <f>'15-16 NGGT'!E139-'14-15 NGGT'!E137</f>
        <v>0</v>
      </c>
      <c r="F137" s="29">
        <f>'15-16 NGGT'!F139-'14-15 NGGT'!F137</f>
        <v>0</v>
      </c>
      <c r="G137" s="29">
        <f>'15-16 NGGT'!G139-'14-15 NGGT'!G137</f>
        <v>0</v>
      </c>
      <c r="H137" s="29">
        <f>'15-16 NGGT'!H139-'14-15 NGGT'!H137</f>
        <v>0</v>
      </c>
      <c r="I137" s="29">
        <f>'15-16 NGGT'!I139-'14-15 NGGT'!I137</f>
        <v>0</v>
      </c>
      <c r="J137" s="29">
        <f>'15-16 NGGT'!J139-'14-15 NGGT'!J137</f>
        <v>0</v>
      </c>
      <c r="K137" s="29">
        <f>'15-16 NGGT'!K139-'14-15 NGGT'!K137</f>
        <v>0</v>
      </c>
      <c r="L137" s="30">
        <f>'15-16 NGGT'!L139-'14-15 NGGT'!L137</f>
        <v>-6.652641186885603</v>
      </c>
    </row>
    <row r="138" spans="1:16" ht="13.8" thickBot="1">
      <c r="C138" s="21" t="s">
        <v>390</v>
      </c>
      <c r="D138" s="34">
        <f>'15-16 NGGT'!D140-'14-15 NGGT'!D138</f>
        <v>-17.787810660121892</v>
      </c>
      <c r="E138" s="34">
        <f>'15-16 NGGT'!E140-'14-15 NGGT'!E138</f>
        <v>0</v>
      </c>
      <c r="F138" s="34">
        <f>'15-16 NGGT'!F140-'14-15 NGGT'!F138</f>
        <v>0</v>
      </c>
      <c r="G138" s="34">
        <f>'15-16 NGGT'!G140-'14-15 NGGT'!G138</f>
        <v>0</v>
      </c>
      <c r="H138" s="34">
        <f>'15-16 NGGT'!H140-'14-15 NGGT'!H138</f>
        <v>0</v>
      </c>
      <c r="I138" s="34">
        <f>'15-16 NGGT'!I140-'14-15 NGGT'!I138</f>
        <v>0</v>
      </c>
      <c r="J138" s="34">
        <f>'15-16 NGGT'!J140-'14-15 NGGT'!J138</f>
        <v>0</v>
      </c>
      <c r="K138" s="34">
        <f>'15-16 NGGT'!K140-'14-15 NGGT'!K138</f>
        <v>0</v>
      </c>
      <c r="L138" s="35">
        <f>'15-16 NGGT'!L140-'14-15 NGGT'!L138</f>
        <v>-17.787810660121863</v>
      </c>
    </row>
    <row r="140" spans="1:16" ht="13.8" thickBot="1">
      <c r="A140" s="38" t="s">
        <v>410</v>
      </c>
    </row>
    <row r="141" spans="1:16" ht="13.8" thickBot="1">
      <c r="C141" s="7" t="s">
        <v>58</v>
      </c>
      <c r="D141" s="8" t="s">
        <v>59</v>
      </c>
      <c r="E141" s="8" t="s">
        <v>60</v>
      </c>
      <c r="F141" s="8" t="s">
        <v>61</v>
      </c>
      <c r="G141" s="8" t="s">
        <v>62</v>
      </c>
      <c r="H141" s="8" t="s">
        <v>63</v>
      </c>
      <c r="I141" s="8" t="s">
        <v>64</v>
      </c>
      <c r="J141" s="8" t="s">
        <v>65</v>
      </c>
      <c r="K141" s="8" t="s">
        <v>66</v>
      </c>
    </row>
    <row r="142" spans="1:16">
      <c r="C142" s="10" t="s">
        <v>79</v>
      </c>
      <c r="D142" s="42">
        <f>'15-16 NGGT'!D144-'14-15 NGGT'!D142</f>
        <v>-11.135169473236303</v>
      </c>
      <c r="E142" s="42">
        <f>'15-16 NGGT'!E144-'14-15 NGGT'!E142</f>
        <v>0</v>
      </c>
      <c r="F142" s="42">
        <f>'15-16 NGGT'!F144-'14-15 NGGT'!F142</f>
        <v>0</v>
      </c>
      <c r="G142" s="42">
        <f>'15-16 NGGT'!G144-'14-15 NGGT'!G142</f>
        <v>0</v>
      </c>
      <c r="H142" s="42">
        <f>'15-16 NGGT'!H144-'14-15 NGGT'!H142</f>
        <v>0</v>
      </c>
      <c r="I142" s="42">
        <f>'15-16 NGGT'!I144-'14-15 NGGT'!I142</f>
        <v>0</v>
      </c>
      <c r="J142" s="42">
        <f>'15-16 NGGT'!J144-'14-15 NGGT'!J142</f>
        <v>0</v>
      </c>
      <c r="K142" s="42">
        <f>'15-16 NGGT'!K144-'14-15 NGGT'!K142</f>
        <v>0</v>
      </c>
    </row>
    <row r="143" spans="1:16">
      <c r="C143" s="11" t="s">
        <v>98</v>
      </c>
      <c r="D143" s="43">
        <f>'15-16 NGGT'!D145-'14-15 NGGT'!D143</f>
        <v>0</v>
      </c>
      <c r="E143" s="43">
        <f>'15-16 NGGT'!E145-'14-15 NGGT'!E143</f>
        <v>0</v>
      </c>
      <c r="F143" s="43">
        <f>'15-16 NGGT'!F145-'14-15 NGGT'!F143</f>
        <v>0</v>
      </c>
      <c r="G143" s="43">
        <f>'15-16 NGGT'!G145-'14-15 NGGT'!G143</f>
        <v>0</v>
      </c>
      <c r="H143" s="43">
        <f>'15-16 NGGT'!H145-'14-15 NGGT'!H143</f>
        <v>0</v>
      </c>
      <c r="I143" s="43">
        <f>'15-16 NGGT'!I145-'14-15 NGGT'!I143</f>
        <v>0</v>
      </c>
      <c r="J143" s="43">
        <f>'15-16 NGGT'!J145-'14-15 NGGT'!J143</f>
        <v>0</v>
      </c>
      <c r="K143" s="43">
        <f>'15-16 NGGT'!K145-'14-15 NGGT'!K143</f>
        <v>0</v>
      </c>
    </row>
    <row r="144" spans="1:16">
      <c r="C144" s="11" t="s">
        <v>100</v>
      </c>
      <c r="D144" s="43">
        <f>'15-16 NGGT'!D146-'14-15 NGGT'!D144</f>
        <v>0</v>
      </c>
      <c r="E144" s="43">
        <f>'15-16 NGGT'!E146-'14-15 NGGT'!E144</f>
        <v>0</v>
      </c>
      <c r="F144" s="43">
        <f>'15-16 NGGT'!F146-'14-15 NGGT'!F144</f>
        <v>0</v>
      </c>
      <c r="G144" s="43">
        <f>'15-16 NGGT'!G146-'14-15 NGGT'!G144</f>
        <v>0</v>
      </c>
      <c r="H144" s="43">
        <f>'15-16 NGGT'!H146-'14-15 NGGT'!H144</f>
        <v>0</v>
      </c>
      <c r="I144" s="43">
        <f>'15-16 NGGT'!I146-'14-15 NGGT'!I144</f>
        <v>0</v>
      </c>
      <c r="J144" s="43">
        <f>'15-16 NGGT'!J146-'14-15 NGGT'!J144</f>
        <v>0</v>
      </c>
      <c r="K144" s="43">
        <f>'15-16 NGGT'!K146-'14-15 NGGT'!K144</f>
        <v>0</v>
      </c>
    </row>
    <row r="145" spans="3:11">
      <c r="C145" s="10" t="s">
        <v>101</v>
      </c>
      <c r="D145" s="42">
        <f>'15-16 NGGT'!D147-'14-15 NGGT'!D145</f>
        <v>0</v>
      </c>
      <c r="E145" s="42">
        <f>'15-16 NGGT'!E147-'14-15 NGGT'!E145</f>
        <v>0</v>
      </c>
      <c r="F145" s="42">
        <f>'15-16 NGGT'!F147-'14-15 NGGT'!F145</f>
        <v>0</v>
      </c>
      <c r="G145" s="42">
        <f>'15-16 NGGT'!G147-'14-15 NGGT'!G145</f>
        <v>0</v>
      </c>
      <c r="H145" s="42">
        <f>'15-16 NGGT'!H147-'14-15 NGGT'!H145</f>
        <v>0</v>
      </c>
      <c r="I145" s="42">
        <f>'15-16 NGGT'!I147-'14-15 NGGT'!I145</f>
        <v>0</v>
      </c>
      <c r="J145" s="42">
        <f>'15-16 NGGT'!J147-'14-15 NGGT'!J145</f>
        <v>0</v>
      </c>
      <c r="K145" s="42">
        <f>'15-16 NGGT'!K147-'14-15 NGGT'!K145</f>
        <v>0</v>
      </c>
    </row>
    <row r="146" spans="3:11">
      <c r="C146" s="11" t="s">
        <v>102</v>
      </c>
      <c r="D146" s="43">
        <f>'15-16 NGGT'!D148-'14-15 NGGT'!D146</f>
        <v>0.50611659114416574</v>
      </c>
      <c r="E146" s="43">
        <f>'15-16 NGGT'!E148-'14-15 NGGT'!E146</f>
        <v>0.25832317080146983</v>
      </c>
      <c r="F146" s="43">
        <f>'15-16 NGGT'!F148-'14-15 NGGT'!F146</f>
        <v>0</v>
      </c>
      <c r="G146" s="43">
        <f>'15-16 NGGT'!G148-'14-15 NGGT'!G146</f>
        <v>0</v>
      </c>
      <c r="H146" s="43">
        <f>'15-16 NGGT'!H148-'14-15 NGGT'!H146</f>
        <v>0</v>
      </c>
      <c r="I146" s="43">
        <f>'15-16 NGGT'!I148-'14-15 NGGT'!I146</f>
        <v>0</v>
      </c>
      <c r="J146" s="43">
        <f>'15-16 NGGT'!J148-'14-15 NGGT'!J146</f>
        <v>0</v>
      </c>
      <c r="K146" s="43">
        <f>'15-16 NGGT'!K148-'14-15 NGGT'!K146</f>
        <v>0.42538833372651164</v>
      </c>
    </row>
    <row r="147" spans="3:11">
      <c r="C147" s="10" t="s">
        <v>103</v>
      </c>
      <c r="D147" s="42">
        <f>'15-16 NGGT'!D149-'14-15 NGGT'!D147</f>
        <v>-0.13942472681784324</v>
      </c>
      <c r="E147" s="42">
        <f>'15-16 NGGT'!E149-'14-15 NGGT'!E147</f>
        <v>-1.2079628036624186</v>
      </c>
      <c r="F147" s="42">
        <f>'15-16 NGGT'!F149-'14-15 NGGT'!F147</f>
        <v>-1.2562306965848578</v>
      </c>
      <c r="G147" s="42">
        <f>'15-16 NGGT'!G149-'14-15 NGGT'!G147</f>
        <v>-1.2276068727220846</v>
      </c>
      <c r="H147" s="42">
        <f>'15-16 NGGT'!H149-'14-15 NGGT'!H147</f>
        <v>-1.1956859954413162</v>
      </c>
      <c r="I147" s="42">
        <f>'15-16 NGGT'!I149-'14-15 NGGT'!I147</f>
        <v>-1.1593674516603905</v>
      </c>
      <c r="J147" s="42">
        <f>'15-16 NGGT'!J149-'14-15 NGGT'!J147</f>
        <v>-1.1196335105164152</v>
      </c>
      <c r="K147" s="42">
        <f>'15-16 NGGT'!K149-'14-15 NGGT'!K147</f>
        <v>-1.0785774509878401</v>
      </c>
    </row>
    <row r="148" spans="3:11">
      <c r="C148" s="11" t="s">
        <v>104</v>
      </c>
      <c r="D148" s="43">
        <f>'15-16 NGGT'!D150-'14-15 NGGT'!D148</f>
        <v>4.3979251991068981E-2</v>
      </c>
      <c r="E148" s="43">
        <f>'15-16 NGGT'!E150-'14-15 NGGT'!E148</f>
        <v>4.5986225646186339E-2</v>
      </c>
      <c r="F148" s="43">
        <f>'15-16 NGGT'!F150-'14-15 NGGT'!F148</f>
        <v>0.72443148910837341</v>
      </c>
      <c r="G148" s="43">
        <f>'15-16 NGGT'!G150-'14-15 NGGT'!G148</f>
        <v>0.72671887171002247</v>
      </c>
      <c r="H148" s="43">
        <f>'15-16 NGGT'!H150-'14-15 NGGT'!H148</f>
        <v>0.72911376533658823</v>
      </c>
      <c r="I148" s="43">
        <f>'15-16 NGGT'!I150-'14-15 NGGT'!I148</f>
        <v>0.73162118109368124</v>
      </c>
      <c r="J148" s="43">
        <f>'15-16 NGGT'!J150-'14-15 NGGT'!J148</f>
        <v>0.73424636203433957</v>
      </c>
      <c r="K148" s="43">
        <f>'15-16 NGGT'!K150-'14-15 NGGT'!K148</f>
        <v>0.73699479383217226</v>
      </c>
    </row>
    <row r="149" spans="3:11">
      <c r="C149" s="12" t="s">
        <v>105</v>
      </c>
      <c r="D149" s="50">
        <f>'15-16 NGGT'!D151-'14-15 NGGT'!D149</f>
        <v>-10.724498356918907</v>
      </c>
      <c r="E149" s="50">
        <f>'15-16 NGGT'!E151-'14-15 NGGT'!E149</f>
        <v>-0.90365340721476173</v>
      </c>
      <c r="F149" s="50">
        <f>'15-16 NGGT'!F151-'14-15 NGGT'!F149</f>
        <v>-0.53179920747649589</v>
      </c>
      <c r="G149" s="50">
        <f>'15-16 NGGT'!G151-'14-15 NGGT'!G149</f>
        <v>-0.50088800101205777</v>
      </c>
      <c r="H149" s="50">
        <f>'15-16 NGGT'!H151-'14-15 NGGT'!H149</f>
        <v>-0.46657223010473103</v>
      </c>
      <c r="I149" s="50">
        <f>'15-16 NGGT'!I151-'14-15 NGGT'!I149</f>
        <v>-0.42774627056670056</v>
      </c>
      <c r="J149" s="50">
        <f>'15-16 NGGT'!J151-'14-15 NGGT'!J149</f>
        <v>-0.38538714848208144</v>
      </c>
      <c r="K149" s="50">
        <f>'15-16 NGGT'!K151-'14-15 NGGT'!K149</f>
        <v>8.3805676570833043E-2</v>
      </c>
    </row>
    <row r="150" spans="3:11">
      <c r="C150" s="11" t="s">
        <v>277</v>
      </c>
      <c r="D150" s="43">
        <f>'15-16 NGGT'!D152-'14-15 NGGT'!D150</f>
        <v>0</v>
      </c>
      <c r="E150" s="43">
        <f>'15-16 NGGT'!E152-'14-15 NGGT'!E150</f>
        <v>0</v>
      </c>
      <c r="F150" s="43">
        <f>'15-16 NGGT'!F152-'14-15 NGGT'!F150</f>
        <v>0</v>
      </c>
      <c r="G150" s="43">
        <f>'15-16 NGGT'!G152-'14-15 NGGT'!G150</f>
        <v>0</v>
      </c>
      <c r="H150" s="43">
        <f>'15-16 NGGT'!H152-'14-15 NGGT'!H150</f>
        <v>0</v>
      </c>
      <c r="I150" s="43">
        <f>'15-16 NGGT'!I152-'14-15 NGGT'!I150</f>
        <v>0</v>
      </c>
      <c r="J150" s="43">
        <f>'15-16 NGGT'!J152-'14-15 NGGT'!J150</f>
        <v>0</v>
      </c>
      <c r="K150" s="43">
        <f>'15-16 NGGT'!K152-'14-15 NGGT'!K150</f>
        <v>0</v>
      </c>
    </row>
    <row r="151" spans="3:11" ht="13.8" thickBot="1">
      <c r="C151" s="13" t="s">
        <v>107</v>
      </c>
      <c r="D151" s="52">
        <f>'15-16 NGGT'!D153-'14-15 NGGT'!D151</f>
        <v>-10.7244983569189</v>
      </c>
      <c r="E151" s="52">
        <f>'15-16 NGGT'!E153-'14-15 NGGT'!E151</f>
        <v>-0.90365340721476173</v>
      </c>
      <c r="F151" s="52">
        <f>'15-16 NGGT'!F153-'14-15 NGGT'!F151</f>
        <v>-0.53179920747646747</v>
      </c>
      <c r="G151" s="52">
        <f>'15-16 NGGT'!G153-'14-15 NGGT'!G151</f>
        <v>-0.50088800101207198</v>
      </c>
      <c r="H151" s="52">
        <f>'15-16 NGGT'!H153-'14-15 NGGT'!H151</f>
        <v>-0.46657223010473103</v>
      </c>
      <c r="I151" s="52">
        <f>'15-16 NGGT'!I153-'14-15 NGGT'!I151</f>
        <v>-0.42774627056670056</v>
      </c>
      <c r="J151" s="52">
        <f>'15-16 NGGT'!J153-'14-15 NGGT'!J151</f>
        <v>-0.38538714848208144</v>
      </c>
      <c r="K151" s="52">
        <f>'15-16 NGGT'!K153-'14-15 NGGT'!K151</f>
        <v>8.3805676570833043E-2</v>
      </c>
    </row>
    <row r="153" spans="3:11">
      <c r="E153" s="53" t="s">
        <v>397</v>
      </c>
      <c r="F153" s="53">
        <f>D151*1.04375*1.0425+E151*1.0425+F151</f>
        <v>-13.143285088833407</v>
      </c>
      <c r="G153" s="53" t="s">
        <v>201</v>
      </c>
      <c r="H153" s="53">
        <f>F153-'GT workings 15-16'!F238+'NGGT differences 14-15'!F151</f>
        <v>2.3092638912203256E-14</v>
      </c>
      <c r="I153" s="53"/>
      <c r="J153" s="53"/>
      <c r="K153" s="53"/>
    </row>
  </sheetData>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249977111117893"/>
  </sheetPr>
  <dimension ref="A1:AM153"/>
  <sheetViews>
    <sheetView workbookViewId="0">
      <selection activeCell="H35" sqref="H35"/>
    </sheetView>
  </sheetViews>
  <sheetFormatPr defaultRowHeight="13.2"/>
  <cols>
    <col min="2" max="2" width="1.6640625" customWidth="1"/>
    <col min="3" max="3" width="38.88671875" customWidth="1"/>
    <col min="4" max="12" width="10.6640625" customWidth="1"/>
    <col min="14" max="14" width="7.5546875" customWidth="1"/>
  </cols>
  <sheetData>
    <row r="1" spans="1:8" ht="13.8" thickBot="1"/>
    <row r="2" spans="1:8" ht="63" thickBot="1">
      <c r="A2" s="38" t="s">
        <v>411</v>
      </c>
      <c r="C2" s="1" t="s">
        <v>384</v>
      </c>
      <c r="D2" s="2" t="s">
        <v>40</v>
      </c>
      <c r="E2" s="47" t="s">
        <v>41</v>
      </c>
      <c r="G2" s="112" t="s">
        <v>362</v>
      </c>
      <c r="H2" s="113" t="str">
        <f>RPI!$B$1</f>
        <v>Updated Oct 2019</v>
      </c>
    </row>
    <row r="3" spans="1:8" ht="15.6" thickBot="1">
      <c r="C3" s="3" t="s">
        <v>406</v>
      </c>
      <c r="D3" s="62">
        <f>'16-17 NGGT'!D3-'15-16 NGGT'!D3</f>
        <v>0</v>
      </c>
      <c r="E3" s="63">
        <f>'16-17 NGGT'!E3-'15-16 NGGT'!E3</f>
        <v>0</v>
      </c>
    </row>
    <row r="4" spans="1:8" ht="15.6" thickBot="1">
      <c r="C4" s="3" t="s">
        <v>407</v>
      </c>
      <c r="D4" s="62">
        <f>'16-17 NGGT'!D4-'15-16 NGGT'!D4</f>
        <v>0</v>
      </c>
      <c r="E4" s="63">
        <f>'16-17 NGGT'!E4-'15-16 NGGT'!E4</f>
        <v>0</v>
      </c>
    </row>
    <row r="5" spans="1:8" ht="15.6" thickBot="1">
      <c r="C5" s="4" t="s">
        <v>44</v>
      </c>
      <c r="D5" s="64">
        <f>'16-17 NGGT'!D5-'15-16 NGGT'!D5</f>
        <v>0.20173661705217469</v>
      </c>
      <c r="E5" s="63">
        <f>'16-17 NGGT'!E5-'15-16 NGGT'!E5</f>
        <v>0.16008548752424961</v>
      </c>
    </row>
    <row r="6" spans="1:8" ht="15.6" thickBot="1">
      <c r="C6" s="3" t="s">
        <v>408</v>
      </c>
      <c r="D6" s="62">
        <f>'16-17 NGGT'!D6-'15-16 NGGT'!D6</f>
        <v>0</v>
      </c>
      <c r="E6" s="63">
        <f>'16-17 NGGT'!E6-'15-16 NGGT'!E6</f>
        <v>0</v>
      </c>
    </row>
    <row r="7" spans="1:8" ht="15.6" thickBot="1">
      <c r="C7" s="4" t="s">
        <v>46</v>
      </c>
      <c r="D7" s="64">
        <f>'16-17 NGGT'!D7-'15-16 NGGT'!D7</f>
        <v>0</v>
      </c>
      <c r="E7" s="63">
        <f>'16-17 NGGT'!E7-'15-16 NGGT'!E7</f>
        <v>0</v>
      </c>
    </row>
    <row r="8" spans="1:8" ht="16.2" thickBot="1">
      <c r="C8" s="6" t="s">
        <v>48</v>
      </c>
      <c r="D8" s="65">
        <f>'16-17 NGGT'!D8-'15-16 NGGT'!D8</f>
        <v>0.2017366170521746</v>
      </c>
      <c r="E8" s="66">
        <f>'16-17 NGGT'!E8-'15-16 NGGT'!E8</f>
        <v>0.16008548752424989</v>
      </c>
    </row>
    <row r="9" spans="1:8" ht="15.6" thickBot="1">
      <c r="C9" s="4" t="s">
        <v>52</v>
      </c>
      <c r="D9" s="64">
        <f>'16-17 NGGT'!D9-'15-16 NGGT'!D9</f>
        <v>0</v>
      </c>
      <c r="E9" s="63">
        <f>'16-17 NGGT'!E9-'15-16 NGGT'!E9</f>
        <v>0</v>
      </c>
    </row>
    <row r="10" spans="1:8" ht="15.6" thickBot="1">
      <c r="C10" s="3"/>
      <c r="D10" s="62"/>
      <c r="E10" s="63"/>
    </row>
    <row r="11" spans="1:8" ht="15.6" thickBot="1">
      <c r="C11" s="4" t="s">
        <v>138</v>
      </c>
      <c r="D11" s="64">
        <f>'16-17 NGGT'!D11-'15-16 NGGT'!D11</f>
        <v>0</v>
      </c>
      <c r="E11" s="63">
        <f>'16-17 NGGT'!E11-'15-16 NGGT'!E11</f>
        <v>0</v>
      </c>
    </row>
    <row r="12" spans="1:8" ht="15.6" thickBot="1">
      <c r="C12" s="3" t="s">
        <v>44</v>
      </c>
      <c r="D12" s="62">
        <f>'16-17 NGGT'!D12-'15-16 NGGT'!D12</f>
        <v>1.4704200000000008E-2</v>
      </c>
      <c r="E12" s="63">
        <f>'16-17 NGGT'!E12-'15-16 NGGT'!E12</f>
        <v>1.2600000000000014E-2</v>
      </c>
    </row>
    <row r="13" spans="1:8" ht="15.6" thickBot="1">
      <c r="C13" s="4" t="s">
        <v>45</v>
      </c>
      <c r="D13" s="64">
        <f>'16-17 NGGT'!D13-'15-16 NGGT'!D13</f>
        <v>0</v>
      </c>
      <c r="E13" s="63">
        <f>'16-17 NGGT'!E13-'15-16 NGGT'!E13</f>
        <v>0</v>
      </c>
    </row>
    <row r="14" spans="1:8" ht="15.6" thickBot="1">
      <c r="C14" s="3" t="s">
        <v>46</v>
      </c>
      <c r="D14" s="62">
        <f>'16-17 NGGT'!D14-'15-16 NGGT'!D14</f>
        <v>0</v>
      </c>
      <c r="E14" s="63">
        <f>'16-17 NGGT'!E14-'15-16 NGGT'!E14</f>
        <v>0</v>
      </c>
    </row>
    <row r="15" spans="1:8" ht="16.2" thickBot="1">
      <c r="C15" s="5" t="s">
        <v>50</v>
      </c>
      <c r="D15" s="67">
        <f>'16-17 NGGT'!D15-'15-16 NGGT'!D15</f>
        <v>1.4704199999999945E-2</v>
      </c>
      <c r="E15" s="66">
        <f>'16-17 NGGT'!E15-'15-16 NGGT'!E15</f>
        <v>1.2599999999999945E-2</v>
      </c>
    </row>
    <row r="16" spans="1:8" ht="15.6" thickBot="1">
      <c r="C16" s="3"/>
      <c r="D16" s="62"/>
      <c r="E16" s="63"/>
    </row>
    <row r="17" spans="1:38" ht="16.2" thickBot="1">
      <c r="C17" s="5" t="s">
        <v>51</v>
      </c>
      <c r="D17" s="67">
        <f>'16-17 NGGT'!D17-'15-16 NGGT'!D17</f>
        <v>0.21644081705217477</v>
      </c>
      <c r="E17" s="66">
        <f>'16-17 NGGT'!E17-'15-16 NGGT'!E17</f>
        <v>0.17268548752424984</v>
      </c>
    </row>
    <row r="18" spans="1:38" ht="16.2" thickBot="1">
      <c r="C18" s="6"/>
      <c r="D18" s="65"/>
      <c r="E18" s="66"/>
    </row>
    <row r="19" spans="1:38" ht="16.2" thickBot="1">
      <c r="C19" s="5" t="s">
        <v>53</v>
      </c>
      <c r="D19" s="67">
        <f>'16-17 NGGT'!D19-'15-16 NGGT'!D19</f>
        <v>0</v>
      </c>
      <c r="E19" s="66">
        <f>'16-17 NGGT'!E19-'15-16 NGGT'!E19</f>
        <v>0</v>
      </c>
    </row>
    <row r="20" spans="1:38" ht="16.2" thickBot="1">
      <c r="C20" s="6" t="s">
        <v>54</v>
      </c>
      <c r="D20" s="65">
        <f>'16-17 NGGT'!D20-'15-16 NGGT'!D20</f>
        <v>0.13629620924094965</v>
      </c>
      <c r="E20" s="66">
        <f>'16-17 NGGT'!E20-'15-16 NGGT'!E20</f>
        <v>9.7217119825527831E-2</v>
      </c>
    </row>
    <row r="24" spans="1:38" ht="13.8" thickBot="1">
      <c r="A24" s="38" t="s">
        <v>399</v>
      </c>
    </row>
    <row r="25" spans="1:38" ht="13.8" thickBot="1">
      <c r="C25" s="7" t="s">
        <v>58</v>
      </c>
      <c r="D25" s="8" t="s">
        <v>59</v>
      </c>
      <c r="E25" s="8" t="s">
        <v>60</v>
      </c>
      <c r="F25" s="8" t="s">
        <v>61</v>
      </c>
      <c r="G25" s="8" t="s">
        <v>62</v>
      </c>
      <c r="H25" s="8" t="s">
        <v>63</v>
      </c>
      <c r="I25" s="8" t="s">
        <v>64</v>
      </c>
      <c r="J25" s="8" t="s">
        <v>65</v>
      </c>
      <c r="K25" s="8" t="s">
        <v>66</v>
      </c>
      <c r="L25" s="8" t="s">
        <v>67</v>
      </c>
    </row>
    <row r="26" spans="1:38">
      <c r="C26" s="9"/>
      <c r="D26" s="49"/>
      <c r="E26" s="49"/>
      <c r="F26" s="49"/>
      <c r="G26" s="49"/>
      <c r="H26" s="49"/>
      <c r="I26" s="49"/>
      <c r="J26" s="49"/>
      <c r="K26" s="49"/>
      <c r="L26" s="49"/>
    </row>
    <row r="27" spans="1:38" ht="12.75" customHeight="1">
      <c r="A27" t="s">
        <v>338</v>
      </c>
      <c r="C27" s="10" t="s">
        <v>414</v>
      </c>
      <c r="D27" s="42">
        <f>'16-17 NGGT'!D27-'15-16 NGGT'!D27</f>
        <v>0</v>
      </c>
      <c r="E27" s="42">
        <f>'16-17 NGGT'!E27-'15-16 NGGT'!E27</f>
        <v>0</v>
      </c>
      <c r="F27" s="42">
        <f>'16-17 NGGT'!F27-'15-16 NGGT'!F27</f>
        <v>0</v>
      </c>
      <c r="G27" s="42">
        <f>'16-17 NGGT'!G27-'15-16 NGGT'!G27</f>
        <v>0</v>
      </c>
      <c r="H27" s="42">
        <f>'16-17 NGGT'!H27-'15-16 NGGT'!H27</f>
        <v>0</v>
      </c>
      <c r="I27" s="42">
        <f>'16-17 NGGT'!I27-'15-16 NGGT'!I27</f>
        <v>0</v>
      </c>
      <c r="J27" s="42">
        <f>'16-17 NGGT'!J27-'15-16 NGGT'!J27</f>
        <v>0</v>
      </c>
      <c r="K27" s="42">
        <f>'16-17 NGGT'!K27-'15-16 NGGT'!K27</f>
        <v>0</v>
      </c>
      <c r="L27" s="50">
        <f>'16-17 NGGT'!L27-'15-16 NGGT'!L27</f>
        <v>0</v>
      </c>
      <c r="S27" s="10" t="s">
        <v>415</v>
      </c>
      <c r="T27" s="335">
        <v>112</v>
      </c>
      <c r="U27" s="335">
        <v>98</v>
      </c>
      <c r="V27" s="335">
        <v>107</v>
      </c>
      <c r="W27" s="335">
        <v>137</v>
      </c>
      <c r="X27" s="335">
        <v>166</v>
      </c>
      <c r="Y27" s="335">
        <v>85</v>
      </c>
      <c r="Z27" s="335">
        <v>72</v>
      </c>
      <c r="AA27" s="335">
        <v>71</v>
      </c>
      <c r="AB27" s="336">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416</v>
      </c>
      <c r="D28" s="42">
        <f>'16-17 NGGT'!D28-'15-16 NGGT'!D28</f>
        <v>26.863651889068834</v>
      </c>
      <c r="E28" s="42">
        <f>'16-17 NGGT'!E28-'15-16 NGGT'!E28</f>
        <v>18.17186418837116</v>
      </c>
      <c r="F28" s="42">
        <f>'16-17 NGGT'!F28-'15-16 NGGT'!F28</f>
        <v>10.751052755971941</v>
      </c>
      <c r="G28" s="42">
        <f>'16-17 NGGT'!G28-'15-16 NGGT'!G28</f>
        <v>12.661992776253896</v>
      </c>
      <c r="H28" s="42">
        <f>'16-17 NGGT'!H28-'15-16 NGGT'!H28</f>
        <v>32.025393538313381</v>
      </c>
      <c r="I28" s="42">
        <f>'16-17 NGGT'!I28-'15-16 NGGT'!I28</f>
        <v>32.679532321837399</v>
      </c>
      <c r="J28" s="42">
        <f>'16-17 NGGT'!J28-'15-16 NGGT'!J28</f>
        <v>20.504333599618434</v>
      </c>
      <c r="K28" s="42">
        <f>'16-17 NGGT'!K28-'15-16 NGGT'!K28</f>
        <v>6.4276664548145419</v>
      </c>
      <c r="L28" s="50">
        <f>'16-17 NGGT'!L28-'15-16 NGGT'!L28</f>
        <v>160.08548752424952</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'16-17 NGGT'!D29-'15-16 NGGT'!D29</f>
        <v>0</v>
      </c>
      <c r="E29" s="43">
        <f>'16-17 NGGT'!E29-'15-16 NGGT'!E29</f>
        <v>0</v>
      </c>
      <c r="F29" s="43">
        <f>'16-17 NGGT'!F29-'15-16 NGGT'!F29</f>
        <v>0</v>
      </c>
      <c r="G29" s="43">
        <f>'16-17 NGGT'!G29-'15-16 NGGT'!G29</f>
        <v>0</v>
      </c>
      <c r="H29" s="43">
        <f>'16-17 NGGT'!H29-'15-16 NGGT'!H29</f>
        <v>0</v>
      </c>
      <c r="I29" s="43">
        <f>'16-17 NGGT'!I29-'15-16 NGGT'!I29</f>
        <v>0</v>
      </c>
      <c r="J29" s="43">
        <f>'16-17 NGGT'!J29-'15-16 NGGT'!J29</f>
        <v>0</v>
      </c>
      <c r="K29" s="43">
        <f>'16-17 NGGT'!K29-'15-16 NGGT'!K29</f>
        <v>0</v>
      </c>
      <c r="L29" s="45">
        <f>'16-17 NGGT'!L29-'15-16 NGGT'!L29</f>
        <v>0</v>
      </c>
      <c r="S29" s="11" t="s">
        <v>417</v>
      </c>
      <c r="T29" s="337">
        <v>90</v>
      </c>
      <c r="U29" s="337">
        <v>89</v>
      </c>
      <c r="V29" s="337">
        <v>92</v>
      </c>
      <c r="W29" s="337">
        <v>92</v>
      </c>
      <c r="X29" s="337">
        <v>94</v>
      </c>
      <c r="Y29" s="337">
        <v>95</v>
      </c>
      <c r="Z29" s="337">
        <v>96</v>
      </c>
      <c r="AA29" s="337">
        <v>96</v>
      </c>
      <c r="AB29" s="338">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71</v>
      </c>
      <c r="D30" s="50">
        <f>'16-17 NGGT'!D30-'15-16 NGGT'!D30</f>
        <v>26.863651889068819</v>
      </c>
      <c r="E30" s="50">
        <f>'16-17 NGGT'!E30-'15-16 NGGT'!E30</f>
        <v>18.17186418837116</v>
      </c>
      <c r="F30" s="50">
        <f>'16-17 NGGT'!F30-'15-16 NGGT'!F30</f>
        <v>10.751052755971926</v>
      </c>
      <c r="G30" s="50">
        <f>'16-17 NGGT'!G30-'15-16 NGGT'!G30</f>
        <v>12.661992776253896</v>
      </c>
      <c r="H30" s="50">
        <f>'16-17 NGGT'!H30-'15-16 NGGT'!H30</f>
        <v>32.025393538313381</v>
      </c>
      <c r="I30" s="50">
        <f>'16-17 NGGT'!I30-'15-16 NGGT'!I30</f>
        <v>32.679532321837399</v>
      </c>
      <c r="J30" s="50">
        <f>'16-17 NGGT'!J30-'15-16 NGGT'!J30</f>
        <v>20.504333599618434</v>
      </c>
      <c r="K30" s="50">
        <f>'16-17 NGGT'!K30-'15-16 NGGT'!K30</f>
        <v>6.4276664548145277</v>
      </c>
      <c r="L30" s="50">
        <f>'16-17 NGGT'!L30-'15-16 NGGT'!L30</f>
        <v>160.0854875242494</v>
      </c>
      <c r="S30" s="12" t="s">
        <v>390</v>
      </c>
      <c r="T30" s="336">
        <v>201</v>
      </c>
      <c r="U30" s="336">
        <v>187</v>
      </c>
      <c r="V30" s="336">
        <v>198</v>
      </c>
      <c r="W30" s="336">
        <v>229</v>
      </c>
      <c r="X30" s="336">
        <v>260</v>
      </c>
      <c r="Y30" s="336">
        <v>179</v>
      </c>
      <c r="Z30" s="336">
        <v>167</v>
      </c>
      <c r="AA30" s="336">
        <v>166</v>
      </c>
      <c r="AB30" s="339">
        <v>1588</v>
      </c>
      <c r="AD30" s="50">
        <f t="shared" si="0"/>
        <v>-174.13634811093118</v>
      </c>
      <c r="AE30" s="50">
        <f t="shared" si="0"/>
        <v>-168.82813581162884</v>
      </c>
      <c r="AF30" s="50">
        <f t="shared" si="0"/>
        <v>-187.24894724402807</v>
      </c>
      <c r="AG30" s="50">
        <f t="shared" si="0"/>
        <v>-216.3380072237461</v>
      </c>
      <c r="AH30" s="50">
        <f t="shared" si="0"/>
        <v>-227.97460646168662</v>
      </c>
      <c r="AI30" s="50">
        <f t="shared" si="0"/>
        <v>-146.3204676781626</v>
      </c>
      <c r="AJ30" s="50">
        <f t="shared" si="0"/>
        <v>-146.49566640038157</v>
      </c>
      <c r="AK30" s="50">
        <f t="shared" si="0"/>
        <v>-159.57233354518547</v>
      </c>
      <c r="AL30" s="50">
        <f t="shared" si="0"/>
        <v>-1427.9145124757506</v>
      </c>
    </row>
    <row r="31" spans="1:38" ht="12.75" customHeight="1">
      <c r="A31" t="s">
        <v>346</v>
      </c>
      <c r="C31" s="10" t="s">
        <v>74</v>
      </c>
      <c r="D31" s="42">
        <f>'16-17 NGGT'!D31-'15-16 NGGT'!D31</f>
        <v>2.6415068397405741</v>
      </c>
      <c r="E31" s="42">
        <f>'16-17 NGGT'!E31-'15-16 NGGT'!E31</f>
        <v>-13.188498644712562</v>
      </c>
      <c r="F31" s="42">
        <f>'16-17 NGGT'!F31-'15-16 NGGT'!F31</f>
        <v>0</v>
      </c>
      <c r="G31" s="42">
        <f>'16-17 NGGT'!G31-'15-16 NGGT'!G31</f>
        <v>0</v>
      </c>
      <c r="H31" s="42">
        <f>'16-17 NGGT'!H31-'15-16 NGGT'!H31</f>
        <v>0</v>
      </c>
      <c r="I31" s="42">
        <f>'16-17 NGGT'!I31-'15-16 NGGT'!I31</f>
        <v>0</v>
      </c>
      <c r="J31" s="42">
        <f>'16-17 NGGT'!J31-'15-16 NGGT'!J31</f>
        <v>0</v>
      </c>
      <c r="K31" s="42">
        <f>'16-17 NGGT'!K31-'15-16 NGGT'!K31</f>
        <v>0</v>
      </c>
      <c r="L31" s="50">
        <f>'16-17 NGGT'!L31-'15-16 NGGT'!L31</f>
        <v>-10.546991804971981</v>
      </c>
      <c r="S31" s="10" t="s">
        <v>415</v>
      </c>
      <c r="T31" s="335">
        <v>112</v>
      </c>
      <c r="U31" s="335">
        <v>98</v>
      </c>
      <c r="V31" s="335">
        <v>107</v>
      </c>
      <c r="W31" s="335">
        <v>137</v>
      </c>
      <c r="X31" s="335">
        <v>166</v>
      </c>
      <c r="Y31" s="335">
        <v>85</v>
      </c>
      <c r="Z31" s="335">
        <v>72</v>
      </c>
      <c r="AA31" s="335">
        <v>71</v>
      </c>
      <c r="AB31" s="336">
        <v>846</v>
      </c>
      <c r="AD31" s="42">
        <f t="shared" si="0"/>
        <v>-109.35849316025943</v>
      </c>
      <c r="AE31" s="42">
        <f t="shared" si="0"/>
        <v>-111.18849864471257</v>
      </c>
      <c r="AF31" s="42">
        <f t="shared" si="0"/>
        <v>-107</v>
      </c>
      <c r="AG31" s="42">
        <f t="shared" si="0"/>
        <v>-137</v>
      </c>
      <c r="AH31" s="42">
        <f t="shared" si="0"/>
        <v>-166</v>
      </c>
      <c r="AI31" s="42">
        <f t="shared" si="0"/>
        <v>-85</v>
      </c>
      <c r="AJ31" s="42">
        <f t="shared" si="0"/>
        <v>-72</v>
      </c>
      <c r="AK31" s="42">
        <f t="shared" si="0"/>
        <v>-71</v>
      </c>
      <c r="AL31" s="42">
        <f t="shared" si="0"/>
        <v>-856.54699180497198</v>
      </c>
    </row>
    <row r="32" spans="1:38" ht="12.75" customHeight="1">
      <c r="C32" s="10" t="s">
        <v>75</v>
      </c>
      <c r="D32" s="42">
        <f>'16-17 NGGT'!D32-'15-16 NGGT'!D32</f>
        <v>0.31956037511960744</v>
      </c>
      <c r="E32" s="42">
        <f>'16-17 NGGT'!E32-'15-16 NGGT'!E32</f>
        <v>-1.7076813842218996</v>
      </c>
      <c r="F32" s="42">
        <f>'16-17 NGGT'!F32-'15-16 NGGT'!F32</f>
        <v>10.751052755971926</v>
      </c>
      <c r="G32" s="42">
        <f>'16-17 NGGT'!G32-'15-16 NGGT'!G32</f>
        <v>12.661992776253925</v>
      </c>
      <c r="H32" s="42">
        <f>'16-17 NGGT'!H32-'15-16 NGGT'!H32</f>
        <v>32.025393538313381</v>
      </c>
      <c r="I32" s="42">
        <f>'16-17 NGGT'!I32-'15-16 NGGT'!I32</f>
        <v>32.679532321837399</v>
      </c>
      <c r="J32" s="42">
        <f>'16-17 NGGT'!J32-'15-16 NGGT'!J32</f>
        <v>20.504333599618434</v>
      </c>
      <c r="K32" s="42">
        <f>'16-17 NGGT'!K32-'15-16 NGGT'!K32</f>
        <v>6.4276664548145419</v>
      </c>
      <c r="L32" s="50">
        <f>'16-17 NGGT'!L32-'15-16 NGGT'!L32</f>
        <v>113.66185043770724</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'16-17 NGGT'!D33-'15-16 NGGT'!D33</f>
        <v>9.2478699404112064</v>
      </c>
      <c r="E33" s="43">
        <f>'16-17 NGGT'!E33-'15-16 NGGT'!E33</f>
        <v>7.3595712512176874</v>
      </c>
      <c r="F33" s="43">
        <f>'16-17 NGGT'!F33-'15-16 NGGT'!F33</f>
        <v>0</v>
      </c>
      <c r="G33" s="43">
        <f>'16-17 NGGT'!G33-'15-16 NGGT'!G33</f>
        <v>0</v>
      </c>
      <c r="H33" s="43">
        <f>'16-17 NGGT'!H33-'15-16 NGGT'!H33</f>
        <v>0</v>
      </c>
      <c r="I33" s="43">
        <f>'16-17 NGGT'!I33-'15-16 NGGT'!I33</f>
        <v>0</v>
      </c>
      <c r="J33" s="43">
        <f>'16-17 NGGT'!J33-'15-16 NGGT'!J33</f>
        <v>0</v>
      </c>
      <c r="K33" s="43">
        <f>'16-17 NGGT'!K33-'15-16 NGGT'!K33</f>
        <v>0</v>
      </c>
      <c r="L33" s="45">
        <f>'16-17 NGGT'!L33-'15-16 NGGT'!L33</f>
        <v>16.60744119162905</v>
      </c>
      <c r="S33" s="11" t="s">
        <v>417</v>
      </c>
      <c r="T33" s="337">
        <v>90</v>
      </c>
      <c r="U33" s="337">
        <v>89</v>
      </c>
      <c r="V33" s="337">
        <v>92</v>
      </c>
      <c r="W33" s="337">
        <v>92</v>
      </c>
      <c r="X33" s="337">
        <v>94</v>
      </c>
      <c r="Y33" s="337">
        <v>95</v>
      </c>
      <c r="Z33" s="337">
        <v>96</v>
      </c>
      <c r="AA33" s="337">
        <v>96</v>
      </c>
      <c r="AB33" s="338">
        <v>743</v>
      </c>
      <c r="AD33" s="43">
        <f t="shared" ref="AD33:AL35" si="1">D33-T33</f>
        <v>-80.752130059588794</v>
      </c>
      <c r="AE33" s="43">
        <f t="shared" si="1"/>
        <v>-81.640428748782313</v>
      </c>
      <c r="AF33" s="43">
        <f t="shared" si="1"/>
        <v>-92</v>
      </c>
      <c r="AG33" s="43">
        <f t="shared" si="1"/>
        <v>-92</v>
      </c>
      <c r="AH33" s="43">
        <f t="shared" si="1"/>
        <v>-94</v>
      </c>
      <c r="AI33" s="43">
        <f t="shared" si="1"/>
        <v>-95</v>
      </c>
      <c r="AJ33" s="43">
        <f t="shared" si="1"/>
        <v>-96</v>
      </c>
      <c r="AK33" s="43">
        <f t="shared" si="1"/>
        <v>-96</v>
      </c>
      <c r="AL33" s="43">
        <f t="shared" si="1"/>
        <v>-726.39255880837095</v>
      </c>
    </row>
    <row r="34" spans="1:39" ht="12.75" customHeight="1">
      <c r="C34" s="12" t="s">
        <v>77</v>
      </c>
      <c r="D34" s="50">
        <f>'16-17 NGGT'!D34-'15-16 NGGT'!D34</f>
        <v>12.208937155271371</v>
      </c>
      <c r="E34" s="50">
        <f>'16-17 NGGT'!E34-'15-16 NGGT'!E34</f>
        <v>-7.536608777716765</v>
      </c>
      <c r="F34" s="50">
        <f>'16-17 NGGT'!F34-'15-16 NGGT'!F34</f>
        <v>10.751052755971926</v>
      </c>
      <c r="G34" s="50">
        <f>'16-17 NGGT'!G34-'15-16 NGGT'!G34</f>
        <v>12.661992776253953</v>
      </c>
      <c r="H34" s="50">
        <f>'16-17 NGGT'!H34-'15-16 NGGT'!H34</f>
        <v>32.025393538313381</v>
      </c>
      <c r="I34" s="50">
        <f>'16-17 NGGT'!I34-'15-16 NGGT'!I34</f>
        <v>32.679532321837399</v>
      </c>
      <c r="J34" s="50">
        <f>'16-17 NGGT'!J34-'15-16 NGGT'!J34</f>
        <v>20.504333599618434</v>
      </c>
      <c r="K34" s="50">
        <f>'16-17 NGGT'!K34-'15-16 NGGT'!K34</f>
        <v>6.4276664548145277</v>
      </c>
      <c r="L34" s="50">
        <f>'16-17 NGGT'!L34-'15-16 NGGT'!L34</f>
        <v>119.7222998243642</v>
      </c>
      <c r="S34" s="12" t="s">
        <v>390</v>
      </c>
      <c r="T34" s="336">
        <v>201</v>
      </c>
      <c r="U34" s="336">
        <v>187</v>
      </c>
      <c r="V34" s="336">
        <v>198</v>
      </c>
      <c r="W34" s="336">
        <v>229</v>
      </c>
      <c r="X34" s="336">
        <v>260</v>
      </c>
      <c r="Y34" s="336">
        <v>179</v>
      </c>
      <c r="Z34" s="336">
        <v>167</v>
      </c>
      <c r="AA34" s="336">
        <v>166</v>
      </c>
      <c r="AB34" s="339">
        <v>1588</v>
      </c>
      <c r="AD34" s="50">
        <f t="shared" si="1"/>
        <v>-188.79106284472863</v>
      </c>
      <c r="AE34" s="50">
        <f t="shared" si="1"/>
        <v>-194.53660877771676</v>
      </c>
      <c r="AF34" s="50">
        <f t="shared" si="1"/>
        <v>-187.24894724402807</v>
      </c>
      <c r="AG34" s="50">
        <f t="shared" si="1"/>
        <v>-216.33800722374605</v>
      </c>
      <c r="AH34" s="50">
        <f t="shared" si="1"/>
        <v>-227.97460646168662</v>
      </c>
      <c r="AI34" s="50">
        <f t="shared" si="1"/>
        <v>-146.3204676781626</v>
      </c>
      <c r="AJ34" s="50">
        <f t="shared" si="1"/>
        <v>-146.49566640038157</v>
      </c>
      <c r="AK34" s="50">
        <f t="shared" si="1"/>
        <v>-159.57233354518547</v>
      </c>
      <c r="AL34" s="50">
        <f t="shared" si="1"/>
        <v>-1468.2777001756358</v>
      </c>
    </row>
    <row r="35" spans="1:39" ht="12.75" customHeight="1">
      <c r="A35" t="s">
        <v>233</v>
      </c>
      <c r="C35" s="10" t="s">
        <v>418</v>
      </c>
      <c r="D35" s="42">
        <f>'16-17 NGGT'!D35-'15-16 NGGT'!D35</f>
        <v>1.4697344056316552</v>
      </c>
      <c r="E35" s="42">
        <f>'16-17 NGGT'!E35-'15-16 NGGT'!E35</f>
        <v>-7.338080645918069</v>
      </c>
      <c r="F35" s="42">
        <f>'16-17 NGGT'!F35-'15-16 NGGT'!F35</f>
        <v>0</v>
      </c>
      <c r="G35" s="42">
        <f>'16-17 NGGT'!G35-'15-16 NGGT'!G35</f>
        <v>0</v>
      </c>
      <c r="H35" s="42">
        <f>'16-17 NGGT'!H35-'15-16 NGGT'!H35</f>
        <v>0</v>
      </c>
      <c r="I35" s="42">
        <f>'16-17 NGGT'!I35-'15-16 NGGT'!I35</f>
        <v>0</v>
      </c>
      <c r="J35" s="42">
        <f>'16-17 NGGT'!J35-'15-16 NGGT'!J35</f>
        <v>0</v>
      </c>
      <c r="K35" s="42">
        <f>'16-17 NGGT'!K35-'15-16 NGGT'!K35</f>
        <v>0</v>
      </c>
      <c r="L35" s="50">
        <f>'16-17 NGGT'!L35-'15-16 NGGT'!L35</f>
        <v>-5.8683462402864279</v>
      </c>
      <c r="S35" s="10" t="s">
        <v>415</v>
      </c>
      <c r="T35" s="335">
        <v>112</v>
      </c>
      <c r="U35" s="335">
        <v>98</v>
      </c>
      <c r="V35" s="335">
        <v>107</v>
      </c>
      <c r="W35" s="335">
        <v>137</v>
      </c>
      <c r="X35" s="335">
        <v>166</v>
      </c>
      <c r="Y35" s="335">
        <v>85</v>
      </c>
      <c r="Z35" s="335">
        <v>72</v>
      </c>
      <c r="AA35" s="335">
        <v>71</v>
      </c>
      <c r="AB35" s="336">
        <v>846</v>
      </c>
      <c r="AD35" s="42">
        <f t="shared" si="1"/>
        <v>-110.53026559436834</v>
      </c>
      <c r="AE35" s="42">
        <f t="shared" si="1"/>
        <v>-105.33808064591807</v>
      </c>
      <c r="AF35" s="42">
        <f t="shared" si="1"/>
        <v>-107</v>
      </c>
      <c r="AG35" s="42">
        <f t="shared" si="1"/>
        <v>-137</v>
      </c>
      <c r="AH35" s="42">
        <f t="shared" si="1"/>
        <v>-166</v>
      </c>
      <c r="AI35" s="42">
        <f t="shared" si="1"/>
        <v>-85</v>
      </c>
      <c r="AJ35" s="42">
        <f t="shared" si="1"/>
        <v>-72</v>
      </c>
      <c r="AK35" s="42">
        <f t="shared" si="1"/>
        <v>-71</v>
      </c>
      <c r="AL35" s="42">
        <f t="shared" si="1"/>
        <v>-851.86834624028643</v>
      </c>
    </row>
    <row r="36" spans="1:39" ht="12.75" customHeight="1">
      <c r="C36" s="10" t="s">
        <v>419</v>
      </c>
      <c r="D36" s="42">
        <f>'16-17 NGGT'!D36-'15-16 NGGT'!D36</f>
        <v>12.094519370707488</v>
      </c>
      <c r="E36" s="42">
        <f>'16-17 NGGT'!E36-'15-16 NGGT'!E36</f>
        <v>7.1108850317803842</v>
      </c>
      <c r="F36" s="42">
        <f>'16-17 NGGT'!F36-'15-16 NGGT'!F36</f>
        <v>10.751052755971926</v>
      </c>
      <c r="G36" s="42">
        <f>'16-17 NGGT'!G36-'15-16 NGGT'!G36</f>
        <v>12.661992776253925</v>
      </c>
      <c r="H36" s="42">
        <f>'16-17 NGGT'!H36-'15-16 NGGT'!H36</f>
        <v>32.025393538313381</v>
      </c>
      <c r="I36" s="42">
        <f>'16-17 NGGT'!I36-'15-16 NGGT'!I36</f>
        <v>32.679532321837399</v>
      </c>
      <c r="J36" s="42">
        <f>'16-17 NGGT'!J36-'15-16 NGGT'!J36</f>
        <v>20.504333599618434</v>
      </c>
      <c r="K36" s="42">
        <f>'16-17 NGGT'!K36-'15-16 NGGT'!K36</f>
        <v>6.4276664548145419</v>
      </c>
      <c r="L36" s="50">
        <f>'16-17 NGGT'!L36-'15-16 NGGT'!L36</f>
        <v>134.25537584929748</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'16-17 NGGT'!D37-'15-16 NGGT'!D37</f>
        <v>5.1455148348447963</v>
      </c>
      <c r="E37" s="43">
        <f>'16-17 NGGT'!E37-'15-16 NGGT'!E37</f>
        <v>4.0948654441775147</v>
      </c>
      <c r="F37" s="43">
        <f>'16-17 NGGT'!F37-'15-16 NGGT'!F37</f>
        <v>0</v>
      </c>
      <c r="G37" s="43">
        <f>'16-17 NGGT'!G37-'15-16 NGGT'!G37</f>
        <v>0</v>
      </c>
      <c r="H37" s="43">
        <f>'16-17 NGGT'!H37-'15-16 NGGT'!H37</f>
        <v>0</v>
      </c>
      <c r="I37" s="43">
        <f>'16-17 NGGT'!I37-'15-16 NGGT'!I37</f>
        <v>0</v>
      </c>
      <c r="J37" s="43">
        <f>'16-17 NGGT'!J37-'15-16 NGGT'!J37</f>
        <v>0</v>
      </c>
      <c r="K37" s="43">
        <f>'16-17 NGGT'!K37-'15-16 NGGT'!K37</f>
        <v>0</v>
      </c>
      <c r="L37" s="45">
        <f>'16-17 NGGT'!L37-'15-16 NGGT'!L37</f>
        <v>9.2403802790224745</v>
      </c>
      <c r="S37" s="11" t="s">
        <v>417</v>
      </c>
      <c r="T37" s="337">
        <v>90</v>
      </c>
      <c r="U37" s="337">
        <v>89</v>
      </c>
      <c r="V37" s="337">
        <v>92</v>
      </c>
      <c r="W37" s="337">
        <v>92</v>
      </c>
      <c r="X37" s="337">
        <v>94</v>
      </c>
      <c r="Y37" s="337">
        <v>95</v>
      </c>
      <c r="Z37" s="337">
        <v>96</v>
      </c>
      <c r="AA37" s="337">
        <v>96</v>
      </c>
      <c r="AB37" s="338">
        <v>743</v>
      </c>
      <c r="AD37" s="43">
        <f t="shared" ref="AD37:AL38" si="2">D37-T37</f>
        <v>-84.854485165155211</v>
      </c>
      <c r="AE37" s="43">
        <f t="shared" si="2"/>
        <v>-84.905134555822485</v>
      </c>
      <c r="AF37" s="43">
        <f t="shared" si="2"/>
        <v>-92</v>
      </c>
      <c r="AG37" s="43">
        <f t="shared" si="2"/>
        <v>-92</v>
      </c>
      <c r="AH37" s="43">
        <f t="shared" si="2"/>
        <v>-94</v>
      </c>
      <c r="AI37" s="43">
        <f t="shared" si="2"/>
        <v>-95</v>
      </c>
      <c r="AJ37" s="43">
        <f t="shared" si="2"/>
        <v>-96</v>
      </c>
      <c r="AK37" s="43">
        <f t="shared" si="2"/>
        <v>-96</v>
      </c>
      <c r="AL37" s="43">
        <f t="shared" si="2"/>
        <v>-733.75961972097753</v>
      </c>
    </row>
    <row r="38" spans="1:39" ht="12.75" customHeight="1">
      <c r="C38" s="12" t="s">
        <v>78</v>
      </c>
      <c r="D38" s="50">
        <f>'16-17 NGGT'!D38-'15-16 NGGT'!D38</f>
        <v>18.709768611183904</v>
      </c>
      <c r="E38" s="50">
        <f>'16-17 NGGT'!E38-'15-16 NGGT'!E38</f>
        <v>3.86766983003983</v>
      </c>
      <c r="F38" s="50">
        <f>'16-17 NGGT'!F38-'15-16 NGGT'!F38</f>
        <v>10.751052755971926</v>
      </c>
      <c r="G38" s="50">
        <f>'16-17 NGGT'!G38-'15-16 NGGT'!G38</f>
        <v>12.661992776253953</v>
      </c>
      <c r="H38" s="50">
        <f>'16-17 NGGT'!H38-'15-16 NGGT'!H38</f>
        <v>32.025393538313381</v>
      </c>
      <c r="I38" s="50">
        <f>'16-17 NGGT'!I38-'15-16 NGGT'!I38</f>
        <v>32.679532321837399</v>
      </c>
      <c r="J38" s="50">
        <f>'16-17 NGGT'!J38-'15-16 NGGT'!J38</f>
        <v>20.504333599618434</v>
      </c>
      <c r="K38" s="50">
        <f>'16-17 NGGT'!K38-'15-16 NGGT'!K38</f>
        <v>6.4276664548145277</v>
      </c>
      <c r="L38" s="50">
        <f>'16-17 NGGT'!L38-'15-16 NGGT'!L38</f>
        <v>137.6274098880333</v>
      </c>
      <c r="S38" s="12" t="s">
        <v>390</v>
      </c>
      <c r="T38" s="336">
        <v>201</v>
      </c>
      <c r="U38" s="336">
        <v>187</v>
      </c>
      <c r="V38" s="336">
        <v>198</v>
      </c>
      <c r="W38" s="336">
        <v>229</v>
      </c>
      <c r="X38" s="336">
        <v>260</v>
      </c>
      <c r="Y38" s="336">
        <v>179</v>
      </c>
      <c r="Z38" s="336">
        <v>167</v>
      </c>
      <c r="AA38" s="336">
        <v>166</v>
      </c>
      <c r="AB38" s="339">
        <v>1588</v>
      </c>
      <c r="AD38" s="50">
        <f t="shared" si="2"/>
        <v>-182.2902313888161</v>
      </c>
      <c r="AE38" s="50">
        <f t="shared" si="2"/>
        <v>-183.13233016996017</v>
      </c>
      <c r="AF38" s="50">
        <f t="shared" si="2"/>
        <v>-187.24894724402807</v>
      </c>
      <c r="AG38" s="50">
        <f t="shared" si="2"/>
        <v>-216.33800722374605</v>
      </c>
      <c r="AH38" s="50">
        <f t="shared" si="2"/>
        <v>-227.97460646168662</v>
      </c>
      <c r="AI38" s="50">
        <f t="shared" si="2"/>
        <v>-146.3204676781626</v>
      </c>
      <c r="AJ38" s="50">
        <f t="shared" si="2"/>
        <v>-146.49566640038157</v>
      </c>
      <c r="AK38" s="50">
        <f t="shared" si="2"/>
        <v>-159.57233354518547</v>
      </c>
      <c r="AL38" s="50">
        <f t="shared" si="2"/>
        <v>-1450.3725901119667</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'16-17 NGGT'!D40-'15-16 NGGT'!D40</f>
        <v>2.4183267374167201</v>
      </c>
      <c r="E40" s="43">
        <f>'16-17 NGGT'!E40-'15-16 NGGT'!E40</f>
        <v>-6.5282542228671758</v>
      </c>
      <c r="F40" s="43">
        <f>'16-17 NGGT'!F40-'15-16 NGGT'!F40</f>
        <v>0</v>
      </c>
      <c r="G40" s="43">
        <f>'16-17 NGGT'!G40-'15-16 NGGT'!G40</f>
        <v>0</v>
      </c>
      <c r="H40" s="43">
        <f>'16-17 NGGT'!H40-'15-16 NGGT'!H40</f>
        <v>0</v>
      </c>
      <c r="I40" s="43">
        <f>'16-17 NGGT'!I40-'15-16 NGGT'!I40</f>
        <v>0</v>
      </c>
      <c r="J40" s="43">
        <f>'16-17 NGGT'!J40-'15-16 NGGT'!J40</f>
        <v>0</v>
      </c>
      <c r="K40" s="43">
        <f>'16-17 NGGT'!K40-'15-16 NGGT'!K40</f>
        <v>0</v>
      </c>
      <c r="L40" s="45">
        <f>'16-17 NGGT'!L40-'15-16 NGGT'!L40</f>
        <v>-4.1099274854503847</v>
      </c>
      <c r="S40" s="11" t="s">
        <v>79</v>
      </c>
      <c r="T40" s="337">
        <v>95</v>
      </c>
      <c r="U40" s="337">
        <v>88</v>
      </c>
      <c r="V40" s="337">
        <v>93</v>
      </c>
      <c r="W40" s="337">
        <v>108</v>
      </c>
      <c r="X40" s="337">
        <v>122</v>
      </c>
      <c r="Y40" s="337">
        <v>84</v>
      </c>
      <c r="Z40" s="337">
        <v>79</v>
      </c>
      <c r="AA40" s="337">
        <v>78</v>
      </c>
      <c r="AB40" s="338">
        <v>747</v>
      </c>
      <c r="AD40" s="43">
        <f t="shared" si="0"/>
        <v>-92.58167326258328</v>
      </c>
      <c r="AE40" s="43">
        <f t="shared" si="0"/>
        <v>-94.528254222867176</v>
      </c>
      <c r="AF40" s="43">
        <f t="shared" si="0"/>
        <v>-93</v>
      </c>
      <c r="AG40" s="43">
        <f t="shared" si="0"/>
        <v>-108</v>
      </c>
      <c r="AH40" s="43">
        <f t="shared" si="0"/>
        <v>-122</v>
      </c>
      <c r="AI40" s="43">
        <f t="shared" si="0"/>
        <v>-84</v>
      </c>
      <c r="AJ40" s="43">
        <f t="shared" si="0"/>
        <v>-79</v>
      </c>
      <c r="AK40" s="43">
        <f t="shared" si="0"/>
        <v>-78</v>
      </c>
      <c r="AL40" s="43">
        <f t="shared" si="0"/>
        <v>-751.10992748545038</v>
      </c>
    </row>
    <row r="41" spans="1:39" ht="12.75" customHeight="1">
      <c r="C41" s="10" t="s">
        <v>80</v>
      </c>
      <c r="D41" s="42">
        <f>'16-17 NGGT'!D41-'15-16 NGGT'!D41</f>
        <v>4.3747258957762938</v>
      </c>
      <c r="E41" s="42">
        <f>'16-17 NGGT'!E41-'15-16 NGGT'!E41</f>
        <v>-11.809538537995692</v>
      </c>
      <c r="F41" s="42">
        <f>'16-17 NGGT'!F41-'15-16 NGGT'!F41</f>
        <v>0</v>
      </c>
      <c r="G41" s="42">
        <f>'16-17 NGGT'!G41-'15-16 NGGT'!G41</f>
        <v>0</v>
      </c>
      <c r="H41" s="42">
        <f>'16-17 NGGT'!H41-'15-16 NGGT'!H41</f>
        <v>0</v>
      </c>
      <c r="I41" s="42">
        <f>'16-17 NGGT'!I41-'15-16 NGGT'!I41</f>
        <v>0</v>
      </c>
      <c r="J41" s="42">
        <f>'16-17 NGGT'!J41-'15-16 NGGT'!J41</f>
        <v>0</v>
      </c>
      <c r="K41" s="42">
        <f>'16-17 NGGT'!K41-'15-16 NGGT'!K41</f>
        <v>0</v>
      </c>
      <c r="L41" s="50">
        <f>'16-17 NGGT'!L41-'15-16 NGGT'!L41</f>
        <v>-7.4348126422191854</v>
      </c>
      <c r="S41" s="10" t="s">
        <v>80</v>
      </c>
      <c r="T41" s="335">
        <v>107</v>
      </c>
      <c r="U41" s="335">
        <v>99</v>
      </c>
      <c r="V41" s="335">
        <v>105</v>
      </c>
      <c r="W41" s="335">
        <v>121</v>
      </c>
      <c r="X41" s="335">
        <v>138</v>
      </c>
      <c r="Y41" s="335">
        <v>95</v>
      </c>
      <c r="Z41" s="335">
        <v>89</v>
      </c>
      <c r="AA41" s="335">
        <v>88</v>
      </c>
      <c r="AB41" s="336">
        <v>842</v>
      </c>
      <c r="AD41" s="42">
        <f t="shared" si="0"/>
        <v>-102.62527410422371</v>
      </c>
      <c r="AE41" s="42">
        <f t="shared" si="0"/>
        <v>-110.80953853799569</v>
      </c>
      <c r="AF41" s="42">
        <f t="shared" si="0"/>
        <v>-105</v>
      </c>
      <c r="AG41" s="42">
        <f t="shared" si="0"/>
        <v>-121</v>
      </c>
      <c r="AH41" s="42">
        <f t="shared" si="0"/>
        <v>-138</v>
      </c>
      <c r="AI41" s="42">
        <f t="shared" si="0"/>
        <v>-95</v>
      </c>
      <c r="AJ41" s="42">
        <f t="shared" si="0"/>
        <v>-89</v>
      </c>
      <c r="AK41" s="42">
        <f t="shared" si="0"/>
        <v>-88</v>
      </c>
      <c r="AL41" s="42">
        <f t="shared" si="0"/>
        <v>-849.43481264221919</v>
      </c>
    </row>
    <row r="42" spans="1:39" ht="12.75" customHeight="1">
      <c r="C42" s="39" t="s">
        <v>420</v>
      </c>
      <c r="D42" s="45">
        <f>'16-17 NGGT'!D42-'15-16 NGGT'!D42</f>
        <v>6.7930526331930139</v>
      </c>
      <c r="E42" s="45">
        <f>'16-17 NGGT'!E42-'15-16 NGGT'!E42</f>
        <v>-18.337792760862868</v>
      </c>
      <c r="F42" s="45">
        <f>'16-17 NGGT'!F42-'15-16 NGGT'!F42</f>
        <v>0</v>
      </c>
      <c r="G42" s="45">
        <f>'16-17 NGGT'!G42-'15-16 NGGT'!G42</f>
        <v>0</v>
      </c>
      <c r="H42" s="45">
        <f>'16-17 NGGT'!H42-'15-16 NGGT'!H42</f>
        <v>0</v>
      </c>
      <c r="I42" s="45">
        <f>'16-17 NGGT'!I42-'15-16 NGGT'!I42</f>
        <v>0</v>
      </c>
      <c r="J42" s="45">
        <f>'16-17 NGGT'!J42-'15-16 NGGT'!J42</f>
        <v>0</v>
      </c>
      <c r="K42" s="45">
        <f>'16-17 NGGT'!K42-'15-16 NGGT'!K42</f>
        <v>0</v>
      </c>
      <c r="L42" s="45">
        <f>'16-17 NGGT'!L42-'15-16 NGGT'!L42</f>
        <v>-11.544740127669456</v>
      </c>
      <c r="S42" s="39" t="s">
        <v>421</v>
      </c>
      <c r="T42" s="338">
        <v>201</v>
      </c>
      <c r="U42" s="338">
        <v>187</v>
      </c>
      <c r="V42" s="338">
        <v>198</v>
      </c>
      <c r="W42" s="338">
        <v>229</v>
      </c>
      <c r="X42" s="338">
        <v>260</v>
      </c>
      <c r="Y42" s="338">
        <v>179</v>
      </c>
      <c r="Z42" s="338">
        <v>167</v>
      </c>
      <c r="AA42" s="338">
        <v>166</v>
      </c>
      <c r="AB42" s="340">
        <v>1588</v>
      </c>
      <c r="AD42" s="45">
        <f t="shared" si="0"/>
        <v>-194.20694736680699</v>
      </c>
      <c r="AE42" s="45">
        <f t="shared" si="0"/>
        <v>-205.33779276086287</v>
      </c>
      <c r="AF42" s="45">
        <f t="shared" si="0"/>
        <v>-198</v>
      </c>
      <c r="AG42" s="45">
        <f t="shared" si="0"/>
        <v>-229</v>
      </c>
      <c r="AH42" s="45">
        <f t="shared" si="0"/>
        <v>-260</v>
      </c>
      <c r="AI42" s="45">
        <f t="shared" si="0"/>
        <v>-179</v>
      </c>
      <c r="AJ42" s="45">
        <f t="shared" si="0"/>
        <v>-167</v>
      </c>
      <c r="AK42" s="45">
        <f t="shared" si="0"/>
        <v>-166</v>
      </c>
      <c r="AL42" s="45">
        <f t="shared" si="0"/>
        <v>-1599.5447401276695</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'16-17 NGGT'!D44-'15-16 NGGT'!D44</f>
        <v>1.1916715977990933</v>
      </c>
      <c r="E44" s="43">
        <f>'16-17 NGGT'!E44-'15-16 NGGT'!E44</f>
        <v>2.2205462590902698</v>
      </c>
      <c r="F44" s="43">
        <f>'16-17 NGGT'!F44-'15-16 NGGT'!F44</f>
        <v>1.0751052755971937</v>
      </c>
      <c r="G44" s="43">
        <f>'16-17 NGGT'!G44-'15-16 NGGT'!G44</f>
        <v>1.2661992776253896</v>
      </c>
      <c r="H44" s="43">
        <f>'16-17 NGGT'!H44-'15-16 NGGT'!H44</f>
        <v>3.2025393538313374</v>
      </c>
      <c r="I44" s="43">
        <f>'16-17 NGGT'!I44-'15-16 NGGT'!I44</f>
        <v>3.2679532321837392</v>
      </c>
      <c r="J44" s="43">
        <f>'16-17 NGGT'!J44-'15-16 NGGT'!J44</f>
        <v>2.0504333599618434</v>
      </c>
      <c r="K44" s="43">
        <f>'16-17 NGGT'!K44-'15-16 NGGT'!K44</f>
        <v>0.64276664548145401</v>
      </c>
      <c r="L44" s="45">
        <f>'16-17 NGGT'!L44-'15-16 NGGT'!L44</f>
        <v>14.917215001570323</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'16-17 NGGT'!D45-'15-16 NGGT'!D45</f>
        <v>10.725044380191839</v>
      </c>
      <c r="E45" s="42">
        <f>'16-17 NGGT'!E45-'15-16 NGGT'!E45</f>
        <v>19.984916331812443</v>
      </c>
      <c r="F45" s="42">
        <f>'16-17 NGGT'!F45-'15-16 NGGT'!F45</f>
        <v>9.6759474803747523</v>
      </c>
      <c r="G45" s="42">
        <f>'16-17 NGGT'!G45-'15-16 NGGT'!G45</f>
        <v>11.395793498628507</v>
      </c>
      <c r="H45" s="42">
        <f>'16-17 NGGT'!H45-'15-16 NGGT'!H45</f>
        <v>28.822854184482036</v>
      </c>
      <c r="I45" s="42">
        <f>'16-17 NGGT'!I45-'15-16 NGGT'!I45</f>
        <v>29.41157908965366</v>
      </c>
      <c r="J45" s="42">
        <f>'16-17 NGGT'!J45-'15-16 NGGT'!J45</f>
        <v>18.453900239656594</v>
      </c>
      <c r="K45" s="42">
        <f>'16-17 NGGT'!K45-'15-16 NGGT'!K45</f>
        <v>5.7848998093330914</v>
      </c>
      <c r="L45" s="50">
        <f>'16-17 NGGT'!L45-'15-16 NGGT'!L45</f>
        <v>134.25493501413291</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'16-17 NGGT'!D46-'15-16 NGGT'!D46</f>
        <v>11.916715977990933</v>
      </c>
      <c r="E46" s="45">
        <f>'16-17 NGGT'!E46-'15-16 NGGT'!E46</f>
        <v>22.205462590902712</v>
      </c>
      <c r="F46" s="45">
        <f>'16-17 NGGT'!F46-'15-16 NGGT'!F46</f>
        <v>10.751052755971946</v>
      </c>
      <c r="G46" s="45">
        <f>'16-17 NGGT'!G46-'15-16 NGGT'!G46</f>
        <v>12.661992776253896</v>
      </c>
      <c r="H46" s="45">
        <f>'16-17 NGGT'!H46-'15-16 NGGT'!H46</f>
        <v>32.025393538313374</v>
      </c>
      <c r="I46" s="45">
        <f>'16-17 NGGT'!I46-'15-16 NGGT'!I46</f>
        <v>32.679532321837399</v>
      </c>
      <c r="J46" s="45">
        <f>'16-17 NGGT'!J46-'15-16 NGGT'!J46</f>
        <v>20.504333599618437</v>
      </c>
      <c r="K46" s="45">
        <f>'16-17 NGGT'!K46-'15-16 NGGT'!K46</f>
        <v>6.4276664548145455</v>
      </c>
      <c r="L46" s="45">
        <f>'16-17 NGGT'!L46-'15-16 NGGT'!L46</f>
        <v>149.17215001570324</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'16-17 NGGT'!D48-'15-16 NGGT'!D48</f>
        <v>15.099770275968126</v>
      </c>
      <c r="E48" s="44">
        <f>'16-17 NGGT'!E48-'15-16 NGGT'!E48</f>
        <v>8.1753777938167502</v>
      </c>
      <c r="F48" s="44">
        <f>'16-17 NGGT'!F48-'15-16 NGGT'!F48</f>
        <v>9.6759474803747594</v>
      </c>
      <c r="G48" s="44">
        <f>'16-17 NGGT'!G48-'15-16 NGGT'!G48</f>
        <v>11.395793498628507</v>
      </c>
      <c r="H48" s="44">
        <f>'16-17 NGGT'!H48-'15-16 NGGT'!H48</f>
        <v>28.822854184482054</v>
      </c>
      <c r="I48" s="44">
        <f>'16-17 NGGT'!I48-'15-16 NGGT'!I48</f>
        <v>29.411579089653657</v>
      </c>
      <c r="J48" s="44">
        <f>'16-17 NGGT'!J48-'15-16 NGGT'!J48</f>
        <v>18.453900239656605</v>
      </c>
      <c r="K48" s="44">
        <f>'16-17 NGGT'!K48-'15-16 NGGT'!K48</f>
        <v>5.7848998093330835</v>
      </c>
      <c r="L48" s="44">
        <f>'16-17 NGGT'!L48-'15-16 NGGT'!L48</f>
        <v>126.82012237191361</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-140.90022972403187</v>
      </c>
      <c r="AE48" s="44">
        <f t="shared" si="0"/>
        <v>-184.82462220618325</v>
      </c>
      <c r="AF48" s="44">
        <f t="shared" si="0"/>
        <v>-290.32405251962524</v>
      </c>
      <c r="AG48" s="44">
        <f t="shared" si="0"/>
        <v>-393.60420650137149</v>
      </c>
      <c r="AH48" s="44">
        <f t="shared" si="0"/>
        <v>-498.17714581551797</v>
      </c>
      <c r="AI48" s="44">
        <f t="shared" si="0"/>
        <v>-438.58842091034637</v>
      </c>
      <c r="AJ48" s="44">
        <f t="shared" si="0"/>
        <v>-495.5460997603434</v>
      </c>
      <c r="AK48" s="44">
        <f t="shared" si="0"/>
        <v>-546.21510019066693</v>
      </c>
      <c r="AL48" s="44">
        <f t="shared" si="0"/>
        <v>-2987.1798776280866</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'16-17 NGGT'!D52-'15-16 NGGT'!D52</f>
        <v>0</v>
      </c>
      <c r="E52" s="41">
        <f>'16-17 NGGT'!E52-'15-16 NGGT'!E52</f>
        <v>-8.7110055051152813</v>
      </c>
      <c r="F52" s="41">
        <f>'16-17 NGGT'!F52-'15-16 NGGT'!F52</f>
        <v>-0.34204981118546129</v>
      </c>
      <c r="G52" s="41">
        <f>'16-17 NGGT'!G52-'15-16 NGGT'!G52</f>
        <v>9.3458005072179731</v>
      </c>
      <c r="H52" s="41">
        <f>'16-17 NGGT'!H52-'15-16 NGGT'!H52</f>
        <v>20.538475788755022</v>
      </c>
      <c r="I52" s="41">
        <f>'16-17 NGGT'!I52-'15-16 NGGT'!I52</f>
        <v>48.904971900620694</v>
      </c>
      <c r="J52" s="41">
        <f>'16-17 NGGT'!J52-'15-16 NGGT'!J52</f>
        <v>77.219685046892664</v>
      </c>
      <c r="K52" s="41">
        <f>'16-17 NGGT'!K52-'15-16 NGGT'!K52</f>
        <v>93.9231286967306</v>
      </c>
    </row>
    <row r="53" spans="1:14" ht="13.8" thickBot="1">
      <c r="C53" s="10" t="s">
        <v>86</v>
      </c>
      <c r="D53" s="42">
        <f>'16-17 NGGT'!D53-'15-16 NGGT'!D53</f>
        <v>-8.711005505115736</v>
      </c>
      <c r="E53" s="42">
        <f>'16-17 NGGT'!E53-'15-16 NGGT'!E53</f>
        <v>8.1753777938167502</v>
      </c>
      <c r="F53" s="42">
        <f>'16-17 NGGT'!F53-'15-16 NGGT'!F53</f>
        <v>9.6759474803747594</v>
      </c>
      <c r="G53" s="42">
        <f>'16-17 NGGT'!G53-'15-16 NGGT'!G53</f>
        <v>11.39579349862845</v>
      </c>
      <c r="H53" s="42">
        <f>'16-17 NGGT'!H53-'15-16 NGGT'!H53</f>
        <v>28.822854184482026</v>
      </c>
      <c r="I53" s="42">
        <f>'16-17 NGGT'!I53-'15-16 NGGT'!I53</f>
        <v>29.411579089653657</v>
      </c>
      <c r="J53" s="42">
        <f>'16-17 NGGT'!J53-'15-16 NGGT'!J53</f>
        <v>18.453900239656619</v>
      </c>
      <c r="K53" s="42">
        <f>'16-17 NGGT'!K53-'15-16 NGGT'!K53</f>
        <v>5.7848998093330835</v>
      </c>
    </row>
    <row r="54" spans="1:14">
      <c r="C54" s="11" t="s">
        <v>92</v>
      </c>
      <c r="D54" s="41">
        <f>'16-17 NGGT'!D54-'15-16 NGGT'!D54</f>
        <v>0</v>
      </c>
      <c r="E54" s="41">
        <f>'16-17 NGGT'!E54-'15-16 NGGT'!E54</f>
        <v>0</v>
      </c>
      <c r="F54" s="41">
        <f>'16-17 NGGT'!F54-'15-16 NGGT'!F54</f>
        <v>0</v>
      </c>
      <c r="G54" s="41">
        <f>'16-17 NGGT'!G54-'15-16 NGGT'!G54</f>
        <v>0</v>
      </c>
      <c r="H54" s="41">
        <f>'16-17 NGGT'!H54-'15-16 NGGT'!H54</f>
        <v>0</v>
      </c>
      <c r="I54" s="41">
        <f>'16-17 NGGT'!I54-'15-16 NGGT'!I54</f>
        <v>0</v>
      </c>
      <c r="J54" s="41">
        <f>'16-17 NGGT'!J54-'15-16 NGGT'!J54</f>
        <v>0</v>
      </c>
      <c r="K54" s="41">
        <f>'16-17 NGGT'!K54-'15-16 NGGT'!K54</f>
        <v>0</v>
      </c>
    </row>
    <row r="55" spans="1:14">
      <c r="C55" s="10" t="s">
        <v>93</v>
      </c>
      <c r="D55" s="42">
        <f>'16-17 NGGT'!D55-'15-16 NGGT'!D55</f>
        <v>0</v>
      </c>
      <c r="E55" s="42">
        <f>'16-17 NGGT'!E55-'15-16 NGGT'!E55</f>
        <v>0.19357790011368348</v>
      </c>
      <c r="F55" s="42">
        <f>'16-17 NGGT'!F55-'15-16 NGGT'!F55</f>
        <v>1.1902838028866825E-2</v>
      </c>
      <c r="G55" s="42">
        <f>'16-17 NGGT'!G55-'15-16 NGGT'!G55</f>
        <v>-0.20311821709057298</v>
      </c>
      <c r="H55" s="42">
        <f>'16-17 NGGT'!H55-'15-16 NGGT'!H55</f>
        <v>-0.4563580726156502</v>
      </c>
      <c r="I55" s="42">
        <f>'16-17 NGGT'!I55-'15-16 NGGT'!I55</f>
        <v>-1.0968659433819177</v>
      </c>
      <c r="J55" s="42">
        <f>'16-17 NGGT'!J55-'15-16 NGGT'!J55</f>
        <v>-1.7504565898186648</v>
      </c>
      <c r="K55" s="42">
        <f>'16-17 NGGT'!K55-'15-16 NGGT'!K55</f>
        <v>-2.1605432618110321</v>
      </c>
      <c r="N55" s="208"/>
    </row>
    <row r="56" spans="1:14" ht="13.8" thickBot="1">
      <c r="C56" s="23" t="s">
        <v>94</v>
      </c>
      <c r="D56" s="44">
        <f>'16-17 NGGT'!D56-'15-16 NGGT'!D56</f>
        <v>-8.7110055051152813</v>
      </c>
      <c r="E56" s="44">
        <f>'16-17 NGGT'!E56-'15-16 NGGT'!E56</f>
        <v>-0.34204981118546129</v>
      </c>
      <c r="F56" s="44">
        <f>'16-17 NGGT'!F56-'15-16 NGGT'!F56</f>
        <v>9.3458005072179731</v>
      </c>
      <c r="G56" s="44">
        <f>'16-17 NGGT'!G56-'15-16 NGGT'!G56</f>
        <v>20.538475788755022</v>
      </c>
      <c r="H56" s="44">
        <f>'16-17 NGGT'!H56-'15-16 NGGT'!H56</f>
        <v>48.904971900620694</v>
      </c>
      <c r="I56" s="44">
        <f>'16-17 NGGT'!I56-'15-16 NGGT'!I56</f>
        <v>77.219685046892664</v>
      </c>
      <c r="J56" s="44">
        <f>'16-17 NGGT'!J56-'15-16 NGGT'!J56</f>
        <v>93.9231286967306</v>
      </c>
      <c r="K56" s="44">
        <f>'16-17 NGGT'!K56-'15-16 NGGT'!K56</f>
        <v>97.54748524425213</v>
      </c>
      <c r="N56" s="209"/>
    </row>
    <row r="58" spans="1:14">
      <c r="D58" s="53"/>
      <c r="E58" s="53"/>
      <c r="F58" s="53"/>
      <c r="G58" s="53"/>
      <c r="H58" s="53"/>
      <c r="I58" s="53"/>
      <c r="J58" s="53"/>
      <c r="K58" s="53"/>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'16-17 NGGT'!D61-'15-16 NGGT'!D61</f>
        <v>0</v>
      </c>
      <c r="E61" s="41">
        <f>'16-17 NGGT'!E61-'15-16 NGGT'!E61</f>
        <v>-8.7110055051161908</v>
      </c>
      <c r="F61" s="41">
        <f>'16-17 NGGT'!F61-'15-16 NGGT'!F61</f>
        <v>-0.34204981118637079</v>
      </c>
      <c r="G61" s="41">
        <f>'16-17 NGGT'!G61-'15-16 NGGT'!G61</f>
        <v>9.3458005072170636</v>
      </c>
      <c r="H61" s="41">
        <f>'16-17 NGGT'!H61-'15-16 NGGT'!H61</f>
        <v>20.538475788755022</v>
      </c>
      <c r="I61" s="41">
        <f>'16-17 NGGT'!I61-'15-16 NGGT'!I61</f>
        <v>48.904971900621604</v>
      </c>
      <c r="J61" s="41">
        <f>'16-17 NGGT'!J61-'15-16 NGGT'!J61</f>
        <v>77.219685046892664</v>
      </c>
      <c r="K61" s="41">
        <f>'16-17 NGGT'!K61-'15-16 NGGT'!K61</f>
        <v>93.9231286967306</v>
      </c>
    </row>
    <row r="62" spans="1:14">
      <c r="C62" s="10" t="s">
        <v>85</v>
      </c>
      <c r="D62" s="42">
        <f>'16-17 NGGT'!D62-'15-16 NGGT'!D62</f>
        <v>0</v>
      </c>
      <c r="E62" s="42">
        <f>'16-17 NGGT'!E62-'15-16 NGGT'!E62</f>
        <v>0</v>
      </c>
      <c r="F62" s="42">
        <f>'16-17 NGGT'!F62-'15-16 NGGT'!F62</f>
        <v>0</v>
      </c>
      <c r="G62" s="42">
        <f>'16-17 NGGT'!G62-'15-16 NGGT'!G62</f>
        <v>0</v>
      </c>
      <c r="H62" s="42">
        <f>'16-17 NGGT'!H62-'15-16 NGGT'!H62</f>
        <v>0</v>
      </c>
      <c r="I62" s="42">
        <f>'16-17 NGGT'!I62-'15-16 NGGT'!I62</f>
        <v>0</v>
      </c>
      <c r="J62" s="42">
        <f>'16-17 NGGT'!J62-'15-16 NGGT'!J62</f>
        <v>0</v>
      </c>
      <c r="K62" s="42">
        <f>'16-17 NGGT'!K62-'15-16 NGGT'!K62</f>
        <v>0</v>
      </c>
    </row>
    <row r="63" spans="1:14">
      <c r="C63" s="11" t="s">
        <v>86</v>
      </c>
      <c r="D63" s="43">
        <f>'16-17 NGGT'!D63-'15-16 NGGT'!D63</f>
        <v>-8.711005505115736</v>
      </c>
      <c r="E63" s="43">
        <f>'16-17 NGGT'!E63-'15-16 NGGT'!E63</f>
        <v>8.1753777938167644</v>
      </c>
      <c r="F63" s="43">
        <f>'16-17 NGGT'!F63-'15-16 NGGT'!F63</f>
        <v>9.6759474803747736</v>
      </c>
      <c r="G63" s="43">
        <f>'16-17 NGGT'!G63-'15-16 NGGT'!G63</f>
        <v>11.395793498628507</v>
      </c>
      <c r="H63" s="43">
        <f>'16-17 NGGT'!H63-'15-16 NGGT'!H63</f>
        <v>28.822854184482054</v>
      </c>
      <c r="I63" s="43">
        <f>'16-17 NGGT'!I63-'15-16 NGGT'!I63</f>
        <v>29.411579089653657</v>
      </c>
      <c r="J63" s="43">
        <f>'16-17 NGGT'!J63-'15-16 NGGT'!J63</f>
        <v>18.453900239656619</v>
      </c>
      <c r="K63" s="43">
        <f>'16-17 NGGT'!K63-'15-16 NGGT'!K63</f>
        <v>5.7848998093330835</v>
      </c>
    </row>
    <row r="64" spans="1:14">
      <c r="C64" s="10" t="s">
        <v>87</v>
      </c>
      <c r="D64" s="42">
        <f>'16-17 NGGT'!D64-'15-16 NGGT'!D64</f>
        <v>0</v>
      </c>
      <c r="E64" s="42">
        <f>'16-17 NGGT'!E64-'15-16 NGGT'!E64</f>
        <v>0.1935779001136666</v>
      </c>
      <c r="F64" s="42">
        <f>'16-17 NGGT'!F64-'15-16 NGGT'!F64</f>
        <v>1.190283802887393E-2</v>
      </c>
      <c r="G64" s="42">
        <f>'16-17 NGGT'!G64-'15-16 NGGT'!G64</f>
        <v>-0.20311821709057654</v>
      </c>
      <c r="H64" s="42">
        <f>'16-17 NGGT'!H64-'15-16 NGGT'!H64</f>
        <v>-0.45635807261567152</v>
      </c>
      <c r="I64" s="42">
        <f>'16-17 NGGT'!I64-'15-16 NGGT'!I64</f>
        <v>-1.0968659433819425</v>
      </c>
      <c r="J64" s="42">
        <f>'16-17 NGGT'!J64-'15-16 NGGT'!J64</f>
        <v>-1.7504565898186968</v>
      </c>
      <c r="K64" s="42">
        <f>'16-17 NGGT'!K64-'15-16 NGGT'!K64</f>
        <v>-2.1605432618110569</v>
      </c>
    </row>
    <row r="65" spans="1:14">
      <c r="C65" s="39" t="s">
        <v>94</v>
      </c>
      <c r="D65" s="45">
        <f>'16-17 NGGT'!D65-'15-16 NGGT'!D65</f>
        <v>-8.7110055051161908</v>
      </c>
      <c r="E65" s="45">
        <f>'16-17 NGGT'!E65-'15-16 NGGT'!E65</f>
        <v>-0.34204981118637079</v>
      </c>
      <c r="F65" s="45">
        <f>'16-17 NGGT'!F65-'15-16 NGGT'!F65</f>
        <v>9.3458005072170636</v>
      </c>
      <c r="G65" s="45">
        <f>'16-17 NGGT'!G65-'15-16 NGGT'!G65</f>
        <v>20.538475788755022</v>
      </c>
      <c r="H65" s="45">
        <f>'16-17 NGGT'!H65-'15-16 NGGT'!H65</f>
        <v>48.904971900621604</v>
      </c>
      <c r="I65" s="45">
        <f>'16-17 NGGT'!I65-'15-16 NGGT'!I65</f>
        <v>77.219685046892664</v>
      </c>
      <c r="J65" s="45">
        <f>'16-17 NGGT'!J65-'15-16 NGGT'!J65</f>
        <v>93.9231286967306</v>
      </c>
      <c r="K65" s="45">
        <f>'16-17 NGGT'!K65-'15-16 NGGT'!K65</f>
        <v>97.54748524425213</v>
      </c>
    </row>
    <row r="66" spans="1:14">
      <c r="C66" s="10" t="s">
        <v>89</v>
      </c>
      <c r="D66" s="42">
        <f>'16-17 NGGT'!D66-'15-16 NGGT'!D66</f>
        <v>0</v>
      </c>
      <c r="E66" s="42">
        <f>'16-17 NGGT'!E66-'15-16 NGGT'!E66</f>
        <v>0</v>
      </c>
      <c r="F66" s="42">
        <f>'16-17 NGGT'!F66-'15-16 NGGT'!F66</f>
        <v>0</v>
      </c>
      <c r="G66" s="42">
        <f>'16-17 NGGT'!G66-'15-16 NGGT'!G66</f>
        <v>0</v>
      </c>
      <c r="H66" s="42">
        <f>'16-17 NGGT'!H66-'15-16 NGGT'!H66</f>
        <v>0</v>
      </c>
      <c r="I66" s="42">
        <f>'16-17 NGGT'!I66-'15-16 NGGT'!I66</f>
        <v>0</v>
      </c>
      <c r="J66" s="42">
        <f>'16-17 NGGT'!J66-'15-16 NGGT'!J66</f>
        <v>0</v>
      </c>
      <c r="K66" s="42">
        <f>'16-17 NGGT'!K66-'15-16 NGGT'!K66</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'16-17 NGGT'!D70-'15-16 NGGT'!D70</f>
        <v>3.6099983352158134</v>
      </c>
      <c r="E70" s="42">
        <f>'16-17 NGGT'!E70-'15-16 NGGT'!E70</f>
        <v>-4.307707963776906</v>
      </c>
      <c r="F70" s="42">
        <f>'16-17 NGGT'!F70-'15-16 NGGT'!F70</f>
        <v>1.0751052755971955</v>
      </c>
      <c r="G70" s="42">
        <f>'16-17 NGGT'!G70-'15-16 NGGT'!G70</f>
        <v>1.2661992776253896</v>
      </c>
      <c r="H70" s="42">
        <f>'16-17 NGGT'!H70-'15-16 NGGT'!H70</f>
        <v>3.2025393538313693</v>
      </c>
      <c r="I70" s="42">
        <f>'16-17 NGGT'!I70-'15-16 NGGT'!I70</f>
        <v>3.2679532321837428</v>
      </c>
      <c r="J70" s="42">
        <f>'16-17 NGGT'!J70-'15-16 NGGT'!J70</f>
        <v>2.0504333599618576</v>
      </c>
      <c r="K70" s="42">
        <f>'16-17 NGGT'!K70-'15-16 NGGT'!K70</f>
        <v>0.64276664548143714</v>
      </c>
    </row>
    <row r="71" spans="1:14">
      <c r="C71" s="11" t="s">
        <v>98</v>
      </c>
      <c r="D71" s="43">
        <f>'16-17 NGGT'!D71-'15-16 NGGT'!D71</f>
        <v>0</v>
      </c>
      <c r="E71" s="43">
        <f>'16-17 NGGT'!E71-'15-16 NGGT'!E71</f>
        <v>0</v>
      </c>
      <c r="F71" s="43">
        <f>'16-17 NGGT'!F71-'15-16 NGGT'!F71</f>
        <v>0</v>
      </c>
      <c r="G71" s="43">
        <f>'16-17 NGGT'!G71-'15-16 NGGT'!G71</f>
        <v>0</v>
      </c>
      <c r="H71" s="43">
        <f>'16-17 NGGT'!H71-'15-16 NGGT'!H71</f>
        <v>0</v>
      </c>
      <c r="I71" s="43">
        <f>'16-17 NGGT'!I71-'15-16 NGGT'!I71</f>
        <v>0</v>
      </c>
      <c r="J71" s="43">
        <f>'16-17 NGGT'!J71-'15-16 NGGT'!J71</f>
        <v>0</v>
      </c>
      <c r="K71" s="43">
        <f>'16-17 NGGT'!K71-'15-16 NGGT'!K71</f>
        <v>0</v>
      </c>
    </row>
    <row r="72" spans="1:14">
      <c r="C72" s="10" t="s">
        <v>99</v>
      </c>
      <c r="D72" s="42">
        <f>'16-17 NGGT'!D72-'15-16 NGGT'!D72</f>
        <v>0</v>
      </c>
      <c r="E72" s="42">
        <f>'16-17 NGGT'!E72-'15-16 NGGT'!E72</f>
        <v>0</v>
      </c>
      <c r="F72" s="42">
        <f>'16-17 NGGT'!F72-'15-16 NGGT'!F72</f>
        <v>0</v>
      </c>
      <c r="G72" s="42">
        <f>'16-17 NGGT'!G72-'15-16 NGGT'!G72</f>
        <v>-1.340712705354008E-2</v>
      </c>
      <c r="H72" s="42">
        <f>'16-17 NGGT'!H72-'15-16 NGGT'!H72</f>
        <v>-2.7911124689154576E-2</v>
      </c>
      <c r="I72" s="42">
        <f>'16-17 NGGT'!I72-'15-16 NGGT'!I72</f>
        <v>-4.3579299984060071E-2</v>
      </c>
      <c r="J72" s="42">
        <f>'16-17 NGGT'!J72-'15-16 NGGT'!J72</f>
        <v>-6.0482631468389059E-2</v>
      </c>
      <c r="K72" s="42">
        <f>'16-17 NGGT'!K72-'15-16 NGGT'!K72</f>
        <v>-7.8695956888594765E-2</v>
      </c>
    </row>
    <row r="73" spans="1:14">
      <c r="C73" s="11" t="s">
        <v>100</v>
      </c>
      <c r="D73" s="43">
        <f>'16-17 NGGT'!D73-'15-16 NGGT'!D73</f>
        <v>0</v>
      </c>
      <c r="E73" s="43">
        <f>'16-17 NGGT'!E73-'15-16 NGGT'!E73</f>
        <v>0</v>
      </c>
      <c r="F73" s="43">
        <f>'16-17 NGGT'!F73-'15-16 NGGT'!F73</f>
        <v>0</v>
      </c>
      <c r="G73" s="43">
        <f>'16-17 NGGT'!G73-'15-16 NGGT'!G73</f>
        <v>0</v>
      </c>
      <c r="H73" s="43">
        <f>'16-17 NGGT'!H73-'15-16 NGGT'!H73</f>
        <v>0</v>
      </c>
      <c r="I73" s="43">
        <f>'16-17 NGGT'!I73-'15-16 NGGT'!I73</f>
        <v>0</v>
      </c>
      <c r="J73" s="43">
        <f>'16-17 NGGT'!J73-'15-16 NGGT'!J73</f>
        <v>0</v>
      </c>
      <c r="K73" s="43">
        <f>'16-17 NGGT'!K73-'15-16 NGGT'!K73</f>
        <v>0</v>
      </c>
    </row>
    <row r="74" spans="1:14">
      <c r="C74" s="10" t="s">
        <v>101</v>
      </c>
      <c r="D74" s="42">
        <f>'16-17 NGGT'!D74-'15-16 NGGT'!D74</f>
        <v>0</v>
      </c>
      <c r="E74" s="42">
        <f>'16-17 NGGT'!E74-'15-16 NGGT'!E74</f>
        <v>0</v>
      </c>
      <c r="F74" s="42">
        <f>'16-17 NGGT'!F74-'15-16 NGGT'!F74</f>
        <v>0</v>
      </c>
      <c r="G74" s="42">
        <f>'16-17 NGGT'!G74-'15-16 NGGT'!G74</f>
        <v>0</v>
      </c>
      <c r="H74" s="42">
        <f>'16-17 NGGT'!H74-'15-16 NGGT'!H74</f>
        <v>0</v>
      </c>
      <c r="I74" s="42">
        <f>'16-17 NGGT'!I74-'15-16 NGGT'!I74</f>
        <v>0</v>
      </c>
      <c r="J74" s="42">
        <f>'16-17 NGGT'!J74-'15-16 NGGT'!J74</f>
        <v>0</v>
      </c>
      <c r="K74" s="42">
        <f>'16-17 NGGT'!K74-'15-16 NGGT'!K74</f>
        <v>0</v>
      </c>
    </row>
    <row r="75" spans="1:14">
      <c r="C75" s="11" t="s">
        <v>102</v>
      </c>
      <c r="D75" s="43">
        <f>'16-17 NGGT'!D75-'15-16 NGGT'!D75</f>
        <v>-1.7524540600909031</v>
      </c>
      <c r="E75" s="43">
        <f>'16-17 NGGT'!E75-'15-16 NGGT'!E75</f>
        <v>-3.3530207677934953</v>
      </c>
      <c r="F75" s="43">
        <f>'16-17 NGGT'!F75-'15-16 NGGT'!F75</f>
        <v>6.8850901450300483E-2</v>
      </c>
      <c r="G75" s="43">
        <f>'16-17 NGGT'!G75-'15-16 NGGT'!G75</f>
        <v>-0.37987495712428654</v>
      </c>
      <c r="H75" s="43">
        <f>'16-17 NGGT'!H75-'15-16 NGGT'!H75</f>
        <v>-0.80240987060186697</v>
      </c>
      <c r="I75" s="43">
        <f>'16-17 NGGT'!I75-'15-16 NGGT'!I75</f>
        <v>-1.4679048644151251</v>
      </c>
      <c r="J75" s="43">
        <f>'16-17 NGGT'!J75-'15-16 NGGT'!J75</f>
        <v>-1.9271745144052197</v>
      </c>
      <c r="K75" s="43">
        <f>'16-17 NGGT'!K75-'15-16 NGGT'!K75</f>
        <v>-1.9981494310361008</v>
      </c>
    </row>
    <row r="76" spans="1:14">
      <c r="C76" s="10" t="s">
        <v>103</v>
      </c>
      <c r="D76" s="42">
        <f>'16-17 NGGT'!D76-'15-16 NGGT'!D76</f>
        <v>-0.18256598364018828</v>
      </c>
      <c r="E76" s="42">
        <f>'16-17 NGGT'!E76-'15-16 NGGT'!E76</f>
        <v>-0.38565900545484055</v>
      </c>
      <c r="F76" s="42">
        <f>'16-17 NGGT'!F76-'15-16 NGGT'!F76</f>
        <v>0.16693919388694667</v>
      </c>
      <c r="G76" s="42">
        <f>'16-17 NGGT'!G76-'15-16 NGGT'!G76</f>
        <v>-3.6196216338458953</v>
      </c>
      <c r="H76" s="42">
        <f>'16-17 NGGT'!H76-'15-16 NGGT'!H76</f>
        <v>-3.1091255072508943</v>
      </c>
      <c r="I76" s="42">
        <f>'16-17 NGGT'!I76-'15-16 NGGT'!I76</f>
        <v>-1.4253099087158034</v>
      </c>
      <c r="J76" s="42">
        <f>'16-17 NGGT'!J76-'15-16 NGGT'!J76</f>
        <v>0.13991622415926486</v>
      </c>
      <c r="K76" s="42">
        <f>'16-17 NGGT'!K76-'15-16 NGGT'!K76</f>
        <v>1.0092803833971402</v>
      </c>
    </row>
    <row r="77" spans="1:14">
      <c r="C77" s="11" t="s">
        <v>104</v>
      </c>
      <c r="D77" s="43">
        <f>'16-17 NGGT'!D77-'15-16 NGGT'!D77</f>
        <v>-0.50322894775598925</v>
      </c>
      <c r="E77" s="43">
        <f>'16-17 NGGT'!E77-'15-16 NGGT'!E77</f>
        <v>-0.52461617803561822</v>
      </c>
      <c r="F77" s="43">
        <f>'16-17 NGGT'!F77-'15-16 NGGT'!F77</f>
        <v>-0.54635496091296787</v>
      </c>
      <c r="G77" s="43">
        <f>'16-17 NGGT'!G77-'15-16 NGGT'!G77</f>
        <v>-0.58210559322033895</v>
      </c>
      <c r="H77" s="43">
        <f>'16-17 NGGT'!H77-'15-16 NGGT'!H77</f>
        <v>-0.61986700094175973</v>
      </c>
      <c r="I77" s="43">
        <f>'16-17 NGGT'!I77-'15-16 NGGT'!I77</f>
        <v>-0.65974387843643356</v>
      </c>
      <c r="J77" s="43">
        <f>'16-17 NGGT'!J77-'15-16 NGGT'!J77</f>
        <v>-0.70184612126500845</v>
      </c>
      <c r="K77" s="43">
        <f>'16-17 NGGT'!K77-'15-16 NGGT'!K77</f>
        <v>-0.746289076555124</v>
      </c>
    </row>
    <row r="78" spans="1:14">
      <c r="C78" s="12" t="s">
        <v>105</v>
      </c>
      <c r="D78" s="50">
        <f>'16-17 NGGT'!D78-'15-16 NGGT'!D78</f>
        <v>1.1717493437286066</v>
      </c>
      <c r="E78" s="50">
        <f>'16-17 NGGT'!E78-'15-16 NGGT'!E78</f>
        <v>-8.5710039150608281</v>
      </c>
      <c r="F78" s="50">
        <f>'16-17 NGGT'!F78-'15-16 NGGT'!F78</f>
        <v>0.76454041002136819</v>
      </c>
      <c r="G78" s="50">
        <f>'16-17 NGGT'!G78-'15-16 NGGT'!G78</f>
        <v>-3.3288100336187654</v>
      </c>
      <c r="H78" s="50">
        <f>'16-17 NGGT'!H78-'15-16 NGGT'!H78</f>
        <v>-1.3567741496522103</v>
      </c>
      <c r="I78" s="50">
        <f>'16-17 NGGT'!I78-'15-16 NGGT'!I78</f>
        <v>-0.32858471936754086</v>
      </c>
      <c r="J78" s="50">
        <f>'16-17 NGGT'!J78-'15-16 NGGT'!J78</f>
        <v>-0.49915368301753915</v>
      </c>
      <c r="K78" s="50">
        <f>'16-17 NGGT'!K78-'15-16 NGGT'!K78</f>
        <v>-1.1710874356012937</v>
      </c>
    </row>
    <row r="79" spans="1:14">
      <c r="C79" s="11" t="s">
        <v>106</v>
      </c>
      <c r="D79" s="43">
        <f>'16-17 NGGT'!D79-'15-16 NGGT'!D79</f>
        <v>0</v>
      </c>
      <c r="E79" s="43">
        <f>'16-17 NGGT'!E79-'15-16 NGGT'!E79</f>
        <v>0</v>
      </c>
      <c r="F79" s="43">
        <f>'16-17 NGGT'!F79-'15-16 NGGT'!F79</f>
        <v>0</v>
      </c>
      <c r="G79" s="43">
        <f>'16-17 NGGT'!G79-'15-16 NGGT'!G79</f>
        <v>0</v>
      </c>
      <c r="H79" s="43">
        <f>'16-17 NGGT'!H79-'15-16 NGGT'!H79</f>
        <v>0</v>
      </c>
      <c r="I79" s="43">
        <f>'16-17 NGGT'!I79-'15-16 NGGT'!I79</f>
        <v>0</v>
      </c>
      <c r="J79" s="43">
        <f>'16-17 NGGT'!J79-'15-16 NGGT'!J79</f>
        <v>0</v>
      </c>
      <c r="K79" s="43">
        <f>'16-17 NGGT'!K79-'15-16 NGGT'!K79</f>
        <v>0</v>
      </c>
      <c r="N79" s="208"/>
    </row>
    <row r="80" spans="1:14" ht="13.8" thickBot="1">
      <c r="A80" s="38"/>
      <c r="C80" s="13" t="s">
        <v>107</v>
      </c>
      <c r="D80" s="52">
        <f>'16-17 NGGT'!D80-'15-16 NGGT'!D80</f>
        <v>1.1717493437286066</v>
      </c>
      <c r="E80" s="52">
        <f>'16-17 NGGT'!E80-'15-16 NGGT'!E80</f>
        <v>-8.5710039150608281</v>
      </c>
      <c r="F80" s="52">
        <f>'16-17 NGGT'!F80-'15-16 NGGT'!F80</f>
        <v>0.76454041002136819</v>
      </c>
      <c r="G80" s="52">
        <f>'16-17 NGGT'!G80-'15-16 NGGT'!G80</f>
        <v>-3.3288100336187654</v>
      </c>
      <c r="H80" s="52">
        <f>'16-17 NGGT'!H80-'15-16 NGGT'!H80</f>
        <v>-1.3567741496522103</v>
      </c>
      <c r="I80" s="52">
        <f>'16-17 NGGT'!I80-'15-16 NGGT'!I80</f>
        <v>-0.32858471936754086</v>
      </c>
      <c r="J80" s="52">
        <f>'16-17 NGGT'!J80-'15-16 NGGT'!J80</f>
        <v>-0.49915368301753915</v>
      </c>
      <c r="K80" s="52">
        <f>'16-17 NGGT'!K80-'15-16 NGGT'!K80</f>
        <v>-1.1710874356012937</v>
      </c>
      <c r="N80" s="209"/>
    </row>
    <row r="81" spans="3:14">
      <c r="E81" s="53"/>
    </row>
    <row r="82" spans="3:14" ht="13.8" thickBot="1">
      <c r="E82" s="109" t="s">
        <v>393</v>
      </c>
      <c r="F82" s="53">
        <f>D80*1.04375*1.0425*1.04144+E80*1.0425*1.04144+F80*1.04144+G80</f>
        <v>-10.51030921320638</v>
      </c>
      <c r="G82" s="109" t="s">
        <v>201</v>
      </c>
      <c r="H82" s="53">
        <f>F82-'GT workings 16-17'!G107+'NGGT differences 15-16'!G80+'NGGT differences 14-15'!G80</f>
        <v>2.1243253652194483E-3</v>
      </c>
      <c r="I82" s="109"/>
      <c r="J82" s="109"/>
      <c r="K82" s="109"/>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406</v>
      </c>
      <c r="D85" s="126">
        <f>'16-17 NGGT'!D85-'15-16 NGGT'!D85</f>
        <v>0</v>
      </c>
      <c r="E85" s="126">
        <f>'16-17 NGGT'!E85-'15-16 NGGT'!E85</f>
        <v>0</v>
      </c>
      <c r="F85" s="126">
        <f>'16-17 NGGT'!F85-'15-16 NGGT'!F85</f>
        <v>0</v>
      </c>
      <c r="G85" s="126">
        <f>'16-17 NGGT'!G85-'15-16 NGGT'!G85</f>
        <v>0</v>
      </c>
      <c r="H85" s="126">
        <f>'16-17 NGGT'!H85-'15-16 NGGT'!H85</f>
        <v>0</v>
      </c>
      <c r="I85" s="126">
        <f>'16-17 NGGT'!I85-'15-16 NGGT'!I85</f>
        <v>0</v>
      </c>
      <c r="J85" s="126">
        <f>'16-17 NGGT'!J85-'15-16 NGGT'!J85</f>
        <v>0</v>
      </c>
      <c r="K85" s="126">
        <f>'16-17 NGGT'!K85-'15-16 NGGT'!K85</f>
        <v>0</v>
      </c>
      <c r="L85" s="126">
        <f>'16-17 NGGT'!L85-'15-16 NGGT'!L85</f>
        <v>0</v>
      </c>
      <c r="M85" s="53">
        <f>'16-17 NGGT'!M85-'15-16 NGGT'!M85</f>
        <v>0</v>
      </c>
      <c r="N85" s="53">
        <f>'16-17 NGGT'!N85-'15-16 NGGT'!N85</f>
        <v>0</v>
      </c>
    </row>
    <row r="86" spans="3:14">
      <c r="C86" s="17" t="s">
        <v>407</v>
      </c>
      <c r="D86" s="126">
        <f>'16-17 NGGT'!D86-'15-16 NGGT'!D86</f>
        <v>0</v>
      </c>
      <c r="E86" s="126">
        <f>'16-17 NGGT'!E86-'15-16 NGGT'!E86</f>
        <v>0</v>
      </c>
      <c r="F86" s="126">
        <f>'16-17 NGGT'!F86-'15-16 NGGT'!F86</f>
        <v>0</v>
      </c>
      <c r="G86" s="126">
        <f>'16-17 NGGT'!G86-'15-16 NGGT'!G86</f>
        <v>0</v>
      </c>
      <c r="H86" s="126">
        <f>'16-17 NGGT'!H86-'15-16 NGGT'!H86</f>
        <v>0</v>
      </c>
      <c r="I86" s="126">
        <f>'16-17 NGGT'!I86-'15-16 NGGT'!I86</f>
        <v>0</v>
      </c>
      <c r="J86" s="126">
        <f>'16-17 NGGT'!J86-'15-16 NGGT'!J86</f>
        <v>0</v>
      </c>
      <c r="K86" s="126">
        <f>'16-17 NGGT'!K86-'15-16 NGGT'!K86</f>
        <v>0</v>
      </c>
      <c r="L86" s="126">
        <f>'16-17 NGGT'!L86-'15-16 NGGT'!L86</f>
        <v>0</v>
      </c>
      <c r="M86" s="53">
        <f>'16-17 NGGT'!M86-'15-16 NGGT'!M86</f>
        <v>0</v>
      </c>
      <c r="N86" s="53">
        <f>'16-17 NGGT'!N86-'15-16 NGGT'!N86</f>
        <v>0</v>
      </c>
    </row>
    <row r="87" spans="3:14">
      <c r="C87" s="18" t="s">
        <v>44</v>
      </c>
      <c r="D87" s="128">
        <f>'16-17 NGGT'!D87-'15-16 NGGT'!D87</f>
        <v>26.86365188906883</v>
      </c>
      <c r="E87" s="128">
        <f>'16-17 NGGT'!E87-'15-16 NGGT'!E87</f>
        <v>18.171864188371163</v>
      </c>
      <c r="F87" s="128">
        <f>'16-17 NGGT'!F87-'15-16 NGGT'!F87</f>
        <v>10.751052755971946</v>
      </c>
      <c r="G87" s="128">
        <f>'16-17 NGGT'!G87-'15-16 NGGT'!G87</f>
        <v>12.661992776253896</v>
      </c>
      <c r="H87" s="128">
        <f>'16-17 NGGT'!H87-'15-16 NGGT'!H87</f>
        <v>32.025393538313374</v>
      </c>
      <c r="I87" s="128">
        <f>'16-17 NGGT'!I87-'15-16 NGGT'!I87</f>
        <v>32.679532321837399</v>
      </c>
      <c r="J87" s="128">
        <f>'16-17 NGGT'!J87-'15-16 NGGT'!J87</f>
        <v>20.504333599618437</v>
      </c>
      <c r="K87" s="128">
        <f>'16-17 NGGT'!K87-'15-16 NGGT'!K87</f>
        <v>6.4276664548145455</v>
      </c>
      <c r="L87" s="128">
        <f>'16-17 NGGT'!L87-'15-16 NGGT'!L87</f>
        <v>160.0854875242496</v>
      </c>
      <c r="M87" s="53">
        <f>'16-17 NGGT'!M87-'15-16 NGGT'!M87</f>
        <v>0.16008548752424961</v>
      </c>
      <c r="N87" s="53">
        <f>'16-17 NGGT'!N87-'15-16 NGGT'!N87</f>
        <v>0</v>
      </c>
    </row>
    <row r="88" spans="3:14">
      <c r="C88" s="17" t="s">
        <v>408</v>
      </c>
      <c r="D88" s="126">
        <f>'16-17 NGGT'!D88-'15-16 NGGT'!D88</f>
        <v>0</v>
      </c>
      <c r="E88" s="126">
        <f>'16-17 NGGT'!E88-'15-16 NGGT'!E88</f>
        <v>0</v>
      </c>
      <c r="F88" s="126">
        <f>'16-17 NGGT'!F88-'15-16 NGGT'!F88</f>
        <v>0</v>
      </c>
      <c r="G88" s="126">
        <f>'16-17 NGGT'!G88-'15-16 NGGT'!G88</f>
        <v>0</v>
      </c>
      <c r="H88" s="126">
        <f>'16-17 NGGT'!H88-'15-16 NGGT'!H88</f>
        <v>0</v>
      </c>
      <c r="I88" s="126">
        <f>'16-17 NGGT'!I88-'15-16 NGGT'!I88</f>
        <v>0</v>
      </c>
      <c r="J88" s="126">
        <f>'16-17 NGGT'!J88-'15-16 NGGT'!J88</f>
        <v>0</v>
      </c>
      <c r="K88" s="126">
        <f>'16-17 NGGT'!K88-'15-16 NGGT'!K88</f>
        <v>0</v>
      </c>
      <c r="L88" s="126">
        <f>'16-17 NGGT'!L88-'15-16 NGGT'!L88</f>
        <v>0</v>
      </c>
      <c r="M88" s="53">
        <f>'16-17 NGGT'!M88-'15-16 NGGT'!M88</f>
        <v>0</v>
      </c>
      <c r="N88" s="53">
        <f>'16-17 NGGT'!N88-'15-16 NGGT'!N88</f>
        <v>0</v>
      </c>
    </row>
    <row r="89" spans="3:14">
      <c r="C89" s="18" t="s">
        <v>46</v>
      </c>
      <c r="D89" s="127">
        <f>'16-17 NGGT'!D89-'15-16 NGGT'!D89</f>
        <v>0</v>
      </c>
      <c r="E89" s="127">
        <f>'16-17 NGGT'!E89-'15-16 NGGT'!E89</f>
        <v>0</v>
      </c>
      <c r="F89" s="127">
        <f>'16-17 NGGT'!F89-'15-16 NGGT'!F89</f>
        <v>0</v>
      </c>
      <c r="G89" s="127">
        <f>'16-17 NGGT'!G89-'15-16 NGGT'!G89</f>
        <v>0</v>
      </c>
      <c r="H89" s="127">
        <f>'16-17 NGGT'!H89-'15-16 NGGT'!H89</f>
        <v>0</v>
      </c>
      <c r="I89" s="127">
        <f>'16-17 NGGT'!I89-'15-16 NGGT'!I89</f>
        <v>0</v>
      </c>
      <c r="J89" s="127">
        <f>'16-17 NGGT'!J89-'15-16 NGGT'!J89</f>
        <v>0</v>
      </c>
      <c r="K89" s="127">
        <f>'16-17 NGGT'!K89-'15-16 NGGT'!K89</f>
        <v>0</v>
      </c>
      <c r="L89" s="127">
        <f>'16-17 NGGT'!L89-'15-16 NGGT'!L89</f>
        <v>0</v>
      </c>
      <c r="M89" s="53">
        <f>'16-17 NGGT'!M89-'15-16 NGGT'!M89</f>
        <v>0</v>
      </c>
      <c r="N89" s="53">
        <f>'16-17 NGGT'!N89-'15-16 NGGT'!N89</f>
        <v>0</v>
      </c>
    </row>
    <row r="90" spans="3:14">
      <c r="C90" s="19" t="s">
        <v>48</v>
      </c>
      <c r="D90" s="129">
        <f>'16-17 NGGT'!D91-'15-16 NGGT'!D91</f>
        <v>18.709768611183904</v>
      </c>
      <c r="E90" s="129">
        <f>'16-17 NGGT'!E91-'15-16 NGGT'!E91</f>
        <v>3.86766983003983</v>
      </c>
      <c r="F90" s="129">
        <f>'16-17 NGGT'!F91-'15-16 NGGT'!F91</f>
        <v>10.751052755971955</v>
      </c>
      <c r="G90" s="129">
        <f>'16-17 NGGT'!G91-'15-16 NGGT'!G91</f>
        <v>12.661992776253896</v>
      </c>
      <c r="H90" s="129">
        <f>'16-17 NGGT'!H91-'15-16 NGGT'!H91</f>
        <v>32.025393538313381</v>
      </c>
      <c r="I90" s="129">
        <f>'16-17 NGGT'!I91-'15-16 NGGT'!I91</f>
        <v>32.679532321837399</v>
      </c>
      <c r="J90" s="129">
        <f>'16-17 NGGT'!J91-'15-16 NGGT'!J91</f>
        <v>20.504333599618434</v>
      </c>
      <c r="K90" s="129">
        <f>'16-17 NGGT'!K91-'15-16 NGGT'!K91</f>
        <v>6.4276664548145277</v>
      </c>
      <c r="L90" s="129">
        <f>'16-17 NGGT'!L91-'15-16 NGGT'!L91</f>
        <v>137.62740988803307</v>
      </c>
      <c r="M90" s="53">
        <f>'16-17 NGGT'!M91-'15-16 NGGT'!M91</f>
        <v>0.16008548752424989</v>
      </c>
      <c r="N90" s="53">
        <f>'16-17 NGGT'!N91-'15-16 NGGT'!N91</f>
        <v>0</v>
      </c>
    </row>
    <row r="91" spans="3:14">
      <c r="C91" s="18" t="s">
        <v>52</v>
      </c>
      <c r="D91" s="128">
        <f>'16-17 NGGT'!D92-'15-16 NGGT'!D92</f>
        <v>0</v>
      </c>
      <c r="E91" s="128">
        <f>'16-17 NGGT'!E92-'15-16 NGGT'!E92</f>
        <v>0</v>
      </c>
      <c r="F91" s="128">
        <f>'16-17 NGGT'!F92-'15-16 NGGT'!F92</f>
        <v>0</v>
      </c>
      <c r="G91" s="128">
        <f>'16-17 NGGT'!G92-'15-16 NGGT'!G92</f>
        <v>0</v>
      </c>
      <c r="H91" s="128">
        <f>'16-17 NGGT'!H92-'15-16 NGGT'!H92</f>
        <v>0</v>
      </c>
      <c r="I91" s="128">
        <f>'16-17 NGGT'!I92-'15-16 NGGT'!I92</f>
        <v>0</v>
      </c>
      <c r="J91" s="128">
        <f>'16-17 NGGT'!J92-'15-16 NGGT'!J92</f>
        <v>0</v>
      </c>
      <c r="K91" s="128">
        <f>'16-17 NGGT'!K92-'15-16 NGGT'!K92</f>
        <v>0</v>
      </c>
      <c r="L91" s="128">
        <f>'16-17 NGGT'!L92-'15-16 NGGT'!L92</f>
        <v>0</v>
      </c>
      <c r="M91" s="53">
        <f>'16-17 NGGT'!M92-'15-16 NGGT'!M92</f>
        <v>0</v>
      </c>
      <c r="N91" s="53">
        <f>'16-17 NGGT'!N92-'15-16 NGGT'!N92</f>
        <v>0</v>
      </c>
    </row>
    <row r="92" spans="3:14">
      <c r="C92" s="17"/>
      <c r="D92" s="126"/>
      <c r="E92" s="126"/>
      <c r="F92" s="126"/>
      <c r="G92" s="126"/>
      <c r="H92" s="126"/>
      <c r="I92" s="126"/>
      <c r="J92" s="126"/>
      <c r="K92" s="126"/>
      <c r="L92" s="126"/>
      <c r="M92" s="53"/>
      <c r="N92" s="53"/>
    </row>
    <row r="93" spans="3:14">
      <c r="C93" s="18" t="s">
        <v>138</v>
      </c>
      <c r="D93" s="127">
        <f>'16-17 NGGT'!D94-'15-16 NGGT'!D94</f>
        <v>0</v>
      </c>
      <c r="E93" s="127">
        <f>'16-17 NGGT'!E94-'15-16 NGGT'!E94</f>
        <v>0</v>
      </c>
      <c r="F93" s="127">
        <f>'16-17 NGGT'!F94-'15-16 NGGT'!F94</f>
        <v>0</v>
      </c>
      <c r="G93" s="127">
        <f>'16-17 NGGT'!G94-'15-16 NGGT'!G94</f>
        <v>0</v>
      </c>
      <c r="H93" s="127">
        <f>'16-17 NGGT'!H94-'15-16 NGGT'!H94</f>
        <v>0</v>
      </c>
      <c r="I93" s="127">
        <f>'16-17 NGGT'!I94-'15-16 NGGT'!I94</f>
        <v>0</v>
      </c>
      <c r="J93" s="127">
        <f>'16-17 NGGT'!J94-'15-16 NGGT'!J94</f>
        <v>0</v>
      </c>
      <c r="K93" s="127">
        <f>'16-17 NGGT'!K94-'15-16 NGGT'!K94</f>
        <v>0</v>
      </c>
      <c r="L93" s="127">
        <f>'16-17 NGGT'!L94-'15-16 NGGT'!L94</f>
        <v>0</v>
      </c>
      <c r="M93" s="53">
        <f>'16-17 NGGT'!M94-'15-16 NGGT'!M94</f>
        <v>0</v>
      </c>
      <c r="N93" s="53">
        <f>'16-17 NGGT'!N94-'15-16 NGGT'!N94</f>
        <v>0</v>
      </c>
    </row>
    <row r="94" spans="3:14">
      <c r="C94" s="17" t="s">
        <v>44</v>
      </c>
      <c r="D94" s="126">
        <f>'16-17 NGGT'!D95-'15-16 NGGT'!D95</f>
        <v>12.599999999999998</v>
      </c>
      <c r="E94" s="126">
        <f>'16-17 NGGT'!E95-'15-16 NGGT'!E95</f>
        <v>0</v>
      </c>
      <c r="F94" s="126">
        <f>'16-17 NGGT'!F95-'15-16 NGGT'!F95</f>
        <v>0</v>
      </c>
      <c r="G94" s="126">
        <f>'16-17 NGGT'!G95-'15-16 NGGT'!G95</f>
        <v>0</v>
      </c>
      <c r="H94" s="126">
        <f>'16-17 NGGT'!H95-'15-16 NGGT'!H95</f>
        <v>0</v>
      </c>
      <c r="I94" s="126">
        <f>'16-17 NGGT'!I95-'15-16 NGGT'!I95</f>
        <v>0</v>
      </c>
      <c r="J94" s="126">
        <f>'16-17 NGGT'!J95-'15-16 NGGT'!J95</f>
        <v>0</v>
      </c>
      <c r="K94" s="126">
        <f>'16-17 NGGT'!K95-'15-16 NGGT'!K95</f>
        <v>0</v>
      </c>
      <c r="L94" s="126">
        <f>'16-17 NGGT'!L95-'15-16 NGGT'!L95</f>
        <v>12.600000000000009</v>
      </c>
      <c r="M94" s="53">
        <f>'16-17 NGGT'!M95-'15-16 NGGT'!M95</f>
        <v>1.2600000000000014E-2</v>
      </c>
      <c r="N94" s="53">
        <f>'16-17 NGGT'!N95-'15-16 NGGT'!N95</f>
        <v>0</v>
      </c>
    </row>
    <row r="95" spans="3:14">
      <c r="C95" s="18" t="s">
        <v>45</v>
      </c>
      <c r="D95" s="127">
        <f>'16-17 NGGT'!D96-'15-16 NGGT'!D96</f>
        <v>0</v>
      </c>
      <c r="E95" s="127">
        <f>'16-17 NGGT'!E96-'15-16 NGGT'!E96</f>
        <v>0</v>
      </c>
      <c r="F95" s="127">
        <f>'16-17 NGGT'!F96-'15-16 NGGT'!F96</f>
        <v>0</v>
      </c>
      <c r="G95" s="127">
        <f>'16-17 NGGT'!G96-'15-16 NGGT'!G96</f>
        <v>0</v>
      </c>
      <c r="H95" s="127">
        <f>'16-17 NGGT'!H96-'15-16 NGGT'!H96</f>
        <v>0</v>
      </c>
      <c r="I95" s="127">
        <f>'16-17 NGGT'!I96-'15-16 NGGT'!I96</f>
        <v>0</v>
      </c>
      <c r="J95" s="127">
        <f>'16-17 NGGT'!J96-'15-16 NGGT'!J96</f>
        <v>0</v>
      </c>
      <c r="K95" s="127">
        <f>'16-17 NGGT'!K96-'15-16 NGGT'!K96</f>
        <v>0</v>
      </c>
      <c r="L95" s="127">
        <f>'16-17 NGGT'!L96-'15-16 NGGT'!L96</f>
        <v>0</v>
      </c>
      <c r="M95" s="53">
        <f>'16-17 NGGT'!M96-'15-16 NGGT'!M96</f>
        <v>0</v>
      </c>
      <c r="N95" s="53">
        <f>'16-17 NGGT'!N96-'15-16 NGGT'!N96</f>
        <v>0</v>
      </c>
    </row>
    <row r="96" spans="3:14">
      <c r="C96" s="17" t="s">
        <v>46</v>
      </c>
      <c r="D96" s="126">
        <f>'16-17 NGGT'!D97-'15-16 NGGT'!D97</f>
        <v>0</v>
      </c>
      <c r="E96" s="126">
        <f>'16-17 NGGT'!E97-'15-16 NGGT'!E97</f>
        <v>0</v>
      </c>
      <c r="F96" s="126">
        <f>'16-17 NGGT'!F97-'15-16 NGGT'!F97</f>
        <v>0</v>
      </c>
      <c r="G96" s="126">
        <f>'16-17 NGGT'!G97-'15-16 NGGT'!G97</f>
        <v>0</v>
      </c>
      <c r="H96" s="126">
        <f>'16-17 NGGT'!H97-'15-16 NGGT'!H97</f>
        <v>0</v>
      </c>
      <c r="I96" s="126">
        <f>'16-17 NGGT'!I97-'15-16 NGGT'!I97</f>
        <v>0</v>
      </c>
      <c r="J96" s="126">
        <f>'16-17 NGGT'!J97-'15-16 NGGT'!J97</f>
        <v>0</v>
      </c>
      <c r="K96" s="126">
        <f>'16-17 NGGT'!K97-'15-16 NGGT'!K97</f>
        <v>0</v>
      </c>
      <c r="L96" s="126">
        <f>'16-17 NGGT'!L97-'15-16 NGGT'!L97</f>
        <v>0</v>
      </c>
      <c r="M96" s="53">
        <f>'16-17 NGGT'!M97-'15-16 NGGT'!M97</f>
        <v>0</v>
      </c>
      <c r="N96" s="53">
        <f>'16-17 NGGT'!N97-'15-16 NGGT'!N97</f>
        <v>0</v>
      </c>
    </row>
    <row r="97" spans="1:14">
      <c r="C97" s="123" t="s">
        <v>50</v>
      </c>
      <c r="D97" s="130">
        <f>'16-17 NGGT'!D99-'15-16 NGGT'!D99</f>
        <v>5.5893599999999992</v>
      </c>
      <c r="E97" s="130">
        <f>'16-17 NGGT'!E99-'15-16 NGGT'!E99</f>
        <v>-6.1833099760968508</v>
      </c>
      <c r="F97" s="130">
        <f>'16-17 NGGT'!F99-'15-16 NGGT'!F99</f>
        <v>0</v>
      </c>
      <c r="G97" s="130">
        <f>'16-17 NGGT'!G99-'15-16 NGGT'!G99</f>
        <v>0</v>
      </c>
      <c r="H97" s="130">
        <f>'16-17 NGGT'!H99-'15-16 NGGT'!H99</f>
        <v>0</v>
      </c>
      <c r="I97" s="130">
        <f>'16-17 NGGT'!I99-'15-16 NGGT'!I99</f>
        <v>0</v>
      </c>
      <c r="J97" s="130">
        <f>'16-17 NGGT'!J99-'15-16 NGGT'!J99</f>
        <v>0</v>
      </c>
      <c r="K97" s="130">
        <f>'16-17 NGGT'!K99-'15-16 NGGT'!K99</f>
        <v>0</v>
      </c>
      <c r="L97" s="130">
        <f>'16-17 NGGT'!L99-'15-16 NGGT'!L99</f>
        <v>-0.59394997609661004</v>
      </c>
      <c r="M97" s="53">
        <f>'16-17 NGGT'!M99-'15-16 NGGT'!M99</f>
        <v>1.2599999999999945E-2</v>
      </c>
      <c r="N97" s="53">
        <f>'16-17 NGGT'!N99-'15-16 NGGT'!N99</f>
        <v>0</v>
      </c>
    </row>
    <row r="98" spans="1:14">
      <c r="C98" s="17"/>
      <c r="D98" s="126"/>
      <c r="E98" s="126"/>
      <c r="F98" s="126"/>
      <c r="G98" s="126"/>
      <c r="H98" s="126"/>
      <c r="I98" s="126"/>
      <c r="J98" s="126"/>
      <c r="K98" s="126"/>
      <c r="L98" s="126"/>
      <c r="M98" s="53"/>
      <c r="N98" s="53"/>
    </row>
    <row r="99" spans="1:14" ht="13.8" thickBot="1">
      <c r="C99" s="23" t="s">
        <v>51</v>
      </c>
      <c r="D99" s="131">
        <f>'16-17 NGGT'!D101-'15-16 NGGT'!D101</f>
        <v>24.299128611183875</v>
      </c>
      <c r="E99" s="131">
        <f>'16-17 NGGT'!E101-'15-16 NGGT'!E101</f>
        <v>-2.3156401460569782</v>
      </c>
      <c r="F99" s="131">
        <f>'16-17 NGGT'!F101-'15-16 NGGT'!F101</f>
        <v>10.751052755971955</v>
      </c>
      <c r="G99" s="131">
        <f>'16-17 NGGT'!G101-'15-16 NGGT'!G101</f>
        <v>12.661992776253896</v>
      </c>
      <c r="H99" s="131">
        <f>'16-17 NGGT'!H101-'15-16 NGGT'!H101</f>
        <v>32.025393538313381</v>
      </c>
      <c r="I99" s="131">
        <f>'16-17 NGGT'!I101-'15-16 NGGT'!I101</f>
        <v>32.679532321837371</v>
      </c>
      <c r="J99" s="131">
        <f>'16-17 NGGT'!J101-'15-16 NGGT'!J101</f>
        <v>20.504333599618434</v>
      </c>
      <c r="K99" s="131">
        <f>'16-17 NGGT'!K101-'15-16 NGGT'!K101</f>
        <v>6.4276664548145277</v>
      </c>
      <c r="L99" s="131">
        <f>'16-17 NGGT'!L101-'15-16 NGGT'!L101</f>
        <v>137.03345991193692</v>
      </c>
      <c r="M99" s="53">
        <f>'16-17 NGGT'!M101-'15-16 NGGT'!M101</f>
        <v>0.17268548752424984</v>
      </c>
      <c r="N99" s="53">
        <f>'16-17 NGGT'!N101-'15-16 NGGT'!N101</f>
        <v>0</v>
      </c>
    </row>
    <row r="100" spans="1:14">
      <c r="C100" s="39"/>
      <c r="D100" s="203"/>
      <c r="E100" s="203"/>
      <c r="F100" s="203"/>
      <c r="G100" s="203"/>
      <c r="H100" s="203"/>
      <c r="I100" s="203"/>
      <c r="J100" s="203"/>
      <c r="K100" s="203"/>
      <c r="L100" s="203"/>
      <c r="M100" s="53"/>
      <c r="N100" s="53"/>
    </row>
    <row r="101" spans="1:14">
      <c r="A101" s="38" t="s">
        <v>409</v>
      </c>
    </row>
    <row r="102" spans="1:14" ht="13.8" thickBot="1">
      <c r="C102" s="38" t="s">
        <v>140</v>
      </c>
    </row>
    <row r="103" spans="1:14" ht="13.8" thickBot="1">
      <c r="C103" s="7" t="s">
        <v>58</v>
      </c>
      <c r="D103" s="8" t="s">
        <v>59</v>
      </c>
      <c r="E103" s="8" t="s">
        <v>60</v>
      </c>
      <c r="F103" s="8" t="s">
        <v>61</v>
      </c>
      <c r="G103" s="8" t="s">
        <v>62</v>
      </c>
      <c r="H103" s="8" t="s">
        <v>63</v>
      </c>
      <c r="I103" s="8" t="s">
        <v>64</v>
      </c>
      <c r="J103" s="8" t="s">
        <v>65</v>
      </c>
      <c r="K103" s="8" t="s">
        <v>66</v>
      </c>
    </row>
    <row r="104" spans="1:14">
      <c r="C104" s="22" t="s">
        <v>91</v>
      </c>
      <c r="D104" s="175">
        <f>'16-17 NGGT'!D106-'15-16 NGGT'!D106</f>
        <v>0</v>
      </c>
      <c r="E104" s="175">
        <f>'16-17 NGGT'!E106-'15-16 NGGT'!E106</f>
        <v>-6.6205848651152337</v>
      </c>
      <c r="F104" s="175">
        <f>'16-17 NGGT'!F106-'15-16 NGGT'!F106</f>
        <v>-0.86281862224495853</v>
      </c>
      <c r="G104" s="175">
        <f>'16-17 NGGT'!G106-'15-16 NGGT'!G106</f>
        <v>8.8567655948809261</v>
      </c>
      <c r="H104" s="175">
        <f>'16-17 NGGT'!H106-'15-16 NGGT'!H106</f>
        <v>20.081174775141335</v>
      </c>
      <c r="I104" s="175">
        <f>'16-17 NGGT'!I106-'15-16 NGGT'!I106</f>
        <v>48.479404785730367</v>
      </c>
      <c r="J104" s="175">
        <f>'16-17 NGGT'!J106-'15-16 NGGT'!J106</f>
        <v>76.825851830723877</v>
      </c>
      <c r="K104" s="175">
        <f>'16-17 NGGT'!K106-'15-16 NGGT'!K106</f>
        <v>93.561029379284264</v>
      </c>
    </row>
    <row r="105" spans="1:14">
      <c r="C105" s="10" t="s">
        <v>86</v>
      </c>
      <c r="D105" s="176">
        <f>'16-17 NGGT'!D107-'15-16 NGGT'!D107</f>
        <v>-6.6205848651157453</v>
      </c>
      <c r="E105" s="176">
        <f>'16-17 NGGT'!E107-'15-16 NGGT'!E107</f>
        <v>5.8628198627565098</v>
      </c>
      <c r="F105" s="176">
        <f>'16-17 NGGT'!F107-'15-16 NGGT'!F107</f>
        <v>9.6759474803747594</v>
      </c>
      <c r="G105" s="176">
        <f>'16-17 NGGT'!G107-'15-16 NGGT'!G107</f>
        <v>11.39579349862845</v>
      </c>
      <c r="H105" s="176">
        <f>'16-17 NGGT'!H107-'15-16 NGGT'!H107</f>
        <v>28.822854184482026</v>
      </c>
      <c r="I105" s="176">
        <f>'16-17 NGGT'!I107-'15-16 NGGT'!I107</f>
        <v>29.411579089653628</v>
      </c>
      <c r="J105" s="176">
        <f>'16-17 NGGT'!J107-'15-16 NGGT'!J107</f>
        <v>18.453900239656605</v>
      </c>
      <c r="K105" s="176">
        <f>'16-17 NGGT'!K107-'15-16 NGGT'!K107</f>
        <v>5.7848998093330977</v>
      </c>
    </row>
    <row r="106" spans="1:14">
      <c r="C106" s="11" t="s">
        <v>87</v>
      </c>
      <c r="D106" s="177">
        <f>'16-17 NGGT'!D108-'15-16 NGGT'!D108</f>
        <v>0</v>
      </c>
      <c r="E106" s="177">
        <f>'16-17 NGGT'!E108-'15-16 NGGT'!E108</f>
        <v>-0.10505361988634832</v>
      </c>
      <c r="F106" s="177">
        <f>'16-17 NGGT'!F108-'15-16 NGGT'!F108</f>
        <v>4.3636736751778926E-2</v>
      </c>
      <c r="G106" s="177">
        <f>'16-17 NGGT'!G108-'15-16 NGGT'!G108</f>
        <v>-0.17138431836769996</v>
      </c>
      <c r="H106" s="177">
        <f>'16-17 NGGT'!H108-'15-16 NGGT'!H108</f>
        <v>-0.42462417389279494</v>
      </c>
      <c r="I106" s="177">
        <f>'16-17 NGGT'!I108-'15-16 NGGT'!I108</f>
        <v>-1.0651320446590375</v>
      </c>
      <c r="J106" s="177">
        <f>'16-17 NGGT'!J108-'15-16 NGGT'!J108</f>
        <v>-1.7187226910957918</v>
      </c>
      <c r="K106" s="177">
        <f>'16-17 NGGT'!K108-'15-16 NGGT'!K108</f>
        <v>-2.1288093630881804</v>
      </c>
    </row>
    <row r="107" spans="1:14" ht="13.8" thickBot="1">
      <c r="C107" s="13" t="s">
        <v>94</v>
      </c>
      <c r="D107" s="178">
        <f>'16-17 NGGT'!D109-'15-16 NGGT'!D109</f>
        <v>-6.6205848651152337</v>
      </c>
      <c r="E107" s="178">
        <f>'16-17 NGGT'!E109-'15-16 NGGT'!E109</f>
        <v>-0.86281862224495853</v>
      </c>
      <c r="F107" s="178">
        <f>'16-17 NGGT'!F109-'15-16 NGGT'!F109</f>
        <v>8.8567655948809261</v>
      </c>
      <c r="G107" s="178">
        <f>'16-17 NGGT'!G109-'15-16 NGGT'!G109</f>
        <v>20.081174775141335</v>
      </c>
      <c r="H107" s="178">
        <f>'16-17 NGGT'!H109-'15-16 NGGT'!H109</f>
        <v>48.479404785730367</v>
      </c>
      <c r="I107" s="178">
        <f>'16-17 NGGT'!I109-'15-16 NGGT'!I109</f>
        <v>76.825851830723877</v>
      </c>
      <c r="J107" s="178">
        <f>'16-17 NGGT'!J109-'15-16 NGGT'!J109</f>
        <v>93.561029379284264</v>
      </c>
      <c r="K107" s="178">
        <f>'16-17 NGGT'!K109-'15-16 NGGT'!K109</f>
        <v>97.217119825528243</v>
      </c>
    </row>
    <row r="109" spans="1:14" ht="13.8" thickBot="1"/>
    <row r="110" spans="1:14" ht="13.8" thickBot="1">
      <c r="C110" s="7" t="s">
        <v>58</v>
      </c>
      <c r="D110" s="8" t="s">
        <v>59</v>
      </c>
      <c r="E110" s="8" t="s">
        <v>60</v>
      </c>
      <c r="F110" s="8" t="s">
        <v>61</v>
      </c>
      <c r="G110" s="8" t="s">
        <v>62</v>
      </c>
      <c r="H110" s="8" t="s">
        <v>63</v>
      </c>
      <c r="I110" s="8" t="s">
        <v>64</v>
      </c>
      <c r="J110" s="8" t="s">
        <v>65</v>
      </c>
      <c r="K110" s="8" t="s">
        <v>66</v>
      </c>
    </row>
    <row r="111" spans="1:14">
      <c r="C111" s="11" t="s">
        <v>142</v>
      </c>
      <c r="D111" s="171">
        <f>'16-17 NGGT'!D113-'15-16 NGGT'!D113</f>
        <v>0</v>
      </c>
      <c r="E111" s="171">
        <f>'16-17 NGGT'!E113-'15-16 NGGT'!E113</f>
        <v>0</v>
      </c>
      <c r="F111" s="171">
        <f>'16-17 NGGT'!F113-'15-16 NGGT'!F113</f>
        <v>0</v>
      </c>
      <c r="G111" s="171">
        <f>'16-17 NGGT'!G113-'15-16 NGGT'!G113</f>
        <v>0</v>
      </c>
      <c r="H111" s="171">
        <f>'16-17 NGGT'!H113-'15-16 NGGT'!H113</f>
        <v>0</v>
      </c>
      <c r="I111" s="171">
        <f>'16-17 NGGT'!I113-'15-16 NGGT'!I113</f>
        <v>0</v>
      </c>
      <c r="J111" s="171">
        <f>'16-17 NGGT'!J113-'15-16 NGGT'!J113</f>
        <v>0</v>
      </c>
      <c r="K111" s="171">
        <f>'16-17 NGGT'!K113-'15-16 NGGT'!K113</f>
        <v>0</v>
      </c>
    </row>
    <row r="112" spans="1:14" ht="13.8" thickBot="1">
      <c r="C112" s="40" t="s">
        <v>143</v>
      </c>
      <c r="D112" s="174">
        <f>'16-17 NGGT'!D114-'15-16 NGGT'!D114</f>
        <v>0</v>
      </c>
      <c r="E112" s="174">
        <f>'16-17 NGGT'!E114-'15-16 NGGT'!E114</f>
        <v>0</v>
      </c>
      <c r="F112" s="174">
        <f>'16-17 NGGT'!F114-'15-16 NGGT'!F114</f>
        <v>0</v>
      </c>
      <c r="G112" s="174">
        <f>'16-17 NGGT'!G114-'15-16 NGGT'!G114</f>
        <v>0</v>
      </c>
      <c r="H112" s="174">
        <f>'16-17 NGGT'!H114-'15-16 NGGT'!H114</f>
        <v>0</v>
      </c>
      <c r="I112" s="174">
        <f>'16-17 NGGT'!I114-'15-16 NGGT'!I114</f>
        <v>0</v>
      </c>
      <c r="J112" s="174">
        <f>'16-17 NGGT'!J114-'15-16 NGGT'!J114</f>
        <v>0</v>
      </c>
      <c r="K112" s="174">
        <f>'16-17 NGGT'!K114-'15-16 NGGT'!K114</f>
        <v>0</v>
      </c>
    </row>
    <row r="115" spans="1:14" ht="13.8" thickBot="1">
      <c r="C115" s="38" t="s">
        <v>122</v>
      </c>
    </row>
    <row r="116" spans="1:14" ht="13.8" thickBot="1">
      <c r="C116" s="7" t="s">
        <v>58</v>
      </c>
      <c r="D116" s="8" t="s">
        <v>59</v>
      </c>
      <c r="E116" s="8" t="s">
        <v>60</v>
      </c>
      <c r="F116" s="8" t="s">
        <v>61</v>
      </c>
      <c r="G116" s="8" t="s">
        <v>62</v>
      </c>
      <c r="H116" s="8" t="s">
        <v>63</v>
      </c>
      <c r="I116" s="8" t="s">
        <v>64</v>
      </c>
      <c r="J116" s="8" t="s">
        <v>65</v>
      </c>
      <c r="K116" s="8" t="s">
        <v>66</v>
      </c>
    </row>
    <row r="117" spans="1:14">
      <c r="C117" s="22" t="s">
        <v>91</v>
      </c>
      <c r="D117" s="41">
        <f>'16-17 NGGT'!D119-'15-16 NGGT'!D119</f>
        <v>0</v>
      </c>
      <c r="E117" s="41">
        <f>'16-17 NGGT'!E119-'15-16 NGGT'!E119</f>
        <v>2.0904206400000049</v>
      </c>
      <c r="F117" s="41">
        <f>'16-17 NGGT'!F119-'15-16 NGGT'!F119</f>
        <v>-0.52076881106022199</v>
      </c>
      <c r="G117" s="41">
        <f>'16-17 NGGT'!G119-'15-16 NGGT'!G119</f>
        <v>-0.48903491233733121</v>
      </c>
      <c r="H117" s="41">
        <f>'16-17 NGGT'!H119-'15-16 NGGT'!H119</f>
        <v>-0.45730101361445463</v>
      </c>
      <c r="I117" s="41">
        <f>'16-17 NGGT'!I119-'15-16 NGGT'!I119</f>
        <v>-0.42556711489156385</v>
      </c>
      <c r="J117" s="41">
        <f>'16-17 NGGT'!J119-'15-16 NGGT'!J119</f>
        <v>-0.39383321616868727</v>
      </c>
      <c r="K117" s="41">
        <f>'16-17 NGGT'!K119-'15-16 NGGT'!K119</f>
        <v>-0.3620993174458107</v>
      </c>
    </row>
    <row r="118" spans="1:14">
      <c r="C118" s="10" t="s">
        <v>86</v>
      </c>
      <c r="D118" s="42">
        <f>'16-17 NGGT'!D120-'15-16 NGGT'!D120</f>
        <v>2.0904206400000014</v>
      </c>
      <c r="E118" s="42">
        <f>'16-17 NGGT'!E120-'15-16 NGGT'!E120</f>
        <v>-2.3125579310602262</v>
      </c>
      <c r="F118" s="42">
        <f>'16-17 NGGT'!F120-'15-16 NGGT'!F120</f>
        <v>0</v>
      </c>
      <c r="G118" s="42">
        <f>'16-17 NGGT'!G120-'15-16 NGGT'!G120</f>
        <v>0</v>
      </c>
      <c r="H118" s="42">
        <f>'16-17 NGGT'!H120-'15-16 NGGT'!H120</f>
        <v>0</v>
      </c>
      <c r="I118" s="42">
        <f>'16-17 NGGT'!I120-'15-16 NGGT'!I120</f>
        <v>0</v>
      </c>
      <c r="J118" s="42">
        <f>'16-17 NGGT'!J120-'15-16 NGGT'!J120</f>
        <v>0</v>
      </c>
      <c r="K118" s="42">
        <f>'16-17 NGGT'!K120-'15-16 NGGT'!K120</f>
        <v>0</v>
      </c>
    </row>
    <row r="119" spans="1:14">
      <c r="C119" s="11" t="s">
        <v>87</v>
      </c>
      <c r="D119" s="43">
        <f>'16-17 NGGT'!D121-'15-16 NGGT'!D121</f>
        <v>0</v>
      </c>
      <c r="E119" s="43">
        <f>'16-17 NGGT'!E121-'15-16 NGGT'!E121</f>
        <v>-0.29863152000000071</v>
      </c>
      <c r="F119" s="43">
        <f>'16-17 NGGT'!F121-'15-16 NGGT'!F121</f>
        <v>3.1733898722890785E-2</v>
      </c>
      <c r="G119" s="43">
        <f>'16-17 NGGT'!G121-'15-16 NGGT'!G121</f>
        <v>3.1733898722887233E-2</v>
      </c>
      <c r="H119" s="43">
        <f>'16-17 NGGT'!H121-'15-16 NGGT'!H121</f>
        <v>3.1733898722890785E-2</v>
      </c>
      <c r="I119" s="43">
        <f>'16-17 NGGT'!I121-'15-16 NGGT'!I121</f>
        <v>3.1733898722890785E-2</v>
      </c>
      <c r="J119" s="43">
        <f>'16-17 NGGT'!J121-'15-16 NGGT'!J121</f>
        <v>3.1733898722890785E-2</v>
      </c>
      <c r="K119" s="43">
        <f>'16-17 NGGT'!K121-'15-16 NGGT'!K121</f>
        <v>3.1733898722887233E-2</v>
      </c>
    </row>
    <row r="120" spans="1:14" ht="13.8" thickBot="1">
      <c r="C120" s="13" t="s">
        <v>94</v>
      </c>
      <c r="D120" s="52">
        <f>'16-17 NGGT'!D122-'15-16 NGGT'!D122</f>
        <v>2.0904206400000049</v>
      </c>
      <c r="E120" s="52">
        <f>'16-17 NGGT'!E122-'15-16 NGGT'!E122</f>
        <v>-0.52076881106022199</v>
      </c>
      <c r="F120" s="52">
        <f>'16-17 NGGT'!F122-'15-16 NGGT'!F122</f>
        <v>-0.48903491233733121</v>
      </c>
      <c r="G120" s="52">
        <f>'16-17 NGGT'!G122-'15-16 NGGT'!G122</f>
        <v>-0.45730101361445463</v>
      </c>
      <c r="H120" s="52">
        <f>'16-17 NGGT'!H122-'15-16 NGGT'!H122</f>
        <v>-0.42556711489156385</v>
      </c>
      <c r="I120" s="52">
        <f>'16-17 NGGT'!I122-'15-16 NGGT'!I122</f>
        <v>-0.39383321616868727</v>
      </c>
      <c r="J120" s="52">
        <f>'16-17 NGGT'!J122-'15-16 NGGT'!J122</f>
        <v>-0.3620993174458107</v>
      </c>
      <c r="K120" s="52">
        <f>'16-17 NGGT'!K122-'15-16 NGGT'!K122</f>
        <v>-0.33036541872291991</v>
      </c>
    </row>
    <row r="122" spans="1:14">
      <c r="A122" s="38" t="s">
        <v>402</v>
      </c>
    </row>
    <row r="123" spans="1:14" ht="13.8" thickBot="1">
      <c r="C123" s="38" t="s">
        <v>395</v>
      </c>
    </row>
    <row r="124" spans="1:14" ht="13.8" thickBot="1">
      <c r="C124" s="14" t="s">
        <v>58</v>
      </c>
      <c r="D124" s="15" t="s">
        <v>59</v>
      </c>
      <c r="E124" s="15" t="s">
        <v>60</v>
      </c>
      <c r="F124" s="15" t="s">
        <v>61</v>
      </c>
      <c r="G124" s="15" t="s">
        <v>62</v>
      </c>
      <c r="H124" s="15" t="s">
        <v>63</v>
      </c>
      <c r="I124" s="15" t="s">
        <v>64</v>
      </c>
      <c r="J124" s="15" t="s">
        <v>65</v>
      </c>
      <c r="K124" s="15" t="s">
        <v>66</v>
      </c>
      <c r="L124" s="15" t="s">
        <v>118</v>
      </c>
    </row>
    <row r="125" spans="1:14">
      <c r="C125" s="16"/>
      <c r="D125" s="26"/>
      <c r="E125" s="26"/>
      <c r="F125" s="26"/>
      <c r="G125" s="26"/>
      <c r="H125" s="26"/>
      <c r="I125" s="26"/>
      <c r="J125" s="26"/>
      <c r="K125" s="26"/>
      <c r="L125" s="26"/>
    </row>
    <row r="126" spans="1:14">
      <c r="A126" t="s">
        <v>338</v>
      </c>
      <c r="C126" s="17" t="s">
        <v>119</v>
      </c>
      <c r="D126" s="27">
        <f>'16-17 NGGT'!D128-'15-16 NGGT'!D128</f>
        <v>12.600000000000001</v>
      </c>
      <c r="E126" s="27">
        <f>'16-17 NGGT'!E128-'15-16 NGGT'!E128</f>
        <v>0</v>
      </c>
      <c r="F126" s="27">
        <f>'16-17 NGGT'!F128-'15-16 NGGT'!F128</f>
        <v>0</v>
      </c>
      <c r="G126" s="27">
        <f>'16-17 NGGT'!G128-'15-16 NGGT'!G128</f>
        <v>0</v>
      </c>
      <c r="H126" s="27">
        <f>'16-17 NGGT'!H128-'15-16 NGGT'!H128</f>
        <v>0</v>
      </c>
      <c r="I126" s="27">
        <f>'16-17 NGGT'!I128-'15-16 NGGT'!I128</f>
        <v>0</v>
      </c>
      <c r="J126" s="27">
        <f>'16-17 NGGT'!J128-'15-16 NGGT'!J128</f>
        <v>0</v>
      </c>
      <c r="K126" s="27">
        <f>'16-17 NGGT'!K128-'15-16 NGGT'!K128</f>
        <v>0</v>
      </c>
      <c r="L126" s="28">
        <f>'16-17 NGGT'!L128-'15-16 NGGT'!L128</f>
        <v>12.600000000000023</v>
      </c>
      <c r="N126" s="53">
        <f>'16-17 NGGT'!N128-'15-16 NGGT'!N128</f>
        <v>0</v>
      </c>
    </row>
    <row r="127" spans="1:14">
      <c r="C127" s="18" t="s">
        <v>396</v>
      </c>
      <c r="D127" s="29">
        <f>'16-17 NGGT'!D129-'15-16 NGGT'!D129</f>
        <v>0</v>
      </c>
      <c r="E127" s="29">
        <f>'16-17 NGGT'!E129-'15-16 NGGT'!E129</f>
        <v>0</v>
      </c>
      <c r="F127" s="29">
        <f>'16-17 NGGT'!F129-'15-16 NGGT'!F129</f>
        <v>0</v>
      </c>
      <c r="G127" s="29">
        <f>'16-17 NGGT'!G129-'15-16 NGGT'!G129</f>
        <v>0</v>
      </c>
      <c r="H127" s="29">
        <f>'16-17 NGGT'!H129-'15-16 NGGT'!H129</f>
        <v>0</v>
      </c>
      <c r="I127" s="29">
        <f>'16-17 NGGT'!I129-'15-16 NGGT'!I129</f>
        <v>0</v>
      </c>
      <c r="J127" s="29">
        <f>'16-17 NGGT'!J129-'15-16 NGGT'!J129</f>
        <v>0</v>
      </c>
      <c r="K127" s="29">
        <f>'16-17 NGGT'!K129-'15-16 NGGT'!K129</f>
        <v>0</v>
      </c>
      <c r="L127" s="30">
        <f>'16-17 NGGT'!L129-'15-16 NGGT'!L129</f>
        <v>0</v>
      </c>
      <c r="N127" s="53">
        <f>'16-17 NGGT'!N129-'15-16 NGGT'!N129</f>
        <v>0</v>
      </c>
    </row>
    <row r="128" spans="1:14">
      <c r="C128" s="19" t="s">
        <v>71</v>
      </c>
      <c r="D128" s="31">
        <f>'16-17 NGGT'!D130-'15-16 NGGT'!D130</f>
        <v>12.600000000000009</v>
      </c>
      <c r="E128" s="31">
        <f>'16-17 NGGT'!E130-'15-16 NGGT'!E130</f>
        <v>0</v>
      </c>
      <c r="F128" s="31">
        <f>'16-17 NGGT'!F130-'15-16 NGGT'!F130</f>
        <v>0</v>
      </c>
      <c r="G128" s="31">
        <f>'16-17 NGGT'!G130-'15-16 NGGT'!G130</f>
        <v>0</v>
      </c>
      <c r="H128" s="31">
        <f>'16-17 NGGT'!H130-'15-16 NGGT'!H130</f>
        <v>0</v>
      </c>
      <c r="I128" s="31">
        <f>'16-17 NGGT'!I130-'15-16 NGGT'!I130</f>
        <v>0</v>
      </c>
      <c r="J128" s="31">
        <f>'16-17 NGGT'!J130-'15-16 NGGT'!J130</f>
        <v>0</v>
      </c>
      <c r="K128" s="31">
        <f>'16-17 NGGT'!K130-'15-16 NGGT'!K130</f>
        <v>0</v>
      </c>
      <c r="L128" s="28">
        <f>'16-17 NGGT'!L130-'15-16 NGGT'!L130</f>
        <v>12.599999999999909</v>
      </c>
    </row>
    <row r="129" spans="1:16">
      <c r="A129" t="s">
        <v>346</v>
      </c>
      <c r="C129" s="17" t="s">
        <v>121</v>
      </c>
      <c r="D129" s="27">
        <f>'16-17 NGGT'!D131-'15-16 NGGT'!D131</f>
        <v>0</v>
      </c>
      <c r="E129" s="27">
        <f>'16-17 NGGT'!E131-'15-16 NGGT'!E131</f>
        <v>-5.0730736174454023</v>
      </c>
      <c r="F129" s="27">
        <f>'16-17 NGGT'!F131-'15-16 NGGT'!F131</f>
        <v>0</v>
      </c>
      <c r="G129" s="27">
        <f>'16-17 NGGT'!G131-'15-16 NGGT'!G131</f>
        <v>0</v>
      </c>
      <c r="H129" s="27">
        <f>'16-17 NGGT'!H131-'15-16 NGGT'!H131</f>
        <v>0</v>
      </c>
      <c r="I129" s="27">
        <f>'16-17 NGGT'!I131-'15-16 NGGT'!I131</f>
        <v>0</v>
      </c>
      <c r="J129" s="27">
        <f>'16-17 NGGT'!J131-'15-16 NGGT'!J131</f>
        <v>0</v>
      </c>
      <c r="K129" s="27">
        <f>'16-17 NGGT'!K131-'15-16 NGGT'!K131</f>
        <v>0</v>
      </c>
      <c r="L129" s="28">
        <f>'16-17 NGGT'!L131-'15-16 NGGT'!L131</f>
        <v>-5.0730736174454023</v>
      </c>
      <c r="N129" s="53"/>
      <c r="P129" s="53"/>
    </row>
    <row r="130" spans="1:16">
      <c r="C130" s="18" t="s">
        <v>387</v>
      </c>
      <c r="D130" s="29">
        <f>'16-17 NGGT'!D132-'15-16 NGGT'!D132</f>
        <v>0</v>
      </c>
      <c r="E130" s="29">
        <f>'16-17 NGGT'!E132-'15-16 NGGT'!E132</f>
        <v>-6.0399924790622492</v>
      </c>
      <c r="F130" s="29">
        <f>'16-17 NGGT'!F132-'15-16 NGGT'!F132</f>
        <v>0</v>
      </c>
      <c r="G130" s="29">
        <f>'16-17 NGGT'!G132-'15-16 NGGT'!G132</f>
        <v>0</v>
      </c>
      <c r="H130" s="29">
        <f>'16-17 NGGT'!H132-'15-16 NGGT'!H132</f>
        <v>0</v>
      </c>
      <c r="I130" s="29">
        <f>'16-17 NGGT'!I132-'15-16 NGGT'!I132</f>
        <v>0</v>
      </c>
      <c r="J130" s="29">
        <f>'16-17 NGGT'!J132-'15-16 NGGT'!J132</f>
        <v>0</v>
      </c>
      <c r="K130" s="29">
        <f>'16-17 NGGT'!K132-'15-16 NGGT'!K132</f>
        <v>0</v>
      </c>
      <c r="L130" s="30">
        <f>'16-17 NGGT'!L132-'15-16 NGGT'!L132</f>
        <v>-6.0399924790622208</v>
      </c>
      <c r="N130" s="53"/>
      <c r="P130" s="53"/>
    </row>
    <row r="131" spans="1:16">
      <c r="C131" s="19" t="s">
        <v>77</v>
      </c>
      <c r="D131" s="31">
        <f>'16-17 NGGT'!D133-'15-16 NGGT'!D133</f>
        <v>0</v>
      </c>
      <c r="E131" s="31">
        <f>'16-17 NGGT'!E133-'15-16 NGGT'!E133</f>
        <v>-11.113066096507652</v>
      </c>
      <c r="F131" s="31">
        <f>'16-17 NGGT'!F133-'15-16 NGGT'!F133</f>
        <v>0</v>
      </c>
      <c r="G131" s="31">
        <f>'16-17 NGGT'!G133-'15-16 NGGT'!G133</f>
        <v>0</v>
      </c>
      <c r="H131" s="31">
        <f>'16-17 NGGT'!H133-'15-16 NGGT'!H133</f>
        <v>0</v>
      </c>
      <c r="I131" s="31">
        <f>'16-17 NGGT'!I133-'15-16 NGGT'!I133</f>
        <v>0</v>
      </c>
      <c r="J131" s="31">
        <f>'16-17 NGGT'!J133-'15-16 NGGT'!J133</f>
        <v>0</v>
      </c>
      <c r="K131" s="31">
        <f>'16-17 NGGT'!K133-'15-16 NGGT'!K133</f>
        <v>0</v>
      </c>
      <c r="L131" s="28">
        <f>'16-17 NGGT'!L133-'15-16 NGGT'!L133</f>
        <v>-11.113066096507623</v>
      </c>
    </row>
    <row r="132" spans="1:16">
      <c r="A132" t="s">
        <v>233</v>
      </c>
      <c r="C132" s="17" t="s">
        <v>388</v>
      </c>
      <c r="D132" s="27">
        <f>'16-17 NGGT'!D134-'15-16 NGGT'!D134</f>
        <v>5.5893599999999992</v>
      </c>
      <c r="E132" s="27">
        <f>'16-17 NGGT'!E134-'15-16 NGGT'!E134</f>
        <v>-2.8226581607466201</v>
      </c>
      <c r="F132" s="27">
        <f>'16-17 NGGT'!F134-'15-16 NGGT'!F134</f>
        <v>0</v>
      </c>
      <c r="G132" s="27">
        <f>'16-17 NGGT'!G134-'15-16 NGGT'!G134</f>
        <v>0</v>
      </c>
      <c r="H132" s="27">
        <f>'16-17 NGGT'!H134-'15-16 NGGT'!H134</f>
        <v>0</v>
      </c>
      <c r="I132" s="27">
        <f>'16-17 NGGT'!I134-'15-16 NGGT'!I134</f>
        <v>0</v>
      </c>
      <c r="J132" s="27">
        <f>'16-17 NGGT'!J134-'15-16 NGGT'!J134</f>
        <v>0</v>
      </c>
      <c r="K132" s="27">
        <f>'16-17 NGGT'!K134-'15-16 NGGT'!K134</f>
        <v>0</v>
      </c>
      <c r="L132" s="28">
        <f>'16-17 NGGT'!L134-'15-16 NGGT'!L134</f>
        <v>2.7667018392533862</v>
      </c>
      <c r="N132" s="53"/>
      <c r="P132" s="53"/>
    </row>
    <row r="133" spans="1:16">
      <c r="C133" s="18" t="s">
        <v>389</v>
      </c>
      <c r="D133" s="29">
        <f>'16-17 NGGT'!D135-'15-16 NGGT'!D135</f>
        <v>0</v>
      </c>
      <c r="E133" s="29">
        <f>'16-17 NGGT'!E135-'15-16 NGGT'!E135</f>
        <v>-3.3606518153502378</v>
      </c>
      <c r="F133" s="29">
        <f>'16-17 NGGT'!F135-'15-16 NGGT'!F135</f>
        <v>0</v>
      </c>
      <c r="G133" s="29">
        <f>'16-17 NGGT'!G135-'15-16 NGGT'!G135</f>
        <v>0</v>
      </c>
      <c r="H133" s="29">
        <f>'16-17 NGGT'!H135-'15-16 NGGT'!H135</f>
        <v>0</v>
      </c>
      <c r="I133" s="29">
        <f>'16-17 NGGT'!I135-'15-16 NGGT'!I135</f>
        <v>0</v>
      </c>
      <c r="J133" s="29">
        <f>'16-17 NGGT'!J135-'15-16 NGGT'!J135</f>
        <v>0</v>
      </c>
      <c r="K133" s="29">
        <f>'16-17 NGGT'!K135-'15-16 NGGT'!K135</f>
        <v>0</v>
      </c>
      <c r="L133" s="30">
        <f>'16-17 NGGT'!L135-'15-16 NGGT'!L135</f>
        <v>-3.3606518153501952</v>
      </c>
      <c r="N133" s="53"/>
      <c r="P133" s="53"/>
    </row>
    <row r="134" spans="1:16">
      <c r="C134" s="19" t="s">
        <v>78</v>
      </c>
      <c r="D134" s="31">
        <f>'16-17 NGGT'!D136-'15-16 NGGT'!D136</f>
        <v>5.5893599999999992</v>
      </c>
      <c r="E134" s="31">
        <f>'16-17 NGGT'!E136-'15-16 NGGT'!E136</f>
        <v>-6.1833099760968508</v>
      </c>
      <c r="F134" s="31">
        <f>'16-17 NGGT'!F136-'15-16 NGGT'!F136</f>
        <v>0</v>
      </c>
      <c r="G134" s="31">
        <f>'16-17 NGGT'!G136-'15-16 NGGT'!G136</f>
        <v>0</v>
      </c>
      <c r="H134" s="31">
        <f>'16-17 NGGT'!H136-'15-16 NGGT'!H136</f>
        <v>0</v>
      </c>
      <c r="I134" s="31">
        <f>'16-17 NGGT'!I136-'15-16 NGGT'!I136</f>
        <v>0</v>
      </c>
      <c r="J134" s="31">
        <f>'16-17 NGGT'!J136-'15-16 NGGT'!J136</f>
        <v>0</v>
      </c>
      <c r="K134" s="31">
        <f>'16-17 NGGT'!K136-'15-16 NGGT'!K136</f>
        <v>0</v>
      </c>
      <c r="L134" s="28">
        <f>'16-17 NGGT'!L136-'15-16 NGGT'!L136</f>
        <v>-0.59394997609683742</v>
      </c>
    </row>
    <row r="135" spans="1:16">
      <c r="C135" s="20"/>
      <c r="D135" s="32"/>
      <c r="E135" s="32"/>
      <c r="F135" s="32"/>
      <c r="G135" s="32"/>
      <c r="H135" s="32"/>
      <c r="I135" s="32"/>
      <c r="J135" s="32"/>
      <c r="K135" s="32"/>
      <c r="L135" s="33"/>
    </row>
    <row r="136" spans="1:16">
      <c r="C136" s="17" t="s">
        <v>79</v>
      </c>
      <c r="D136" s="27">
        <f>'16-17 NGGT'!D138-'15-16 NGGT'!D138</f>
        <v>3.4989393600000014</v>
      </c>
      <c r="E136" s="27">
        <f>'16-17 NGGT'!E138-'15-16 NGGT'!E138</f>
        <v>-3.8707520450366388</v>
      </c>
      <c r="F136" s="27">
        <f>'16-17 NGGT'!F138-'15-16 NGGT'!F138</f>
        <v>0</v>
      </c>
      <c r="G136" s="27">
        <f>'16-17 NGGT'!G138-'15-16 NGGT'!G138</f>
        <v>0</v>
      </c>
      <c r="H136" s="27">
        <f>'16-17 NGGT'!H138-'15-16 NGGT'!H138</f>
        <v>0</v>
      </c>
      <c r="I136" s="27">
        <f>'16-17 NGGT'!I138-'15-16 NGGT'!I138</f>
        <v>0</v>
      </c>
      <c r="J136" s="27">
        <f>'16-17 NGGT'!J138-'15-16 NGGT'!J138</f>
        <v>0</v>
      </c>
      <c r="K136" s="27">
        <f>'16-17 NGGT'!K138-'15-16 NGGT'!K138</f>
        <v>0</v>
      </c>
      <c r="L136" s="28">
        <f>'16-17 NGGT'!L138-'15-16 NGGT'!L138</f>
        <v>-0.37181268503672982</v>
      </c>
    </row>
    <row r="137" spans="1:16">
      <c r="C137" s="18" t="s">
        <v>80</v>
      </c>
      <c r="D137" s="29">
        <f>'16-17 NGGT'!D139-'15-16 NGGT'!D139</f>
        <v>2.0904206400000014</v>
      </c>
      <c r="E137" s="29">
        <f>'16-17 NGGT'!E139-'15-16 NGGT'!E139</f>
        <v>-2.3125579310602262</v>
      </c>
      <c r="F137" s="29">
        <f>'16-17 NGGT'!F139-'15-16 NGGT'!F139</f>
        <v>0</v>
      </c>
      <c r="G137" s="29">
        <f>'16-17 NGGT'!G139-'15-16 NGGT'!G139</f>
        <v>0</v>
      </c>
      <c r="H137" s="29">
        <f>'16-17 NGGT'!H139-'15-16 NGGT'!H139</f>
        <v>0</v>
      </c>
      <c r="I137" s="29">
        <f>'16-17 NGGT'!I139-'15-16 NGGT'!I139</f>
        <v>0</v>
      </c>
      <c r="J137" s="29">
        <f>'16-17 NGGT'!J139-'15-16 NGGT'!J139</f>
        <v>0</v>
      </c>
      <c r="K137" s="29">
        <f>'16-17 NGGT'!K139-'15-16 NGGT'!K139</f>
        <v>0</v>
      </c>
      <c r="L137" s="30">
        <f>'16-17 NGGT'!L139-'15-16 NGGT'!L139</f>
        <v>-0.22213729106022129</v>
      </c>
    </row>
    <row r="138" spans="1:16" ht="13.8" thickBot="1">
      <c r="C138" s="21" t="s">
        <v>390</v>
      </c>
      <c r="D138" s="34">
        <f>'16-17 NGGT'!D140-'15-16 NGGT'!D140</f>
        <v>5.5893599999999992</v>
      </c>
      <c r="E138" s="34">
        <f>'16-17 NGGT'!E140-'15-16 NGGT'!E140</f>
        <v>-6.1833099760968651</v>
      </c>
      <c r="F138" s="34">
        <f>'16-17 NGGT'!F140-'15-16 NGGT'!F140</f>
        <v>0</v>
      </c>
      <c r="G138" s="34">
        <f>'16-17 NGGT'!G140-'15-16 NGGT'!G140</f>
        <v>0</v>
      </c>
      <c r="H138" s="34">
        <f>'16-17 NGGT'!H140-'15-16 NGGT'!H140</f>
        <v>0</v>
      </c>
      <c r="I138" s="34">
        <f>'16-17 NGGT'!I140-'15-16 NGGT'!I140</f>
        <v>0</v>
      </c>
      <c r="J138" s="34">
        <f>'16-17 NGGT'!J140-'15-16 NGGT'!J140</f>
        <v>0</v>
      </c>
      <c r="K138" s="34">
        <f>'16-17 NGGT'!K140-'15-16 NGGT'!K140</f>
        <v>0</v>
      </c>
      <c r="L138" s="35">
        <f>'16-17 NGGT'!L140-'15-16 NGGT'!L140</f>
        <v>-0.5939499760969511</v>
      </c>
    </row>
    <row r="140" spans="1:16" ht="13.8" thickBot="1">
      <c r="A140" s="38" t="s">
        <v>410</v>
      </c>
    </row>
    <row r="141" spans="1:16" ht="13.8" thickBot="1">
      <c r="C141" s="7" t="s">
        <v>58</v>
      </c>
      <c r="D141" s="8" t="s">
        <v>59</v>
      </c>
      <c r="E141" s="8" t="s">
        <v>60</v>
      </c>
      <c r="F141" s="8" t="s">
        <v>61</v>
      </c>
      <c r="G141" s="8" t="s">
        <v>62</v>
      </c>
      <c r="H141" s="8" t="s">
        <v>63</v>
      </c>
      <c r="I141" s="8" t="s">
        <v>64</v>
      </c>
      <c r="J141" s="8" t="s">
        <v>65</v>
      </c>
      <c r="K141" s="8" t="s">
        <v>66</v>
      </c>
    </row>
    <row r="142" spans="1:16">
      <c r="C142" s="10" t="s">
        <v>79</v>
      </c>
      <c r="D142" s="42">
        <f>'16-17 NGGT'!D144-'15-16 NGGT'!D144</f>
        <v>3.4989393600000014</v>
      </c>
      <c r="E142" s="42">
        <f>'16-17 NGGT'!E144-'15-16 NGGT'!E144</f>
        <v>-3.8707520450366388</v>
      </c>
      <c r="F142" s="42">
        <f>'16-17 NGGT'!F144-'15-16 NGGT'!F144</f>
        <v>0</v>
      </c>
      <c r="G142" s="42">
        <f>'16-17 NGGT'!G144-'15-16 NGGT'!G144</f>
        <v>0</v>
      </c>
      <c r="H142" s="42">
        <f>'16-17 NGGT'!H144-'15-16 NGGT'!H144</f>
        <v>0</v>
      </c>
      <c r="I142" s="42">
        <f>'16-17 NGGT'!I144-'15-16 NGGT'!I144</f>
        <v>0</v>
      </c>
      <c r="J142" s="42">
        <f>'16-17 NGGT'!J144-'15-16 NGGT'!J144</f>
        <v>0</v>
      </c>
      <c r="K142" s="42">
        <f>'16-17 NGGT'!K144-'15-16 NGGT'!K144</f>
        <v>0</v>
      </c>
    </row>
    <row r="143" spans="1:16">
      <c r="C143" s="11" t="s">
        <v>98</v>
      </c>
      <c r="D143" s="43">
        <f>'16-17 NGGT'!D145-'15-16 NGGT'!D145</f>
        <v>0</v>
      </c>
      <c r="E143" s="43">
        <f>'16-17 NGGT'!E145-'15-16 NGGT'!E145</f>
        <v>0</v>
      </c>
      <c r="F143" s="43">
        <f>'16-17 NGGT'!F145-'15-16 NGGT'!F145</f>
        <v>0</v>
      </c>
      <c r="G143" s="43">
        <f>'16-17 NGGT'!G145-'15-16 NGGT'!G145</f>
        <v>0</v>
      </c>
      <c r="H143" s="43">
        <f>'16-17 NGGT'!H145-'15-16 NGGT'!H145</f>
        <v>0</v>
      </c>
      <c r="I143" s="43">
        <f>'16-17 NGGT'!I145-'15-16 NGGT'!I145</f>
        <v>0</v>
      </c>
      <c r="J143" s="43">
        <f>'16-17 NGGT'!J145-'15-16 NGGT'!J145</f>
        <v>0</v>
      </c>
      <c r="K143" s="43">
        <f>'16-17 NGGT'!K145-'15-16 NGGT'!K145</f>
        <v>0</v>
      </c>
    </row>
    <row r="144" spans="1:16">
      <c r="C144" s="11" t="s">
        <v>100</v>
      </c>
      <c r="D144" s="43">
        <f>'16-17 NGGT'!D146-'15-16 NGGT'!D146</f>
        <v>0</v>
      </c>
      <c r="E144" s="43">
        <f>'16-17 NGGT'!E146-'15-16 NGGT'!E146</f>
        <v>0</v>
      </c>
      <c r="F144" s="43">
        <f>'16-17 NGGT'!F146-'15-16 NGGT'!F146</f>
        <v>0</v>
      </c>
      <c r="G144" s="43">
        <f>'16-17 NGGT'!G146-'15-16 NGGT'!G146</f>
        <v>0</v>
      </c>
      <c r="H144" s="43">
        <f>'16-17 NGGT'!H146-'15-16 NGGT'!H146</f>
        <v>0</v>
      </c>
      <c r="I144" s="43">
        <f>'16-17 NGGT'!I146-'15-16 NGGT'!I146</f>
        <v>0</v>
      </c>
      <c r="J144" s="43">
        <f>'16-17 NGGT'!J146-'15-16 NGGT'!J146</f>
        <v>0</v>
      </c>
      <c r="K144" s="43">
        <f>'16-17 NGGT'!K146-'15-16 NGGT'!K146</f>
        <v>0</v>
      </c>
    </row>
    <row r="145" spans="3:11">
      <c r="C145" s="10" t="s">
        <v>101</v>
      </c>
      <c r="D145" s="42">
        <f>'16-17 NGGT'!D147-'15-16 NGGT'!D147</f>
        <v>0</v>
      </c>
      <c r="E145" s="42">
        <f>'16-17 NGGT'!E147-'15-16 NGGT'!E147</f>
        <v>0</v>
      </c>
      <c r="F145" s="42">
        <f>'16-17 NGGT'!F147-'15-16 NGGT'!F147</f>
        <v>0</v>
      </c>
      <c r="G145" s="42">
        <f>'16-17 NGGT'!G147-'15-16 NGGT'!G147</f>
        <v>0</v>
      </c>
      <c r="H145" s="42">
        <f>'16-17 NGGT'!H147-'15-16 NGGT'!H147</f>
        <v>0</v>
      </c>
      <c r="I145" s="42">
        <f>'16-17 NGGT'!I147-'15-16 NGGT'!I147</f>
        <v>0</v>
      </c>
      <c r="J145" s="42">
        <f>'16-17 NGGT'!J147-'15-16 NGGT'!J147</f>
        <v>0</v>
      </c>
      <c r="K145" s="42">
        <f>'16-17 NGGT'!K147-'15-16 NGGT'!K147</f>
        <v>0</v>
      </c>
    </row>
    <row r="146" spans="3:11">
      <c r="C146" s="11" t="s">
        <v>102</v>
      </c>
      <c r="D146" s="43">
        <f>'16-17 NGGT'!D148-'15-16 NGGT'!D148</f>
        <v>1.0590699670868586</v>
      </c>
      <c r="E146" s="43">
        <f>'16-17 NGGT'!E148-'15-16 NGGT'!E148</f>
        <v>0.89406996330869515</v>
      </c>
      <c r="F146" s="43">
        <f>'16-17 NGGT'!F148-'15-16 NGGT'!F148</f>
        <v>-7.1498852217667243E-18</v>
      </c>
      <c r="G146" s="43">
        <f>'16-17 NGGT'!G148-'15-16 NGGT'!G148</f>
        <v>0</v>
      </c>
      <c r="H146" s="43">
        <f>'16-17 NGGT'!H148-'15-16 NGGT'!H148</f>
        <v>0</v>
      </c>
      <c r="I146" s="43">
        <f>'16-17 NGGT'!I148-'15-16 NGGT'!I148</f>
        <v>0</v>
      </c>
      <c r="J146" s="43">
        <f>'16-17 NGGT'!J148-'15-16 NGGT'!J148</f>
        <v>0.26573073394603886</v>
      </c>
      <c r="K146" s="43">
        <f>'16-17 NGGT'!K148-'15-16 NGGT'!K148</f>
        <v>0.34001875117774227</v>
      </c>
    </row>
    <row r="147" spans="3:11">
      <c r="C147" s="10" t="s">
        <v>103</v>
      </c>
      <c r="D147" s="42">
        <f>'16-17 NGGT'!D149-'15-16 NGGT'!D149</f>
        <v>4.3811211017963814E-2</v>
      </c>
      <c r="E147" s="42">
        <f>'16-17 NGGT'!E149-'15-16 NGGT'!E149</f>
        <v>0.33243776700764727</v>
      </c>
      <c r="F147" s="42">
        <f>'16-17 NGGT'!F149-'15-16 NGGT'!F149</f>
        <v>-5.2252622323287312E-2</v>
      </c>
      <c r="G147" s="42">
        <f>'16-17 NGGT'!G149-'15-16 NGGT'!G149</f>
        <v>-0.14935982767876155</v>
      </c>
      <c r="H147" s="42">
        <f>'16-17 NGGT'!H149-'15-16 NGGT'!H149</f>
        <v>-0.15575519464985632</v>
      </c>
      <c r="I147" s="42">
        <f>'16-17 NGGT'!I149-'15-16 NGGT'!I149</f>
        <v>-0.15774815006877319</v>
      </c>
      <c r="J147" s="42">
        <f>'16-17 NGGT'!J149-'15-16 NGGT'!J149</f>
        <v>-0.15632388376000961</v>
      </c>
      <c r="K147" s="42">
        <f>'16-17 NGGT'!K149-'15-16 NGGT'!K149</f>
        <v>-0.15357677930666469</v>
      </c>
    </row>
    <row r="148" spans="3:11">
      <c r="C148" s="11" t="s">
        <v>104</v>
      </c>
      <c r="D148" s="43">
        <f>'16-17 NGGT'!D150-'15-16 NGGT'!D150</f>
        <v>0</v>
      </c>
      <c r="E148" s="43">
        <f>'16-17 NGGT'!E150-'15-16 NGGT'!E150</f>
        <v>0</v>
      </c>
      <c r="F148" s="43">
        <f>'16-17 NGGT'!F150-'15-16 NGGT'!F150</f>
        <v>0</v>
      </c>
      <c r="G148" s="43">
        <f>'16-17 NGGT'!G150-'15-16 NGGT'!G150</f>
        <v>8.9938260789845792E-5</v>
      </c>
      <c r="H148" s="43">
        <f>'16-17 NGGT'!H150-'15-16 NGGT'!H150</f>
        <v>1.872345955405974E-4</v>
      </c>
      <c r="I148" s="43">
        <f>'16-17 NGGT'!I150-'15-16 NGGT'!I150</f>
        <v>2.9234051645465886E-4</v>
      </c>
      <c r="J148" s="43">
        <f>'16-17 NGGT'!J150-'15-16 NGGT'!J150</f>
        <v>4.0573216473127616E-4</v>
      </c>
      <c r="K148" s="43">
        <f>'16-17 NGGT'!K150-'15-16 NGGT'!K150</f>
        <v>5.2791157012888057E-4</v>
      </c>
    </row>
    <row r="149" spans="3:11">
      <c r="C149" s="12" t="s">
        <v>105</v>
      </c>
      <c r="D149" s="50">
        <f>'16-17 NGGT'!D151-'15-16 NGGT'!D151</f>
        <v>4.6018205381048176</v>
      </c>
      <c r="E149" s="50">
        <f>'16-17 NGGT'!E151-'15-16 NGGT'!E151</f>
        <v>-2.6442443147202894</v>
      </c>
      <c r="F149" s="50">
        <f>'16-17 NGGT'!F151-'15-16 NGGT'!F151</f>
        <v>-5.2252622323280207E-2</v>
      </c>
      <c r="G149" s="50">
        <f>'16-17 NGGT'!G151-'15-16 NGGT'!G151</f>
        <v>-0.14926988941797958</v>
      </c>
      <c r="H149" s="50">
        <f>'16-17 NGGT'!H151-'15-16 NGGT'!H151</f>
        <v>-0.15556796005431295</v>
      </c>
      <c r="I149" s="50">
        <f>'16-17 NGGT'!I151-'15-16 NGGT'!I151</f>
        <v>-0.15745580955231731</v>
      </c>
      <c r="J149" s="50">
        <f>'16-17 NGGT'!J151-'15-16 NGGT'!J151</f>
        <v>0.10981258235077007</v>
      </c>
      <c r="K149" s="50">
        <f>'16-17 NGGT'!K151-'15-16 NGGT'!K151</f>
        <v>0.18696988344120768</v>
      </c>
    </row>
    <row r="150" spans="3:11">
      <c r="C150" s="11" t="s">
        <v>277</v>
      </c>
      <c r="D150" s="43">
        <f>'16-17 NGGT'!D152-'15-16 NGGT'!D152</f>
        <v>0</v>
      </c>
      <c r="E150" s="43">
        <f>'16-17 NGGT'!E152-'15-16 NGGT'!E152</f>
        <v>0</v>
      </c>
      <c r="F150" s="43">
        <f>'16-17 NGGT'!F152-'15-16 NGGT'!F152</f>
        <v>0</v>
      </c>
      <c r="G150" s="43">
        <f>'16-17 NGGT'!G152-'15-16 NGGT'!G152</f>
        <v>0</v>
      </c>
      <c r="H150" s="43">
        <f>'16-17 NGGT'!H152-'15-16 NGGT'!H152</f>
        <v>0</v>
      </c>
      <c r="I150" s="43">
        <f>'16-17 NGGT'!I152-'15-16 NGGT'!I152</f>
        <v>0</v>
      </c>
      <c r="J150" s="43">
        <f>'16-17 NGGT'!J152-'15-16 NGGT'!J152</f>
        <v>0</v>
      </c>
      <c r="K150" s="43">
        <f>'16-17 NGGT'!K152-'15-16 NGGT'!K152</f>
        <v>0</v>
      </c>
    </row>
    <row r="151" spans="3:11" ht="13.8" thickBot="1">
      <c r="C151" s="13" t="s">
        <v>107</v>
      </c>
      <c r="D151" s="52">
        <f>'16-17 NGGT'!D153-'15-16 NGGT'!D153</f>
        <v>4.6018205381048176</v>
      </c>
      <c r="E151" s="52">
        <f>'16-17 NGGT'!E153-'15-16 NGGT'!E153</f>
        <v>-2.6442443147202823</v>
      </c>
      <c r="F151" s="52">
        <f>'16-17 NGGT'!F153-'15-16 NGGT'!F153</f>
        <v>-5.2252622323294418E-2</v>
      </c>
      <c r="G151" s="52">
        <f>'16-17 NGGT'!G153-'15-16 NGGT'!G153</f>
        <v>-0.14926988941795116</v>
      </c>
      <c r="H151" s="52">
        <f>'16-17 NGGT'!H153-'15-16 NGGT'!H153</f>
        <v>-0.15556796005431295</v>
      </c>
      <c r="I151" s="52">
        <f>'16-17 NGGT'!I153-'15-16 NGGT'!I153</f>
        <v>-0.15745580955231731</v>
      </c>
      <c r="J151" s="52">
        <f>'16-17 NGGT'!J153-'15-16 NGGT'!J153</f>
        <v>0.10981258235077007</v>
      </c>
      <c r="K151" s="52">
        <f>'16-17 NGGT'!K153-'15-16 NGGT'!K153</f>
        <v>0.18696988344120768</v>
      </c>
    </row>
    <row r="153" spans="3:11">
      <c r="E153" s="53" t="s">
        <v>397</v>
      </c>
      <c r="F153" s="53">
        <f>D151*1.04375*1.0425*1.04144+E151*1.0425*1.04144+F151*1.04144+G151</f>
        <v>2.1402388354274549</v>
      </c>
      <c r="G153" s="53" t="s">
        <v>201</v>
      </c>
      <c r="H153" s="53">
        <f>F153-'GT workings 16-17'!G239+'NGGT differences 15-16'!G151+'NGGT differences 14-15'!G151</f>
        <v>5.4960168696105427E-6</v>
      </c>
      <c r="I153" s="53"/>
      <c r="J153" s="53"/>
      <c r="K153" s="53"/>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59999389629810485"/>
  </sheetPr>
  <dimension ref="A1:AM153"/>
  <sheetViews>
    <sheetView workbookViewId="0">
      <selection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8" ht="13.8" thickBot="1"/>
    <row r="2" spans="1:8" ht="63" thickBot="1">
      <c r="A2" s="38" t="s">
        <v>411</v>
      </c>
      <c r="C2" s="1" t="s">
        <v>384</v>
      </c>
      <c r="D2" s="2" t="s">
        <v>40</v>
      </c>
      <c r="E2" s="47" t="s">
        <v>41</v>
      </c>
      <c r="G2" s="112" t="s">
        <v>362</v>
      </c>
      <c r="H2" s="113" t="str">
        <f>RPI!$B$1</f>
        <v>Updated Oct 2019</v>
      </c>
    </row>
    <row r="3" spans="1:8" ht="15.6" thickBot="1">
      <c r="C3" s="3" t="s">
        <v>406</v>
      </c>
      <c r="D3" s="62">
        <f>'17-18 NGGT'!D3-'16-17 NGGT'!D3</f>
        <v>0</v>
      </c>
      <c r="E3" s="63">
        <f>'17-18 NGGT'!E3-'16-17 NGGT'!E3</f>
        <v>0</v>
      </c>
    </row>
    <row r="4" spans="1:8" ht="15.6" thickBot="1">
      <c r="C4" s="3" t="s">
        <v>407</v>
      </c>
      <c r="D4" s="62">
        <f>'17-18 NGGT'!D4-'16-17 NGGT'!D4</f>
        <v>0</v>
      </c>
      <c r="E4" s="63">
        <f>'17-18 NGGT'!E4-'16-17 NGGT'!E4</f>
        <v>0</v>
      </c>
    </row>
    <row r="5" spans="1:8" ht="15.6" thickBot="1">
      <c r="C5" s="4" t="s">
        <v>44</v>
      </c>
      <c r="D5" s="64">
        <f>'17-18 NGGT'!D5-'16-17 NGGT'!D5</f>
        <v>0</v>
      </c>
      <c r="E5" s="63">
        <f>'17-18 NGGT'!E5-'16-17 NGGT'!E5</f>
        <v>0</v>
      </c>
    </row>
    <row r="6" spans="1:8" ht="15.6" thickBot="1">
      <c r="C6" s="3" t="s">
        <v>408</v>
      </c>
      <c r="D6" s="62">
        <f>'17-18 NGGT'!D6-'16-17 NGGT'!D6</f>
        <v>0</v>
      </c>
      <c r="E6" s="63">
        <f>'17-18 NGGT'!E6-'16-17 NGGT'!E6</f>
        <v>0</v>
      </c>
    </row>
    <row r="7" spans="1:8" ht="15.6" thickBot="1">
      <c r="C7" s="4" t="s">
        <v>46</v>
      </c>
      <c r="D7" s="64">
        <f>'17-18 NGGT'!D7-'16-17 NGGT'!D7</f>
        <v>0</v>
      </c>
      <c r="E7" s="63">
        <f>'17-18 NGGT'!E7-'16-17 NGGT'!E7</f>
        <v>0</v>
      </c>
    </row>
    <row r="8" spans="1:8" ht="16.2" thickBot="1">
      <c r="C8" s="6" t="s">
        <v>48</v>
      </c>
      <c r="D8" s="65">
        <f>'17-18 NGGT'!D8-'16-17 NGGT'!D8</f>
        <v>0</v>
      </c>
      <c r="E8" s="66">
        <f>'17-18 NGGT'!E8-'16-17 NGGT'!E8</f>
        <v>0</v>
      </c>
    </row>
    <row r="9" spans="1:8" ht="15.6" thickBot="1">
      <c r="C9" s="4" t="s">
        <v>52</v>
      </c>
      <c r="D9" s="64">
        <f>'17-18 NGGT'!D9-'16-17 NGGT'!D9</f>
        <v>0</v>
      </c>
      <c r="E9" s="63">
        <f>'17-18 NGGT'!E9-'16-17 NGGT'!E9</f>
        <v>0</v>
      </c>
    </row>
    <row r="10" spans="1:8" ht="15.6" thickBot="1">
      <c r="C10" s="3"/>
      <c r="D10" s="62"/>
      <c r="E10" s="63"/>
    </row>
    <row r="11" spans="1:8" ht="15.6" thickBot="1">
      <c r="C11" s="4" t="s">
        <v>138</v>
      </c>
      <c r="D11" s="64">
        <f>'17-18 NGGT'!D11-'16-17 NGGT'!D11</f>
        <v>0</v>
      </c>
      <c r="E11" s="63">
        <f>'17-18 NGGT'!E11-'16-17 NGGT'!E11</f>
        <v>0</v>
      </c>
    </row>
    <row r="12" spans="1:8" ht="15.6" thickBot="1">
      <c r="C12" s="3" t="s">
        <v>44</v>
      </c>
      <c r="D12" s="62">
        <f>'17-18 NGGT'!D12-'16-17 NGGT'!D12</f>
        <v>-1.6365679493743346E-4</v>
      </c>
      <c r="E12" s="63">
        <f>'17-18 NGGT'!E12-'16-17 NGGT'!E12</f>
        <v>-2.2521758827238197E-4</v>
      </c>
    </row>
    <row r="13" spans="1:8" ht="15.6" thickBot="1">
      <c r="C13" s="4" t="s">
        <v>45</v>
      </c>
      <c r="D13" s="64">
        <f>'17-18 NGGT'!D13-'16-17 NGGT'!D13</f>
        <v>1.4647540661781588E-3</v>
      </c>
      <c r="E13" s="63">
        <f>'17-18 NGGT'!E13-'16-17 NGGT'!E13</f>
        <v>9.0817546109080161E-4</v>
      </c>
    </row>
    <row r="14" spans="1:8" ht="15.6" thickBot="1">
      <c r="C14" s="3" t="s">
        <v>46</v>
      </c>
      <c r="D14" s="62">
        <f>'17-18 NGGT'!D14-'16-17 NGGT'!D14</f>
        <v>0</v>
      </c>
      <c r="E14" s="63">
        <f>'17-18 NGGT'!E14-'16-17 NGGT'!E14</f>
        <v>0</v>
      </c>
    </row>
    <row r="15" spans="1:8" ht="16.2" thickBot="1">
      <c r="C15" s="5" t="s">
        <v>50</v>
      </c>
      <c r="D15" s="67">
        <f>'17-18 NGGT'!D15-'16-17 NGGT'!D15</f>
        <v>1.3010972712407254E-3</v>
      </c>
      <c r="E15" s="66">
        <f>'17-18 NGGT'!E15-'16-17 NGGT'!E15</f>
        <v>6.829578728184682E-4</v>
      </c>
    </row>
    <row r="16" spans="1:8" ht="15.6" thickBot="1">
      <c r="C16" s="3"/>
      <c r="D16" s="62"/>
      <c r="E16" s="63"/>
    </row>
    <row r="17" spans="1:38" ht="16.2" thickBot="1">
      <c r="C17" s="5" t="s">
        <v>51</v>
      </c>
      <c r="D17" s="67">
        <f>'17-18 NGGT'!D17-'16-17 NGGT'!D17</f>
        <v>1.3010972712406144E-3</v>
      </c>
      <c r="E17" s="66">
        <f>'17-18 NGGT'!E17-'16-17 NGGT'!E17</f>
        <v>6.8295787281869025E-4</v>
      </c>
    </row>
    <row r="18" spans="1:38" ht="16.2" thickBot="1">
      <c r="C18" s="6"/>
      <c r="D18" s="65"/>
      <c r="E18" s="66"/>
    </row>
    <row r="19" spans="1:38" ht="16.2" thickBot="1">
      <c r="C19" s="5" t="s">
        <v>53</v>
      </c>
      <c r="D19" s="67">
        <f>'17-18 NGGT'!D19-'16-17 NGGT'!D19</f>
        <v>0</v>
      </c>
      <c r="E19" s="66">
        <f>'17-18 NGGT'!E19-'16-17 NGGT'!E19</f>
        <v>0</v>
      </c>
    </row>
    <row r="20" spans="1:38" ht="16.2" thickBot="1">
      <c r="C20" s="6" t="s">
        <v>54</v>
      </c>
      <c r="D20" s="65">
        <f>'17-18 NGGT'!D20-'16-17 NGGT'!D20</f>
        <v>5.8036585064868973E-5</v>
      </c>
      <c r="E20" s="66">
        <f>'17-18 NGGT'!E20-'16-17 NGGT'!E20</f>
        <v>4.1396233071644417E-5</v>
      </c>
    </row>
    <row r="24" spans="1:38" ht="13.8" thickBot="1">
      <c r="A24" s="38" t="s">
        <v>399</v>
      </c>
    </row>
    <row r="25" spans="1:38" ht="13.8" thickBot="1">
      <c r="C25" s="7" t="s">
        <v>58</v>
      </c>
      <c r="D25" s="8" t="s">
        <v>59</v>
      </c>
      <c r="E25" s="8" t="s">
        <v>60</v>
      </c>
      <c r="F25" s="8" t="s">
        <v>61</v>
      </c>
      <c r="G25" s="8" t="s">
        <v>62</v>
      </c>
      <c r="H25" s="8" t="s">
        <v>63</v>
      </c>
      <c r="I25" s="8" t="s">
        <v>64</v>
      </c>
      <c r="J25" s="8" t="s">
        <v>65</v>
      </c>
      <c r="K25" s="8" t="s">
        <v>66</v>
      </c>
      <c r="L25" s="8" t="s">
        <v>67</v>
      </c>
    </row>
    <row r="26" spans="1:38">
      <c r="C26" s="9"/>
      <c r="D26" s="49"/>
      <c r="E26" s="49"/>
      <c r="F26" s="49"/>
      <c r="G26" s="49"/>
      <c r="H26" s="49"/>
      <c r="I26" s="49"/>
      <c r="J26" s="49"/>
      <c r="K26" s="49"/>
      <c r="L26" s="49"/>
    </row>
    <row r="27" spans="1:38" ht="12.75" customHeight="1">
      <c r="A27" t="s">
        <v>338</v>
      </c>
      <c r="C27" s="10" t="s">
        <v>414</v>
      </c>
      <c r="D27" s="42">
        <f>'17-18 NGGT'!D27-'16-17 NGGT'!D27</f>
        <v>0</v>
      </c>
      <c r="E27" s="42">
        <f>'17-18 NGGT'!E27-'16-17 NGGT'!E27</f>
        <v>0</v>
      </c>
      <c r="F27" s="42">
        <f>'17-18 NGGT'!F27-'16-17 NGGT'!F27</f>
        <v>0</v>
      </c>
      <c r="G27" s="42">
        <f>'17-18 NGGT'!G27-'16-17 NGGT'!G27</f>
        <v>0</v>
      </c>
      <c r="H27" s="42">
        <f>'17-18 NGGT'!H27-'16-17 NGGT'!H27</f>
        <v>0</v>
      </c>
      <c r="I27" s="42">
        <f>'17-18 NGGT'!I27-'16-17 NGGT'!I27</f>
        <v>0</v>
      </c>
      <c r="J27" s="42">
        <f>'17-18 NGGT'!J27-'16-17 NGGT'!J27</f>
        <v>0</v>
      </c>
      <c r="K27" s="42">
        <f>'17-18 NGGT'!K27-'16-17 NGGT'!K27</f>
        <v>0</v>
      </c>
      <c r="L27" s="50">
        <f>'17-18 NGGT'!L27-'16-17 NGGT'!L27</f>
        <v>0</v>
      </c>
      <c r="S27" s="10" t="s">
        <v>424</v>
      </c>
      <c r="T27" s="335">
        <v>112</v>
      </c>
      <c r="U27" s="335">
        <v>98</v>
      </c>
      <c r="V27" s="335">
        <v>107</v>
      </c>
      <c r="W27" s="335">
        <v>137</v>
      </c>
      <c r="X27" s="335">
        <v>166</v>
      </c>
      <c r="Y27" s="335">
        <v>85</v>
      </c>
      <c r="Z27" s="335">
        <v>72</v>
      </c>
      <c r="AA27" s="335">
        <v>71</v>
      </c>
      <c r="AB27" s="336">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416</v>
      </c>
      <c r="D28" s="42">
        <f>'17-18 NGGT'!D28-'16-17 NGGT'!D28</f>
        <v>0</v>
      </c>
      <c r="E28" s="42">
        <f>'17-18 NGGT'!E28-'16-17 NGGT'!E28</f>
        <v>0</v>
      </c>
      <c r="F28" s="42">
        <f>'17-18 NGGT'!F28-'16-17 NGGT'!F28</f>
        <v>0</v>
      </c>
      <c r="G28" s="42">
        <f>'17-18 NGGT'!G28-'16-17 NGGT'!G28</f>
        <v>0</v>
      </c>
      <c r="H28" s="42">
        <f>'17-18 NGGT'!H28-'16-17 NGGT'!H28</f>
        <v>0</v>
      </c>
      <c r="I28" s="42">
        <f>'17-18 NGGT'!I28-'16-17 NGGT'!I28</f>
        <v>0</v>
      </c>
      <c r="J28" s="42">
        <f>'17-18 NGGT'!J28-'16-17 NGGT'!J28</f>
        <v>0</v>
      </c>
      <c r="K28" s="42">
        <f>'17-18 NGGT'!K28-'16-17 NGGT'!K28</f>
        <v>0</v>
      </c>
      <c r="L28" s="50">
        <f>'17-18 NGGT'!L28-'16-17 NGGT'!L28</f>
        <v>0</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'17-18 NGGT'!D29-'16-17 NGGT'!D29</f>
        <v>0</v>
      </c>
      <c r="E29" s="43">
        <f>'17-18 NGGT'!E29-'16-17 NGGT'!E29</f>
        <v>0</v>
      </c>
      <c r="F29" s="43">
        <f>'17-18 NGGT'!F29-'16-17 NGGT'!F29</f>
        <v>0</v>
      </c>
      <c r="G29" s="43">
        <f>'17-18 NGGT'!G29-'16-17 NGGT'!G29</f>
        <v>0</v>
      </c>
      <c r="H29" s="43">
        <f>'17-18 NGGT'!H29-'16-17 NGGT'!H29</f>
        <v>0</v>
      </c>
      <c r="I29" s="43">
        <f>'17-18 NGGT'!I29-'16-17 NGGT'!I29</f>
        <v>0</v>
      </c>
      <c r="J29" s="43">
        <f>'17-18 NGGT'!J29-'16-17 NGGT'!J29</f>
        <v>0</v>
      </c>
      <c r="K29" s="43">
        <f>'17-18 NGGT'!K29-'16-17 NGGT'!K29</f>
        <v>0</v>
      </c>
      <c r="L29" s="45">
        <f>'17-18 NGGT'!L29-'16-17 NGGT'!L29</f>
        <v>0</v>
      </c>
      <c r="S29" s="11" t="s">
        <v>417</v>
      </c>
      <c r="T29" s="337">
        <v>90</v>
      </c>
      <c r="U29" s="337">
        <v>89</v>
      </c>
      <c r="V29" s="337">
        <v>92</v>
      </c>
      <c r="W29" s="337">
        <v>92</v>
      </c>
      <c r="X29" s="337">
        <v>94</v>
      </c>
      <c r="Y29" s="337">
        <v>95</v>
      </c>
      <c r="Z29" s="337">
        <v>96</v>
      </c>
      <c r="AA29" s="337">
        <v>96</v>
      </c>
      <c r="AB29" s="338">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71</v>
      </c>
      <c r="D30" s="50">
        <f>'17-18 NGGT'!D30-'16-17 NGGT'!D30</f>
        <v>0</v>
      </c>
      <c r="E30" s="50">
        <f>'17-18 NGGT'!E30-'16-17 NGGT'!E30</f>
        <v>0</v>
      </c>
      <c r="F30" s="50">
        <f>'17-18 NGGT'!F30-'16-17 NGGT'!F30</f>
        <v>0</v>
      </c>
      <c r="G30" s="50">
        <f>'17-18 NGGT'!G30-'16-17 NGGT'!G30</f>
        <v>0</v>
      </c>
      <c r="H30" s="50">
        <f>'17-18 NGGT'!H30-'16-17 NGGT'!H30</f>
        <v>0</v>
      </c>
      <c r="I30" s="50">
        <f>'17-18 NGGT'!I30-'16-17 NGGT'!I30</f>
        <v>0</v>
      </c>
      <c r="J30" s="50">
        <f>'17-18 NGGT'!J30-'16-17 NGGT'!J30</f>
        <v>0</v>
      </c>
      <c r="K30" s="50">
        <f>'17-18 NGGT'!K30-'16-17 NGGT'!K30</f>
        <v>0</v>
      </c>
      <c r="L30" s="50">
        <f>'17-18 NGGT'!L30-'16-17 NGGT'!L30</f>
        <v>0</v>
      </c>
      <c r="S30" s="12" t="s">
        <v>390</v>
      </c>
      <c r="T30" s="336">
        <v>201</v>
      </c>
      <c r="U30" s="336">
        <v>187</v>
      </c>
      <c r="V30" s="336">
        <v>198</v>
      </c>
      <c r="W30" s="336">
        <v>229</v>
      </c>
      <c r="X30" s="336">
        <v>260</v>
      </c>
      <c r="Y30" s="336">
        <v>179</v>
      </c>
      <c r="Z30" s="336">
        <v>167</v>
      </c>
      <c r="AA30" s="336">
        <v>166</v>
      </c>
      <c r="AB30" s="339">
        <v>1588</v>
      </c>
      <c r="AD30" s="50">
        <f t="shared" si="0"/>
        <v>-201</v>
      </c>
      <c r="AE30" s="50">
        <f t="shared" si="0"/>
        <v>-187</v>
      </c>
      <c r="AF30" s="50">
        <f t="shared" si="0"/>
        <v>-198</v>
      </c>
      <c r="AG30" s="50">
        <f t="shared" si="0"/>
        <v>-229</v>
      </c>
      <c r="AH30" s="50">
        <f t="shared" si="0"/>
        <v>-260</v>
      </c>
      <c r="AI30" s="50">
        <f t="shared" si="0"/>
        <v>-179</v>
      </c>
      <c r="AJ30" s="50">
        <f t="shared" si="0"/>
        <v>-167</v>
      </c>
      <c r="AK30" s="50">
        <f t="shared" si="0"/>
        <v>-166</v>
      </c>
      <c r="AL30" s="50">
        <f t="shared" si="0"/>
        <v>-1588</v>
      </c>
    </row>
    <row r="31" spans="1:38" ht="12.75" customHeight="1">
      <c r="A31" t="s">
        <v>346</v>
      </c>
      <c r="C31" s="10" t="s">
        <v>74</v>
      </c>
      <c r="D31" s="42">
        <f>'17-18 NGGT'!D31-'16-17 NGGT'!D31</f>
        <v>-7.6426999315870603E-6</v>
      </c>
      <c r="E31" s="42">
        <f>'17-18 NGGT'!E31-'16-17 NGGT'!E31</f>
        <v>-3.2753182657163649E-6</v>
      </c>
      <c r="F31" s="42">
        <f>'17-18 NGGT'!F31-'16-17 NGGT'!F31</f>
        <v>-8.4713339647933452</v>
      </c>
      <c r="G31" s="42">
        <f>'17-18 NGGT'!G31-'16-17 NGGT'!G31</f>
        <v>0</v>
      </c>
      <c r="H31" s="42">
        <f>'17-18 NGGT'!H31-'16-17 NGGT'!H31</f>
        <v>0</v>
      </c>
      <c r="I31" s="42">
        <f>'17-18 NGGT'!I31-'16-17 NGGT'!I31</f>
        <v>0</v>
      </c>
      <c r="J31" s="42">
        <f>'17-18 NGGT'!J31-'16-17 NGGT'!J31</f>
        <v>0</v>
      </c>
      <c r="K31" s="42">
        <f>'17-18 NGGT'!K31-'16-17 NGGT'!K31</f>
        <v>0</v>
      </c>
      <c r="L31" s="50">
        <f>'17-18 NGGT'!L31-'16-17 NGGT'!L31</f>
        <v>-8.4713448828115361</v>
      </c>
      <c r="S31" s="10" t="s">
        <v>424</v>
      </c>
      <c r="T31" s="335">
        <v>112</v>
      </c>
      <c r="U31" s="335">
        <v>98</v>
      </c>
      <c r="V31" s="335">
        <v>107</v>
      </c>
      <c r="W31" s="335">
        <v>137</v>
      </c>
      <c r="X31" s="335">
        <v>166</v>
      </c>
      <c r="Y31" s="335">
        <v>85</v>
      </c>
      <c r="Z31" s="335">
        <v>72</v>
      </c>
      <c r="AA31" s="335">
        <v>71</v>
      </c>
      <c r="AB31" s="336">
        <v>846</v>
      </c>
      <c r="AD31" s="42">
        <f t="shared" si="0"/>
        <v>-112.00000764269993</v>
      </c>
      <c r="AE31" s="42">
        <f t="shared" si="0"/>
        <v>-98.000003275318264</v>
      </c>
      <c r="AF31" s="42">
        <f t="shared" si="0"/>
        <v>-115.47133396479335</v>
      </c>
      <c r="AG31" s="42">
        <f t="shared" si="0"/>
        <v>-137</v>
      </c>
      <c r="AH31" s="42">
        <f t="shared" si="0"/>
        <v>-166</v>
      </c>
      <c r="AI31" s="42">
        <f t="shared" si="0"/>
        <v>-85</v>
      </c>
      <c r="AJ31" s="42">
        <f t="shared" si="0"/>
        <v>-72</v>
      </c>
      <c r="AK31" s="42">
        <f t="shared" si="0"/>
        <v>-71</v>
      </c>
      <c r="AL31" s="42">
        <f t="shared" si="0"/>
        <v>-854.47134488281154</v>
      </c>
    </row>
    <row r="32" spans="1:38" ht="12.75" customHeight="1">
      <c r="C32" s="10" t="s">
        <v>75</v>
      </c>
      <c r="D32" s="42">
        <f>'17-18 NGGT'!D32-'16-17 NGGT'!D32</f>
        <v>-4.4238951784336678E-4</v>
      </c>
      <c r="E32" s="42">
        <f>'17-18 NGGT'!E32-'16-17 NGGT'!E32</f>
        <v>-2.8938598417482808E-4</v>
      </c>
      <c r="F32" s="42">
        <f>'17-18 NGGT'!F32-'16-17 NGGT'!F32</f>
        <v>-13.986254971302884</v>
      </c>
      <c r="G32" s="42">
        <f>'17-18 NGGT'!G32-'16-17 NGGT'!G32</f>
        <v>0</v>
      </c>
      <c r="H32" s="42">
        <f>'17-18 NGGT'!H32-'16-17 NGGT'!H32</f>
        <v>0</v>
      </c>
      <c r="I32" s="42">
        <f>'17-18 NGGT'!I32-'16-17 NGGT'!I32</f>
        <v>0</v>
      </c>
      <c r="J32" s="42">
        <f>'17-18 NGGT'!J32-'16-17 NGGT'!J32</f>
        <v>0</v>
      </c>
      <c r="K32" s="42">
        <f>'17-18 NGGT'!K32-'16-17 NGGT'!K32</f>
        <v>0</v>
      </c>
      <c r="L32" s="50">
        <f>'17-18 NGGT'!L32-'16-17 NGGT'!L32</f>
        <v>-13.986986746804746</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'17-18 NGGT'!D33-'16-17 NGGT'!D33</f>
        <v>-1.8747869637536496E-4</v>
      </c>
      <c r="E33" s="43">
        <f>'17-18 NGGT'!E33-'16-17 NGGT'!E33</f>
        <v>-9.9933338077562439E-5</v>
      </c>
      <c r="F33" s="43">
        <f>'17-18 NGGT'!F33-'16-17 NGGT'!F33</f>
        <v>3.3007525045648691</v>
      </c>
      <c r="G33" s="43">
        <f>'17-18 NGGT'!G33-'16-17 NGGT'!G33</f>
        <v>0</v>
      </c>
      <c r="H33" s="43">
        <f>'17-18 NGGT'!H33-'16-17 NGGT'!H33</f>
        <v>0</v>
      </c>
      <c r="I33" s="43">
        <f>'17-18 NGGT'!I33-'16-17 NGGT'!I33</f>
        <v>0</v>
      </c>
      <c r="J33" s="43">
        <f>'17-18 NGGT'!J33-'16-17 NGGT'!J33</f>
        <v>0</v>
      </c>
      <c r="K33" s="43">
        <f>'17-18 NGGT'!K33-'16-17 NGGT'!K33</f>
        <v>0</v>
      </c>
      <c r="L33" s="45">
        <f>'17-18 NGGT'!L33-'16-17 NGGT'!L33</f>
        <v>3.3004650925304304</v>
      </c>
      <c r="S33" s="11" t="s">
        <v>417</v>
      </c>
      <c r="T33" s="337">
        <v>90</v>
      </c>
      <c r="U33" s="337">
        <v>89</v>
      </c>
      <c r="V33" s="337">
        <v>92</v>
      </c>
      <c r="W33" s="337">
        <v>92</v>
      </c>
      <c r="X33" s="337">
        <v>94</v>
      </c>
      <c r="Y33" s="337">
        <v>95</v>
      </c>
      <c r="Z33" s="337">
        <v>96</v>
      </c>
      <c r="AA33" s="337">
        <v>96</v>
      </c>
      <c r="AB33" s="338">
        <v>743</v>
      </c>
      <c r="AD33" s="43">
        <f t="shared" ref="AD33:AL35" si="1">D33-T33</f>
        <v>-90.000187478696375</v>
      </c>
      <c r="AE33" s="43">
        <f t="shared" si="1"/>
        <v>-89.000099933338078</v>
      </c>
      <c r="AF33" s="43">
        <f t="shared" si="1"/>
        <v>-88.699247495435131</v>
      </c>
      <c r="AG33" s="43">
        <f t="shared" si="1"/>
        <v>-92</v>
      </c>
      <c r="AH33" s="43">
        <f t="shared" si="1"/>
        <v>-94</v>
      </c>
      <c r="AI33" s="43">
        <f t="shared" si="1"/>
        <v>-95</v>
      </c>
      <c r="AJ33" s="43">
        <f t="shared" si="1"/>
        <v>-96</v>
      </c>
      <c r="AK33" s="43">
        <f t="shared" si="1"/>
        <v>-96</v>
      </c>
      <c r="AL33" s="43">
        <f t="shared" si="1"/>
        <v>-739.69953490746957</v>
      </c>
    </row>
    <row r="34" spans="1:39" ht="12.75" customHeight="1">
      <c r="C34" s="12" t="s">
        <v>77</v>
      </c>
      <c r="D34" s="50">
        <f>'17-18 NGGT'!D34-'16-17 NGGT'!D34</f>
        <v>-6.375109141458779E-4</v>
      </c>
      <c r="E34" s="50">
        <f>'17-18 NGGT'!E34-'16-17 NGGT'!E34</f>
        <v>-3.9259464051610848E-4</v>
      </c>
      <c r="F34" s="50">
        <f>'17-18 NGGT'!F34-'16-17 NGGT'!F34</f>
        <v>-19.156836431531389</v>
      </c>
      <c r="G34" s="50">
        <f>'17-18 NGGT'!G34-'16-17 NGGT'!G34</f>
        <v>0</v>
      </c>
      <c r="H34" s="50">
        <f>'17-18 NGGT'!H34-'16-17 NGGT'!H34</f>
        <v>0</v>
      </c>
      <c r="I34" s="50">
        <f>'17-18 NGGT'!I34-'16-17 NGGT'!I34</f>
        <v>0</v>
      </c>
      <c r="J34" s="50">
        <f>'17-18 NGGT'!J34-'16-17 NGGT'!J34</f>
        <v>0</v>
      </c>
      <c r="K34" s="50">
        <f>'17-18 NGGT'!K34-'16-17 NGGT'!K34</f>
        <v>0</v>
      </c>
      <c r="L34" s="50">
        <f>'17-18 NGGT'!L34-'16-17 NGGT'!L34</f>
        <v>-19.157866537085965</v>
      </c>
      <c r="S34" s="12" t="s">
        <v>390</v>
      </c>
      <c r="T34" s="336">
        <v>201</v>
      </c>
      <c r="U34" s="336">
        <v>187</v>
      </c>
      <c r="V34" s="336">
        <v>198</v>
      </c>
      <c r="W34" s="336">
        <v>229</v>
      </c>
      <c r="X34" s="336">
        <v>260</v>
      </c>
      <c r="Y34" s="336">
        <v>179</v>
      </c>
      <c r="Z34" s="336">
        <v>167</v>
      </c>
      <c r="AA34" s="336">
        <v>166</v>
      </c>
      <c r="AB34" s="339">
        <v>1588</v>
      </c>
      <c r="AD34" s="50">
        <f t="shared" si="1"/>
        <v>-201.00063751091415</v>
      </c>
      <c r="AE34" s="50">
        <f t="shared" si="1"/>
        <v>-187.00039259464052</v>
      </c>
      <c r="AF34" s="50">
        <f t="shared" si="1"/>
        <v>-217.15683643153139</v>
      </c>
      <c r="AG34" s="50">
        <f t="shared" si="1"/>
        <v>-229</v>
      </c>
      <c r="AH34" s="50">
        <f t="shared" si="1"/>
        <v>-260</v>
      </c>
      <c r="AI34" s="50">
        <f t="shared" si="1"/>
        <v>-179</v>
      </c>
      <c r="AJ34" s="50">
        <f t="shared" si="1"/>
        <v>-167</v>
      </c>
      <c r="AK34" s="50">
        <f t="shared" si="1"/>
        <v>-166</v>
      </c>
      <c r="AL34" s="50">
        <f t="shared" si="1"/>
        <v>-1607.157866537086</v>
      </c>
    </row>
    <row r="35" spans="1:39" ht="12.75" customHeight="1">
      <c r="A35" t="s">
        <v>233</v>
      </c>
      <c r="C35" s="10" t="s">
        <v>418</v>
      </c>
      <c r="D35" s="42">
        <f>'17-18 NGGT'!D35-'16-17 NGGT'!D35</f>
        <v>-4.2523982415332284E-6</v>
      </c>
      <c r="E35" s="42">
        <f>'17-18 NGGT'!E35-'16-17 NGGT'!E35</f>
        <v>-1.8223870830169631E-6</v>
      </c>
      <c r="F35" s="42">
        <f>'17-18 NGGT'!F35-'16-17 NGGT'!F35</f>
        <v>-4.7134502180110172</v>
      </c>
      <c r="G35" s="42">
        <f>'17-18 NGGT'!G35-'16-17 NGGT'!G35</f>
        <v>0</v>
      </c>
      <c r="H35" s="42">
        <f>'17-18 NGGT'!H35-'16-17 NGGT'!H35</f>
        <v>0</v>
      </c>
      <c r="I35" s="42">
        <f>'17-18 NGGT'!I35-'16-17 NGGT'!I35</f>
        <v>0</v>
      </c>
      <c r="J35" s="42">
        <f>'17-18 NGGT'!J35-'16-17 NGGT'!J35</f>
        <v>0</v>
      </c>
      <c r="K35" s="42">
        <f>'17-18 NGGT'!K35-'16-17 NGGT'!K35</f>
        <v>0</v>
      </c>
      <c r="L35" s="50">
        <f>'17-18 NGGT'!L35-'16-17 NGGT'!L35</f>
        <v>-4.7134562927963373</v>
      </c>
      <c r="S35" s="10" t="s">
        <v>424</v>
      </c>
      <c r="T35" s="335">
        <v>112</v>
      </c>
      <c r="U35" s="335">
        <v>98</v>
      </c>
      <c r="V35" s="335">
        <v>107</v>
      </c>
      <c r="W35" s="335">
        <v>137</v>
      </c>
      <c r="X35" s="335">
        <v>166</v>
      </c>
      <c r="Y35" s="335">
        <v>85</v>
      </c>
      <c r="Z35" s="335">
        <v>72</v>
      </c>
      <c r="AA35" s="335">
        <v>71</v>
      </c>
      <c r="AB35" s="336">
        <v>846</v>
      </c>
      <c r="AD35" s="42">
        <f t="shared" si="1"/>
        <v>-112.00000425239824</v>
      </c>
      <c r="AE35" s="42">
        <f t="shared" si="1"/>
        <v>-98.000001822387077</v>
      </c>
      <c r="AF35" s="42">
        <f t="shared" si="1"/>
        <v>-111.71345021801102</v>
      </c>
      <c r="AG35" s="42">
        <f t="shared" si="1"/>
        <v>-137</v>
      </c>
      <c r="AH35" s="42">
        <f t="shared" si="1"/>
        <v>-166</v>
      </c>
      <c r="AI35" s="42">
        <f t="shared" si="1"/>
        <v>-85</v>
      </c>
      <c r="AJ35" s="42">
        <f t="shared" si="1"/>
        <v>-72</v>
      </c>
      <c r="AK35" s="42">
        <f t="shared" si="1"/>
        <v>-71</v>
      </c>
      <c r="AL35" s="42">
        <f t="shared" si="1"/>
        <v>-850.71345629279631</v>
      </c>
    </row>
    <row r="36" spans="1:39" ht="12.75" customHeight="1">
      <c r="C36" s="10" t="s">
        <v>419</v>
      </c>
      <c r="D36" s="42">
        <f>'17-18 NGGT'!D36-'16-17 NGGT'!D36</f>
        <v>-2.4614552773982723E-4</v>
      </c>
      <c r="E36" s="42">
        <f>'17-18 NGGT'!E36-'16-17 NGGT'!E36</f>
        <v>-1.6101436159488003E-4</v>
      </c>
      <c r="F36" s="42">
        <f>'17-18 NGGT'!F36-'16-17 NGGT'!F36</f>
        <v>-7.781952266032917</v>
      </c>
      <c r="G36" s="42">
        <f>'17-18 NGGT'!G36-'16-17 NGGT'!G36</f>
        <v>0</v>
      </c>
      <c r="H36" s="42">
        <f>'17-18 NGGT'!H36-'16-17 NGGT'!H36</f>
        <v>0</v>
      </c>
      <c r="I36" s="42">
        <f>'17-18 NGGT'!I36-'16-17 NGGT'!I36</f>
        <v>0</v>
      </c>
      <c r="J36" s="42">
        <f>'17-18 NGGT'!J36-'16-17 NGGT'!J36</f>
        <v>0</v>
      </c>
      <c r="K36" s="42">
        <f>'17-18 NGGT'!K36-'16-17 NGGT'!K36</f>
        <v>0</v>
      </c>
      <c r="L36" s="50">
        <f>'17-18 NGGT'!L36-'16-17 NGGT'!L36</f>
        <v>-7.7823594259220954</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'17-18 NGGT'!D37-'16-17 NGGT'!D37</f>
        <v>-1.0431314666448088E-4</v>
      </c>
      <c r="E37" s="43">
        <f>'17-18 NGGT'!E37-'16-17 NGGT'!E37</f>
        <v>-5.5602909299068415E-5</v>
      </c>
      <c r="F37" s="43">
        <f>'17-18 NGGT'!F37-'16-17 NGGT'!F37</f>
        <v>1.8365386935398931</v>
      </c>
      <c r="G37" s="43">
        <f>'17-18 NGGT'!G37-'16-17 NGGT'!G37</f>
        <v>0</v>
      </c>
      <c r="H37" s="43">
        <f>'17-18 NGGT'!H37-'16-17 NGGT'!H37</f>
        <v>0</v>
      </c>
      <c r="I37" s="43">
        <f>'17-18 NGGT'!I37-'16-17 NGGT'!I37</f>
        <v>0</v>
      </c>
      <c r="J37" s="43">
        <f>'17-18 NGGT'!J37-'16-17 NGGT'!J37</f>
        <v>0</v>
      </c>
      <c r="K37" s="43">
        <f>'17-18 NGGT'!K37-'16-17 NGGT'!K37</f>
        <v>0</v>
      </c>
      <c r="L37" s="45">
        <f>'17-18 NGGT'!L37-'16-17 NGGT'!L37</f>
        <v>1.8363787774837874</v>
      </c>
      <c r="S37" s="11" t="s">
        <v>417</v>
      </c>
      <c r="T37" s="337">
        <v>90</v>
      </c>
      <c r="U37" s="337">
        <v>89</v>
      </c>
      <c r="V37" s="337">
        <v>92</v>
      </c>
      <c r="W37" s="337">
        <v>92</v>
      </c>
      <c r="X37" s="337">
        <v>94</v>
      </c>
      <c r="Y37" s="337">
        <v>95</v>
      </c>
      <c r="Z37" s="337">
        <v>96</v>
      </c>
      <c r="AA37" s="337">
        <v>96</v>
      </c>
      <c r="AB37" s="338">
        <v>743</v>
      </c>
      <c r="AD37" s="43">
        <f t="shared" ref="AD37:AL38" si="2">D37-T37</f>
        <v>-90.000104313146664</v>
      </c>
      <c r="AE37" s="43">
        <f t="shared" si="2"/>
        <v>-89.000055602909299</v>
      </c>
      <c r="AF37" s="43">
        <f t="shared" si="2"/>
        <v>-90.163461306460107</v>
      </c>
      <c r="AG37" s="43">
        <f t="shared" si="2"/>
        <v>-92</v>
      </c>
      <c r="AH37" s="43">
        <f t="shared" si="2"/>
        <v>-94</v>
      </c>
      <c r="AI37" s="43">
        <f t="shared" si="2"/>
        <v>-95</v>
      </c>
      <c r="AJ37" s="43">
        <f t="shared" si="2"/>
        <v>-96</v>
      </c>
      <c r="AK37" s="43">
        <f t="shared" si="2"/>
        <v>-96</v>
      </c>
      <c r="AL37" s="43">
        <f t="shared" si="2"/>
        <v>-741.16362122251621</v>
      </c>
    </row>
    <row r="38" spans="1:39" ht="12.75" customHeight="1">
      <c r="C38" s="12" t="s">
        <v>78</v>
      </c>
      <c r="D38" s="50">
        <f>'17-18 NGGT'!D38-'16-17 NGGT'!D38</f>
        <v>-3.5471107261741963E-4</v>
      </c>
      <c r="E38" s="50">
        <f>'17-18 NGGT'!E38-'16-17 NGGT'!E38</f>
        <v>-2.1843965797074816E-4</v>
      </c>
      <c r="F38" s="50">
        <f>'17-18 NGGT'!F38-'16-17 NGGT'!F38</f>
        <v>-10.658863790504057</v>
      </c>
      <c r="G38" s="50">
        <f>'17-18 NGGT'!G38-'16-17 NGGT'!G38</f>
        <v>0</v>
      </c>
      <c r="H38" s="50">
        <f>'17-18 NGGT'!H38-'16-17 NGGT'!H38</f>
        <v>0</v>
      </c>
      <c r="I38" s="50">
        <f>'17-18 NGGT'!I38-'16-17 NGGT'!I38</f>
        <v>0</v>
      </c>
      <c r="J38" s="50">
        <f>'17-18 NGGT'!J38-'16-17 NGGT'!J38</f>
        <v>0</v>
      </c>
      <c r="K38" s="50">
        <f>'17-18 NGGT'!K38-'16-17 NGGT'!K38</f>
        <v>0</v>
      </c>
      <c r="L38" s="50">
        <f>'17-18 NGGT'!L38-'16-17 NGGT'!L38</f>
        <v>-10.659436941234844</v>
      </c>
      <c r="S38" s="12" t="s">
        <v>390</v>
      </c>
      <c r="T38" s="336">
        <v>201</v>
      </c>
      <c r="U38" s="336">
        <v>187</v>
      </c>
      <c r="V38" s="336">
        <v>198</v>
      </c>
      <c r="W38" s="336">
        <v>229</v>
      </c>
      <c r="X38" s="336">
        <v>260</v>
      </c>
      <c r="Y38" s="336">
        <v>179</v>
      </c>
      <c r="Z38" s="336">
        <v>167</v>
      </c>
      <c r="AA38" s="336">
        <v>166</v>
      </c>
      <c r="AB38" s="339">
        <v>1588</v>
      </c>
      <c r="AD38" s="50">
        <f t="shared" si="2"/>
        <v>-201.00035471107262</v>
      </c>
      <c r="AE38" s="50">
        <f t="shared" si="2"/>
        <v>-187.00021843965797</v>
      </c>
      <c r="AF38" s="50">
        <f t="shared" si="2"/>
        <v>-208.65886379050406</v>
      </c>
      <c r="AG38" s="50">
        <f t="shared" si="2"/>
        <v>-229</v>
      </c>
      <c r="AH38" s="50">
        <f t="shared" si="2"/>
        <v>-260</v>
      </c>
      <c r="AI38" s="50">
        <f t="shared" si="2"/>
        <v>-179</v>
      </c>
      <c r="AJ38" s="50">
        <f t="shared" si="2"/>
        <v>-167</v>
      </c>
      <c r="AK38" s="50">
        <f t="shared" si="2"/>
        <v>-166</v>
      </c>
      <c r="AL38" s="50">
        <f t="shared" si="2"/>
        <v>-1598.6594369412348</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'17-18 NGGT'!D40-'16-17 NGGT'!D40</f>
        <v>-9.9469551116726507E-5</v>
      </c>
      <c r="E40" s="43">
        <f>'17-18 NGGT'!E40-'16-17 NGGT'!E40</f>
        <v>-6.5225798110191135E-5</v>
      </c>
      <c r="F40" s="43">
        <f>'17-18 NGGT'!F40-'16-17 NGGT'!F40</f>
        <v>-5.480459097422397</v>
      </c>
      <c r="G40" s="43">
        <f>'17-18 NGGT'!G40-'16-17 NGGT'!G40</f>
        <v>0</v>
      </c>
      <c r="H40" s="43">
        <f>'17-18 NGGT'!H40-'16-17 NGGT'!H40</f>
        <v>0</v>
      </c>
      <c r="I40" s="43">
        <f>'17-18 NGGT'!I40-'16-17 NGGT'!I40</f>
        <v>0</v>
      </c>
      <c r="J40" s="43">
        <f>'17-18 NGGT'!J40-'16-17 NGGT'!J40</f>
        <v>0</v>
      </c>
      <c r="K40" s="43">
        <f>'17-18 NGGT'!K40-'16-17 NGGT'!K40</f>
        <v>0</v>
      </c>
      <c r="L40" s="45">
        <f>'17-18 NGGT'!L40-'16-17 NGGT'!L40</f>
        <v>-5.4806237927716666</v>
      </c>
      <c r="S40" s="11" t="s">
        <v>79</v>
      </c>
      <c r="T40" s="337">
        <v>95</v>
      </c>
      <c r="U40" s="337">
        <v>88</v>
      </c>
      <c r="V40" s="337">
        <v>93</v>
      </c>
      <c r="W40" s="337">
        <v>108</v>
      </c>
      <c r="X40" s="337">
        <v>122</v>
      </c>
      <c r="Y40" s="337">
        <v>84</v>
      </c>
      <c r="Z40" s="337">
        <v>79</v>
      </c>
      <c r="AA40" s="337">
        <v>78</v>
      </c>
      <c r="AB40" s="338">
        <v>747</v>
      </c>
      <c r="AD40" s="43">
        <f t="shared" si="0"/>
        <v>-95.000099469551117</v>
      </c>
      <c r="AE40" s="43">
        <f t="shared" si="0"/>
        <v>-88.00006522579811</v>
      </c>
      <c r="AF40" s="43">
        <f t="shared" si="0"/>
        <v>-98.480459097422397</v>
      </c>
      <c r="AG40" s="43">
        <f t="shared" si="0"/>
        <v>-108</v>
      </c>
      <c r="AH40" s="43">
        <f t="shared" si="0"/>
        <v>-122</v>
      </c>
      <c r="AI40" s="43">
        <f t="shared" si="0"/>
        <v>-84</v>
      </c>
      <c r="AJ40" s="43">
        <f t="shared" si="0"/>
        <v>-79</v>
      </c>
      <c r="AK40" s="43">
        <f t="shared" si="0"/>
        <v>-78</v>
      </c>
      <c r="AL40" s="43">
        <f t="shared" si="0"/>
        <v>-752.48062379277167</v>
      </c>
    </row>
    <row r="41" spans="1:39" ht="12.75" customHeight="1">
      <c r="C41" s="10" t="s">
        <v>80</v>
      </c>
      <c r="D41" s="42">
        <f>'17-18 NGGT'!D41-'16-17 NGGT'!D41</f>
        <v>-1.7993930032389471E-4</v>
      </c>
      <c r="E41" s="42">
        <f>'17-18 NGGT'!E41-'16-17 NGGT'!E41</f>
        <v>-1.1799273589474524E-4</v>
      </c>
      <c r="F41" s="42">
        <f>'17-18 NGGT'!F41-'16-17 NGGT'!F41</f>
        <v>-9.9140889290450218</v>
      </c>
      <c r="G41" s="42">
        <f>'17-18 NGGT'!G41-'16-17 NGGT'!G41</f>
        <v>0</v>
      </c>
      <c r="H41" s="42">
        <f>'17-18 NGGT'!H41-'16-17 NGGT'!H41</f>
        <v>0</v>
      </c>
      <c r="I41" s="42">
        <f>'17-18 NGGT'!I41-'16-17 NGGT'!I41</f>
        <v>0</v>
      </c>
      <c r="J41" s="42">
        <f>'17-18 NGGT'!J41-'16-17 NGGT'!J41</f>
        <v>0</v>
      </c>
      <c r="K41" s="42">
        <f>'17-18 NGGT'!K41-'16-17 NGGT'!K41</f>
        <v>0</v>
      </c>
      <c r="L41" s="50">
        <f>'17-18 NGGT'!L41-'16-17 NGGT'!L41</f>
        <v>-9.9143868610813115</v>
      </c>
      <c r="S41" s="10" t="s">
        <v>80</v>
      </c>
      <c r="T41" s="335">
        <v>107</v>
      </c>
      <c r="U41" s="335">
        <v>99</v>
      </c>
      <c r="V41" s="335">
        <v>105</v>
      </c>
      <c r="W41" s="335">
        <v>121</v>
      </c>
      <c r="X41" s="335">
        <v>138</v>
      </c>
      <c r="Y41" s="335">
        <v>95</v>
      </c>
      <c r="Z41" s="335">
        <v>89</v>
      </c>
      <c r="AA41" s="335">
        <v>88</v>
      </c>
      <c r="AB41" s="336">
        <v>842</v>
      </c>
      <c r="AD41" s="42">
        <f t="shared" si="0"/>
        <v>-107.00017993930032</v>
      </c>
      <c r="AE41" s="42">
        <f t="shared" si="0"/>
        <v>-99.000117992735895</v>
      </c>
      <c r="AF41" s="42">
        <f t="shared" si="0"/>
        <v>-114.91408892904502</v>
      </c>
      <c r="AG41" s="42">
        <f t="shared" si="0"/>
        <v>-121</v>
      </c>
      <c r="AH41" s="42">
        <f t="shared" si="0"/>
        <v>-138</v>
      </c>
      <c r="AI41" s="42">
        <f t="shared" si="0"/>
        <v>-95</v>
      </c>
      <c r="AJ41" s="42">
        <f t="shared" si="0"/>
        <v>-89</v>
      </c>
      <c r="AK41" s="42">
        <f t="shared" si="0"/>
        <v>-88</v>
      </c>
      <c r="AL41" s="42">
        <f t="shared" si="0"/>
        <v>-851.91438686108131</v>
      </c>
    </row>
    <row r="42" spans="1:39" ht="12.75" customHeight="1">
      <c r="C42" s="39" t="s">
        <v>420</v>
      </c>
      <c r="D42" s="45">
        <f>'17-18 NGGT'!D42-'16-17 NGGT'!D42</f>
        <v>-2.7940885144062122E-4</v>
      </c>
      <c r="E42" s="45">
        <f>'17-18 NGGT'!E42-'16-17 NGGT'!E42</f>
        <v>-1.8321853400493637E-4</v>
      </c>
      <c r="F42" s="45">
        <f>'17-18 NGGT'!F42-'16-17 NGGT'!F42</f>
        <v>-15.394548026467419</v>
      </c>
      <c r="G42" s="45">
        <f>'17-18 NGGT'!G42-'16-17 NGGT'!G42</f>
        <v>0</v>
      </c>
      <c r="H42" s="45">
        <f>'17-18 NGGT'!H42-'16-17 NGGT'!H42</f>
        <v>0</v>
      </c>
      <c r="I42" s="45">
        <f>'17-18 NGGT'!I42-'16-17 NGGT'!I42</f>
        <v>0</v>
      </c>
      <c r="J42" s="45">
        <f>'17-18 NGGT'!J42-'16-17 NGGT'!J42</f>
        <v>0</v>
      </c>
      <c r="K42" s="45">
        <f>'17-18 NGGT'!K42-'16-17 NGGT'!K42</f>
        <v>0</v>
      </c>
      <c r="L42" s="45">
        <f>'17-18 NGGT'!L42-'16-17 NGGT'!L42</f>
        <v>-15.395010653852978</v>
      </c>
      <c r="S42" s="39" t="s">
        <v>425</v>
      </c>
      <c r="T42" s="338">
        <v>201</v>
      </c>
      <c r="U42" s="338">
        <v>187</v>
      </c>
      <c r="V42" s="338">
        <v>198</v>
      </c>
      <c r="W42" s="338">
        <v>229</v>
      </c>
      <c r="X42" s="338">
        <v>260</v>
      </c>
      <c r="Y42" s="338">
        <v>179</v>
      </c>
      <c r="Z42" s="338">
        <v>167</v>
      </c>
      <c r="AA42" s="338">
        <v>166</v>
      </c>
      <c r="AB42" s="340">
        <v>1588</v>
      </c>
      <c r="AD42" s="45">
        <f t="shared" si="0"/>
        <v>-201.00027940885144</v>
      </c>
      <c r="AE42" s="45">
        <f t="shared" si="0"/>
        <v>-187.000183218534</v>
      </c>
      <c r="AF42" s="45">
        <f t="shared" si="0"/>
        <v>-213.39454802646742</v>
      </c>
      <c r="AG42" s="45">
        <f t="shared" si="0"/>
        <v>-229</v>
      </c>
      <c r="AH42" s="45">
        <f t="shared" si="0"/>
        <v>-260</v>
      </c>
      <c r="AI42" s="45">
        <f t="shared" si="0"/>
        <v>-179</v>
      </c>
      <c r="AJ42" s="45">
        <f t="shared" si="0"/>
        <v>-167</v>
      </c>
      <c r="AK42" s="45">
        <f t="shared" si="0"/>
        <v>-166</v>
      </c>
      <c r="AL42" s="45">
        <f t="shared" si="0"/>
        <v>-1603.395010653853</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'17-18 NGGT'!D44-'16-17 NGGT'!D44</f>
        <v>-7.5302221240747258E-6</v>
      </c>
      <c r="E44" s="43">
        <f>'17-18 NGGT'!E44-'16-17 NGGT'!E44</f>
        <v>-3.5221123972917212E-6</v>
      </c>
      <c r="F44" s="43">
        <f>'17-18 NGGT'!F44-'16-17 NGGT'!F44</f>
        <v>0.47356842359633688</v>
      </c>
      <c r="G44" s="43">
        <f>'17-18 NGGT'!G44-'16-17 NGGT'!G44</f>
        <v>0</v>
      </c>
      <c r="H44" s="43">
        <f>'17-18 NGGT'!H44-'16-17 NGGT'!H44</f>
        <v>0</v>
      </c>
      <c r="I44" s="43">
        <f>'17-18 NGGT'!I44-'16-17 NGGT'!I44</f>
        <v>0</v>
      </c>
      <c r="J44" s="43">
        <f>'17-18 NGGT'!J44-'16-17 NGGT'!J44</f>
        <v>0</v>
      </c>
      <c r="K44" s="43">
        <f>'17-18 NGGT'!K44-'16-17 NGGT'!K44</f>
        <v>0</v>
      </c>
      <c r="L44" s="45">
        <f>'17-18 NGGT'!L44-'16-17 NGGT'!L44</f>
        <v>0.47355737126181197</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'17-18 NGGT'!D45-'16-17 NGGT'!D45</f>
        <v>-6.777199909535625E-5</v>
      </c>
      <c r="E45" s="42">
        <f>'17-18 NGGT'!E45-'16-17 NGGT'!E45</f>
        <v>-3.1699011596941773E-5</v>
      </c>
      <c r="F45" s="42">
        <f>'17-18 NGGT'!F45-'16-17 NGGT'!F45</f>
        <v>4.2621158123670195</v>
      </c>
      <c r="G45" s="42">
        <f>'17-18 NGGT'!G45-'16-17 NGGT'!G45</f>
        <v>0</v>
      </c>
      <c r="H45" s="42">
        <f>'17-18 NGGT'!H45-'16-17 NGGT'!H45</f>
        <v>0</v>
      </c>
      <c r="I45" s="42">
        <f>'17-18 NGGT'!I45-'16-17 NGGT'!I45</f>
        <v>0</v>
      </c>
      <c r="J45" s="42">
        <f>'17-18 NGGT'!J45-'16-17 NGGT'!J45</f>
        <v>0</v>
      </c>
      <c r="K45" s="42">
        <f>'17-18 NGGT'!K45-'16-17 NGGT'!K45</f>
        <v>0</v>
      </c>
      <c r="L45" s="50">
        <f>'17-18 NGGT'!L45-'16-17 NGGT'!L45</f>
        <v>4.2620163413563432</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'17-18 NGGT'!D46-'16-17 NGGT'!D46</f>
        <v>-7.5302221219430976E-5</v>
      </c>
      <c r="E46" s="45">
        <f>'17-18 NGGT'!E46-'16-17 NGGT'!E46</f>
        <v>-3.5221123994233494E-5</v>
      </c>
      <c r="F46" s="45">
        <f>'17-18 NGGT'!F46-'16-17 NGGT'!F46</f>
        <v>4.7356842359633564</v>
      </c>
      <c r="G46" s="45">
        <f>'17-18 NGGT'!G46-'16-17 NGGT'!G46</f>
        <v>0</v>
      </c>
      <c r="H46" s="45">
        <f>'17-18 NGGT'!H46-'16-17 NGGT'!H46</f>
        <v>0</v>
      </c>
      <c r="I46" s="45">
        <f>'17-18 NGGT'!I46-'16-17 NGGT'!I46</f>
        <v>0</v>
      </c>
      <c r="J46" s="45">
        <f>'17-18 NGGT'!J46-'16-17 NGGT'!J46</f>
        <v>0</v>
      </c>
      <c r="K46" s="45">
        <f>'17-18 NGGT'!K46-'16-17 NGGT'!K46</f>
        <v>0</v>
      </c>
      <c r="L46" s="45">
        <f>'17-18 NGGT'!L46-'16-17 NGGT'!L46</f>
        <v>4.7355737126181623</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'17-18 NGGT'!D48-'16-17 NGGT'!D48</f>
        <v>-2.4771129940859282E-4</v>
      </c>
      <c r="E48" s="44">
        <f>'17-18 NGGT'!E48-'16-17 NGGT'!E48</f>
        <v>-1.4969174748102887E-4</v>
      </c>
      <c r="F48" s="44">
        <f>'17-18 NGGT'!F48-'16-17 NGGT'!F48</f>
        <v>-5.6519731166780218</v>
      </c>
      <c r="G48" s="44">
        <f>'17-18 NGGT'!G48-'16-17 NGGT'!G48</f>
        <v>0</v>
      </c>
      <c r="H48" s="44">
        <f>'17-18 NGGT'!H48-'16-17 NGGT'!H48</f>
        <v>0</v>
      </c>
      <c r="I48" s="44">
        <f>'17-18 NGGT'!I48-'16-17 NGGT'!I48</f>
        <v>0</v>
      </c>
      <c r="J48" s="44">
        <f>'17-18 NGGT'!J48-'16-17 NGGT'!J48</f>
        <v>0</v>
      </c>
      <c r="K48" s="44">
        <f>'17-18 NGGT'!K48-'16-17 NGGT'!K48</f>
        <v>0</v>
      </c>
      <c r="L48" s="44">
        <f>'17-18 NGGT'!L48-'16-17 NGGT'!L48</f>
        <v>-5.6523705197248546</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-156.00024771129941</v>
      </c>
      <c r="AE48" s="44">
        <f t="shared" si="0"/>
        <v>-193.00014969174748</v>
      </c>
      <c r="AF48" s="44">
        <f t="shared" si="0"/>
        <v>-305.65197311667805</v>
      </c>
      <c r="AG48" s="44">
        <f t="shared" si="0"/>
        <v>-405</v>
      </c>
      <c r="AH48" s="44">
        <f t="shared" si="0"/>
        <v>-527</v>
      </c>
      <c r="AI48" s="44">
        <f t="shared" si="0"/>
        <v>-468</v>
      </c>
      <c r="AJ48" s="44">
        <f t="shared" si="0"/>
        <v>-514</v>
      </c>
      <c r="AK48" s="44">
        <f t="shared" si="0"/>
        <v>-552</v>
      </c>
      <c r="AL48" s="44">
        <f t="shared" si="0"/>
        <v>-3119.6523705197251</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'17-18 NGGT'!D52-'16-17 NGGT'!D52</f>
        <v>0</v>
      </c>
      <c r="E52" s="41">
        <f>'17-18 NGGT'!E52-'16-17 NGGT'!E52</f>
        <v>4.399752288700256</v>
      </c>
      <c r="F52" s="41">
        <f>'17-18 NGGT'!F52-'16-17 NGGT'!F52</f>
        <v>4.3018303238704902</v>
      </c>
      <c r="G52" s="41">
        <f>'17-18 NGGT'!G52-'16-17 NGGT'!G52</f>
        <v>-1.4479117394066634</v>
      </c>
      <c r="H52" s="41">
        <f>'17-18 NGGT'!H52-'16-17 NGGT'!H52</f>
        <v>-1.4200812834124008</v>
      </c>
      <c r="I52" s="41">
        <f>'17-18 NGGT'!I52-'16-17 NGGT'!I52</f>
        <v>-1.3922508274181382</v>
      </c>
      <c r="J52" s="41">
        <f>'17-18 NGGT'!J52-'16-17 NGGT'!J52</f>
        <v>-1.3644203714247851</v>
      </c>
      <c r="K52" s="41">
        <f>'17-18 NGGT'!K52-'16-17 NGGT'!K52</f>
        <v>-1.336589915431432</v>
      </c>
    </row>
    <row r="53" spans="1:14" ht="13.8" thickBot="1">
      <c r="C53" s="10" t="s">
        <v>86</v>
      </c>
      <c r="D53" s="42">
        <f>'17-18 NGGT'!D53-'16-17 NGGT'!D53</f>
        <v>4.3997522887005971</v>
      </c>
      <c r="E53" s="42">
        <f>'17-18 NGGT'!E53-'16-17 NGGT'!E53</f>
        <v>-1.4969174748102887E-4</v>
      </c>
      <c r="F53" s="42">
        <f>'17-18 NGGT'!F53-'16-17 NGGT'!F53</f>
        <v>-5.6519731166779934</v>
      </c>
      <c r="G53" s="42">
        <f>'17-18 NGGT'!G53-'16-17 NGGT'!G53</f>
        <v>0</v>
      </c>
      <c r="H53" s="42">
        <f>'17-18 NGGT'!H53-'16-17 NGGT'!H53</f>
        <v>0</v>
      </c>
      <c r="I53" s="42">
        <f>'17-18 NGGT'!I53-'16-17 NGGT'!I53</f>
        <v>0</v>
      </c>
      <c r="J53" s="42">
        <f>'17-18 NGGT'!J53-'16-17 NGGT'!J53</f>
        <v>0</v>
      </c>
      <c r="K53" s="42">
        <f>'17-18 NGGT'!K53-'16-17 NGGT'!K53</f>
        <v>0</v>
      </c>
    </row>
    <row r="54" spans="1:14">
      <c r="C54" s="11" t="s">
        <v>92</v>
      </c>
      <c r="D54" s="41">
        <f>'17-18 NGGT'!D54-'16-17 NGGT'!D54</f>
        <v>0</v>
      </c>
      <c r="E54" s="41">
        <f>'17-18 NGGT'!E54-'16-17 NGGT'!E54</f>
        <v>0</v>
      </c>
      <c r="F54" s="41">
        <f>'17-18 NGGT'!F54-'16-17 NGGT'!F54</f>
        <v>0</v>
      </c>
      <c r="G54" s="41">
        <f>'17-18 NGGT'!G54-'16-17 NGGT'!G54</f>
        <v>0</v>
      </c>
      <c r="H54" s="41">
        <f>'17-18 NGGT'!H54-'16-17 NGGT'!H54</f>
        <v>0</v>
      </c>
      <c r="I54" s="41">
        <f>'17-18 NGGT'!I54-'16-17 NGGT'!I54</f>
        <v>0</v>
      </c>
      <c r="J54" s="41">
        <f>'17-18 NGGT'!J54-'16-17 NGGT'!J54</f>
        <v>0</v>
      </c>
      <c r="K54" s="41">
        <f>'17-18 NGGT'!K54-'16-17 NGGT'!K54</f>
        <v>0</v>
      </c>
    </row>
    <row r="55" spans="1:14">
      <c r="C55" s="10" t="s">
        <v>93</v>
      </c>
      <c r="D55" s="42">
        <f>'17-18 NGGT'!D55-'16-17 NGGT'!D55</f>
        <v>0</v>
      </c>
      <c r="E55" s="42">
        <f>'17-18 NGGT'!E55-'16-17 NGGT'!E55</f>
        <v>-9.7772273082235905E-2</v>
      </c>
      <c r="F55" s="42">
        <f>'17-18 NGGT'!F55-'16-17 NGGT'!F55</f>
        <v>-9.7768946598959516E-2</v>
      </c>
      <c r="G55" s="42">
        <f>'17-18 NGGT'!G55-'16-17 NGGT'!G55</f>
        <v>2.7830455993886005E-2</v>
      </c>
      <c r="H55" s="42">
        <f>'17-18 NGGT'!H55-'16-17 NGGT'!H55</f>
        <v>2.7830455993886005E-2</v>
      </c>
      <c r="I55" s="42">
        <f>'17-18 NGGT'!I55-'16-17 NGGT'!I55</f>
        <v>2.7830455993886005E-2</v>
      </c>
      <c r="J55" s="42">
        <f>'17-18 NGGT'!J55-'16-17 NGGT'!J55</f>
        <v>2.7830455993886005E-2</v>
      </c>
      <c r="K55" s="42">
        <f>'17-18 NGGT'!K55-'16-17 NGGT'!K55</f>
        <v>2.7830455993886005E-2</v>
      </c>
      <c r="N55" s="208"/>
    </row>
    <row r="56" spans="1:14" ht="13.8" thickBot="1">
      <c r="C56" s="23" t="s">
        <v>94</v>
      </c>
      <c r="D56" s="44">
        <f>'17-18 NGGT'!D56-'16-17 NGGT'!D56</f>
        <v>4.399752288700256</v>
      </c>
      <c r="E56" s="44">
        <f>'17-18 NGGT'!E56-'16-17 NGGT'!E56</f>
        <v>4.3018303238704902</v>
      </c>
      <c r="F56" s="44">
        <f>'17-18 NGGT'!F56-'16-17 NGGT'!F56</f>
        <v>-1.4479117394066634</v>
      </c>
      <c r="G56" s="44">
        <f>'17-18 NGGT'!G56-'16-17 NGGT'!G56</f>
        <v>-1.4200812834124008</v>
      </c>
      <c r="H56" s="44">
        <f>'17-18 NGGT'!H56-'16-17 NGGT'!H56</f>
        <v>-1.3922508274181382</v>
      </c>
      <c r="I56" s="44">
        <f>'17-18 NGGT'!I56-'16-17 NGGT'!I56</f>
        <v>-1.3644203714247851</v>
      </c>
      <c r="J56" s="44">
        <f>'17-18 NGGT'!J56-'16-17 NGGT'!J56</f>
        <v>-1.336589915431432</v>
      </c>
      <c r="K56" s="44">
        <f>'17-18 NGGT'!K56-'16-17 NGGT'!K56</f>
        <v>-1.3087594594371694</v>
      </c>
      <c r="N56" s="209"/>
    </row>
    <row r="58" spans="1:14">
      <c r="D58" s="53"/>
      <c r="E58" s="53"/>
      <c r="F58" s="53"/>
      <c r="G58" s="53"/>
      <c r="H58" s="53"/>
      <c r="I58" s="53"/>
      <c r="J58" s="53"/>
      <c r="K58" s="53"/>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'17-18 NGGT'!D61-'16-17 NGGT'!D61</f>
        <v>0</v>
      </c>
      <c r="E61" s="41">
        <f>'17-18 NGGT'!E61-'16-17 NGGT'!E61</f>
        <v>4.3997522887011655</v>
      </c>
      <c r="F61" s="41">
        <f>'17-18 NGGT'!F61-'16-17 NGGT'!F61</f>
        <v>4.3018303238713997</v>
      </c>
      <c r="G61" s="41">
        <f>'17-18 NGGT'!G61-'16-17 NGGT'!G61</f>
        <v>-1.4479117394057539</v>
      </c>
      <c r="H61" s="41">
        <f>'17-18 NGGT'!H61-'16-17 NGGT'!H61</f>
        <v>-1.4200812834124008</v>
      </c>
      <c r="I61" s="41">
        <f>'17-18 NGGT'!I61-'16-17 NGGT'!I61</f>
        <v>-1.3922508274181382</v>
      </c>
      <c r="J61" s="41">
        <f>'17-18 NGGT'!J61-'16-17 NGGT'!J61</f>
        <v>-1.3644203714247851</v>
      </c>
      <c r="K61" s="41">
        <f>'17-18 NGGT'!K61-'16-17 NGGT'!K61</f>
        <v>-1.3365899154305225</v>
      </c>
    </row>
    <row r="62" spans="1:14">
      <c r="C62" s="10" t="s">
        <v>85</v>
      </c>
      <c r="D62" s="42">
        <f>'17-18 NGGT'!D62-'16-17 NGGT'!D62</f>
        <v>0</v>
      </c>
      <c r="E62" s="42">
        <f>'17-18 NGGT'!E62-'16-17 NGGT'!E62</f>
        <v>0</v>
      </c>
      <c r="F62" s="42">
        <f>'17-18 NGGT'!F62-'16-17 NGGT'!F62</f>
        <v>0</v>
      </c>
      <c r="G62" s="42">
        <f>'17-18 NGGT'!G62-'16-17 NGGT'!G62</f>
        <v>0</v>
      </c>
      <c r="H62" s="42">
        <f>'17-18 NGGT'!H62-'16-17 NGGT'!H62</f>
        <v>0</v>
      </c>
      <c r="I62" s="42">
        <f>'17-18 NGGT'!I62-'16-17 NGGT'!I62</f>
        <v>0</v>
      </c>
      <c r="J62" s="42">
        <f>'17-18 NGGT'!J62-'16-17 NGGT'!J62</f>
        <v>0</v>
      </c>
      <c r="K62" s="42">
        <f>'17-18 NGGT'!K62-'16-17 NGGT'!K62</f>
        <v>0</v>
      </c>
    </row>
    <row r="63" spans="1:14">
      <c r="C63" s="11" t="s">
        <v>86</v>
      </c>
      <c r="D63" s="43">
        <f>'17-18 NGGT'!D63-'16-17 NGGT'!D63</f>
        <v>4.3997522887005971</v>
      </c>
      <c r="E63" s="43">
        <f>'17-18 NGGT'!E63-'16-17 NGGT'!E63</f>
        <v>-1.4969174748102887E-4</v>
      </c>
      <c r="F63" s="43">
        <f>'17-18 NGGT'!F63-'16-17 NGGT'!F63</f>
        <v>-5.6519731166780218</v>
      </c>
      <c r="G63" s="43">
        <f>'17-18 NGGT'!G63-'16-17 NGGT'!G63</f>
        <v>0</v>
      </c>
      <c r="H63" s="43">
        <f>'17-18 NGGT'!H63-'16-17 NGGT'!H63</f>
        <v>0</v>
      </c>
      <c r="I63" s="43">
        <f>'17-18 NGGT'!I63-'16-17 NGGT'!I63</f>
        <v>0</v>
      </c>
      <c r="J63" s="43">
        <f>'17-18 NGGT'!J63-'16-17 NGGT'!J63</f>
        <v>0</v>
      </c>
      <c r="K63" s="43">
        <f>'17-18 NGGT'!K63-'16-17 NGGT'!K63</f>
        <v>0</v>
      </c>
    </row>
    <row r="64" spans="1:14">
      <c r="C64" s="10" t="s">
        <v>87</v>
      </c>
      <c r="D64" s="42">
        <f>'17-18 NGGT'!D64-'16-17 NGGT'!D64</f>
        <v>0</v>
      </c>
      <c r="E64" s="42">
        <f>'17-18 NGGT'!E64-'16-17 NGGT'!E64</f>
        <v>-9.7772273082227912E-2</v>
      </c>
      <c r="F64" s="42">
        <f>'17-18 NGGT'!F64-'16-17 NGGT'!F64</f>
        <v>-9.7768946598961293E-2</v>
      </c>
      <c r="G64" s="42">
        <f>'17-18 NGGT'!G64-'16-17 NGGT'!G64</f>
        <v>2.7830455993893111E-2</v>
      </c>
      <c r="H64" s="42">
        <f>'17-18 NGGT'!H64-'16-17 NGGT'!H64</f>
        <v>2.7830455993921532E-2</v>
      </c>
      <c r="I64" s="42">
        <f>'17-18 NGGT'!I64-'16-17 NGGT'!I64</f>
        <v>2.7830455993921532E-2</v>
      </c>
      <c r="J64" s="42">
        <f>'17-18 NGGT'!J64-'16-17 NGGT'!J64</f>
        <v>2.7830455993893111E-2</v>
      </c>
      <c r="K64" s="42">
        <f>'17-18 NGGT'!K64-'16-17 NGGT'!K64</f>
        <v>2.7830455993893111E-2</v>
      </c>
    </row>
    <row r="65" spans="1:14">
      <c r="C65" s="39" t="s">
        <v>94</v>
      </c>
      <c r="D65" s="45">
        <f>'17-18 NGGT'!D65-'16-17 NGGT'!D65</f>
        <v>4.3997522887011655</v>
      </c>
      <c r="E65" s="45">
        <f>'17-18 NGGT'!E65-'16-17 NGGT'!E65</f>
        <v>4.3018303238713997</v>
      </c>
      <c r="F65" s="45">
        <f>'17-18 NGGT'!F65-'16-17 NGGT'!F65</f>
        <v>-1.4479117394057539</v>
      </c>
      <c r="G65" s="45">
        <f>'17-18 NGGT'!G65-'16-17 NGGT'!G65</f>
        <v>-1.4200812834124008</v>
      </c>
      <c r="H65" s="45">
        <f>'17-18 NGGT'!H65-'16-17 NGGT'!H65</f>
        <v>-1.3922508274181382</v>
      </c>
      <c r="I65" s="45">
        <f>'17-18 NGGT'!I65-'16-17 NGGT'!I65</f>
        <v>-1.3644203714247851</v>
      </c>
      <c r="J65" s="45">
        <f>'17-18 NGGT'!J65-'16-17 NGGT'!J65</f>
        <v>-1.3365899154305225</v>
      </c>
      <c r="K65" s="45">
        <f>'17-18 NGGT'!K65-'16-17 NGGT'!K65</f>
        <v>-1.3087594594362599</v>
      </c>
    </row>
    <row r="66" spans="1:14">
      <c r="C66" s="10" t="s">
        <v>89</v>
      </c>
      <c r="D66" s="42">
        <f>'17-18 NGGT'!D66-'16-17 NGGT'!D66</f>
        <v>0</v>
      </c>
      <c r="E66" s="42">
        <f>'17-18 NGGT'!E66-'16-17 NGGT'!E66</f>
        <v>0</v>
      </c>
      <c r="F66" s="42">
        <f>'17-18 NGGT'!F66-'16-17 NGGT'!F66</f>
        <v>0</v>
      </c>
      <c r="G66" s="42">
        <f>'17-18 NGGT'!G66-'16-17 NGGT'!G66</f>
        <v>0</v>
      </c>
      <c r="H66" s="42">
        <f>'17-18 NGGT'!H66-'16-17 NGGT'!H66</f>
        <v>0</v>
      </c>
      <c r="I66" s="42">
        <f>'17-18 NGGT'!I66-'16-17 NGGT'!I66</f>
        <v>0</v>
      </c>
      <c r="J66" s="42">
        <f>'17-18 NGGT'!J66-'16-17 NGGT'!J66</f>
        <v>0</v>
      </c>
      <c r="K66" s="42">
        <f>'17-18 NGGT'!K66-'16-17 NGGT'!K66</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'17-18 NGGT'!D70-'16-17 NGGT'!D70</f>
        <v>-1.0699977324435395E-4</v>
      </c>
      <c r="E70" s="42">
        <f>'17-18 NGGT'!E70-'16-17 NGGT'!E70</f>
        <v>-6.8747910503930143E-5</v>
      </c>
      <c r="F70" s="42">
        <f>'17-18 NGGT'!F70-'16-17 NGGT'!F70</f>
        <v>-5.0068906738260637</v>
      </c>
      <c r="G70" s="42">
        <f>'17-18 NGGT'!G70-'16-17 NGGT'!G70</f>
        <v>0</v>
      </c>
      <c r="H70" s="42">
        <f>'17-18 NGGT'!H70-'16-17 NGGT'!H70</f>
        <v>0</v>
      </c>
      <c r="I70" s="42">
        <f>'17-18 NGGT'!I70-'16-17 NGGT'!I70</f>
        <v>0</v>
      </c>
      <c r="J70" s="42">
        <f>'17-18 NGGT'!J70-'16-17 NGGT'!J70</f>
        <v>0</v>
      </c>
      <c r="K70" s="42">
        <f>'17-18 NGGT'!K70-'16-17 NGGT'!K70</f>
        <v>0</v>
      </c>
    </row>
    <row r="71" spans="1:14">
      <c r="C71" s="11" t="s">
        <v>98</v>
      </c>
      <c r="D71" s="43">
        <f>'17-18 NGGT'!D71-'16-17 NGGT'!D71</f>
        <v>0</v>
      </c>
      <c r="E71" s="43">
        <f>'17-18 NGGT'!E71-'16-17 NGGT'!E71</f>
        <v>0</v>
      </c>
      <c r="F71" s="43">
        <f>'17-18 NGGT'!F71-'16-17 NGGT'!F71</f>
        <v>0</v>
      </c>
      <c r="G71" s="43">
        <f>'17-18 NGGT'!G71-'16-17 NGGT'!G71</f>
        <v>0</v>
      </c>
      <c r="H71" s="43">
        <f>'17-18 NGGT'!H71-'16-17 NGGT'!H71</f>
        <v>0</v>
      </c>
      <c r="I71" s="43">
        <f>'17-18 NGGT'!I71-'16-17 NGGT'!I71</f>
        <v>0</v>
      </c>
      <c r="J71" s="43">
        <f>'17-18 NGGT'!J71-'16-17 NGGT'!J71</f>
        <v>0</v>
      </c>
      <c r="K71" s="43">
        <f>'17-18 NGGT'!K71-'16-17 NGGT'!K71</f>
        <v>0</v>
      </c>
    </row>
    <row r="72" spans="1:14">
      <c r="C72" s="10" t="s">
        <v>99</v>
      </c>
      <c r="D72" s="42">
        <f>'17-18 NGGT'!D72-'16-17 NGGT'!D72</f>
        <v>0</v>
      </c>
      <c r="E72" s="42">
        <f>'17-18 NGGT'!E72-'16-17 NGGT'!E72</f>
        <v>0</v>
      </c>
      <c r="F72" s="42">
        <f>'17-18 NGGT'!F72-'16-17 NGGT'!F72</f>
        <v>0</v>
      </c>
      <c r="G72" s="42">
        <f>'17-18 NGGT'!G72-'16-17 NGGT'!G72</f>
        <v>0</v>
      </c>
      <c r="H72" s="42">
        <f>'17-18 NGGT'!H72-'16-17 NGGT'!H72</f>
        <v>-1.3127943349019233E-2</v>
      </c>
      <c r="I72" s="42">
        <f>'17-18 NGGT'!I72-'16-17 NGGT'!I72</f>
        <v>-2.7302840180126964E-2</v>
      </c>
      <c r="J72" s="42">
        <f>'17-18 NGGT'!J72-'16-17 NGGT'!J72</f>
        <v>-4.2587314680446298E-2</v>
      </c>
      <c r="K72" s="42">
        <f>'17-18 NGGT'!K72-'16-17 NGGT'!K72</f>
        <v>-5.9047320905378342E-2</v>
      </c>
    </row>
    <row r="73" spans="1:14">
      <c r="C73" s="11" t="s">
        <v>100</v>
      </c>
      <c r="D73" s="43">
        <f>'17-18 NGGT'!D73-'16-17 NGGT'!D73</f>
        <v>0</v>
      </c>
      <c r="E73" s="43">
        <f>'17-18 NGGT'!E73-'16-17 NGGT'!E73</f>
        <v>0</v>
      </c>
      <c r="F73" s="43">
        <f>'17-18 NGGT'!F73-'16-17 NGGT'!F73</f>
        <v>0</v>
      </c>
      <c r="G73" s="43">
        <f>'17-18 NGGT'!G73-'16-17 NGGT'!G73</f>
        <v>0</v>
      </c>
      <c r="H73" s="43">
        <f>'17-18 NGGT'!H73-'16-17 NGGT'!H73</f>
        <v>0</v>
      </c>
      <c r="I73" s="43">
        <f>'17-18 NGGT'!I73-'16-17 NGGT'!I73</f>
        <v>0</v>
      </c>
      <c r="J73" s="43">
        <f>'17-18 NGGT'!J73-'16-17 NGGT'!J73</f>
        <v>0</v>
      </c>
      <c r="K73" s="43">
        <f>'17-18 NGGT'!K73-'16-17 NGGT'!K73</f>
        <v>0</v>
      </c>
    </row>
    <row r="74" spans="1:14">
      <c r="C74" s="10" t="s">
        <v>101</v>
      </c>
      <c r="D74" s="42">
        <f>'17-18 NGGT'!D74-'16-17 NGGT'!D74</f>
        <v>0</v>
      </c>
      <c r="E74" s="42">
        <f>'17-18 NGGT'!E74-'16-17 NGGT'!E74</f>
        <v>0</v>
      </c>
      <c r="F74" s="42">
        <f>'17-18 NGGT'!F74-'16-17 NGGT'!F74</f>
        <v>0</v>
      </c>
      <c r="G74" s="42">
        <f>'17-18 NGGT'!G74-'16-17 NGGT'!G74</f>
        <v>0</v>
      </c>
      <c r="H74" s="42">
        <f>'17-18 NGGT'!H74-'16-17 NGGT'!H74</f>
        <v>0</v>
      </c>
      <c r="I74" s="42">
        <f>'17-18 NGGT'!I74-'16-17 NGGT'!I74</f>
        <v>0</v>
      </c>
      <c r="J74" s="42">
        <f>'17-18 NGGT'!J74-'16-17 NGGT'!J74</f>
        <v>0</v>
      </c>
      <c r="K74" s="42">
        <f>'17-18 NGGT'!K74-'16-17 NGGT'!K74</f>
        <v>0</v>
      </c>
    </row>
    <row r="75" spans="1:14">
      <c r="C75" s="11" t="s">
        <v>102</v>
      </c>
      <c r="D75" s="43">
        <f>'17-18 NGGT'!D75-'16-17 NGGT'!D75</f>
        <v>-2.644636996186378E-2</v>
      </c>
      <c r="E75" s="43">
        <f>'17-18 NGGT'!E75-'16-17 NGGT'!E75</f>
        <v>-3.1320128561146632E-2</v>
      </c>
      <c r="F75" s="43">
        <f>'17-18 NGGT'!F75-'16-17 NGGT'!F75</f>
        <v>-2.1832388136420438</v>
      </c>
      <c r="G75" s="43">
        <f>'17-18 NGGT'!G75-'16-17 NGGT'!G75</f>
        <v>0.20535430693660572</v>
      </c>
      <c r="H75" s="43">
        <f>'17-18 NGGT'!H75-'16-17 NGGT'!H75</f>
        <v>-1.027184602636197</v>
      </c>
      <c r="I75" s="43">
        <f>'17-18 NGGT'!I75-'16-17 NGGT'!I75</f>
        <v>-1.6434092208843509E-2</v>
      </c>
      <c r="J75" s="43">
        <f>'17-18 NGGT'!J75-'16-17 NGGT'!J75</f>
        <v>-6.4251828669274147E-2</v>
      </c>
      <c r="K75" s="43">
        <f>'17-18 NGGT'!K75-'16-17 NGGT'!K75</f>
        <v>-0.12375982833974675</v>
      </c>
    </row>
    <row r="76" spans="1:14">
      <c r="C76" s="10" t="s">
        <v>103</v>
      </c>
      <c r="D76" s="42">
        <f>'17-18 NGGT'!D76-'16-17 NGGT'!D76</f>
        <v>9.2210377308163061E-2</v>
      </c>
      <c r="E76" s="42">
        <f>'17-18 NGGT'!E76-'16-17 NGGT'!E76</f>
        <v>0.2789541980729382</v>
      </c>
      <c r="F76" s="42">
        <f>'17-18 NGGT'!F76-'16-17 NGGT'!F76</f>
        <v>0.15809219195858759</v>
      </c>
      <c r="G76" s="42">
        <f>'17-18 NGGT'!G76-'16-17 NGGT'!G76</f>
        <v>-8.4615518132125089E-2</v>
      </c>
      <c r="H76" s="42">
        <f>'17-18 NGGT'!H76-'16-17 NGGT'!H76</f>
        <v>-4.7585940343163315</v>
      </c>
      <c r="I76" s="42">
        <f>'17-18 NGGT'!I76-'16-17 NGGT'!I76</f>
        <v>-4.8589618321657895</v>
      </c>
      <c r="J76" s="42">
        <f>'17-18 NGGT'!J76-'16-17 NGGT'!J76</f>
        <v>-4.8647627052210396</v>
      </c>
      <c r="K76" s="42">
        <f>'17-18 NGGT'!K76-'16-17 NGGT'!K76</f>
        <v>-4.8249586306612287</v>
      </c>
    </row>
    <row r="77" spans="1:14">
      <c r="C77" s="11" t="s">
        <v>104</v>
      </c>
      <c r="D77" s="43">
        <f>'17-18 NGGT'!D77-'16-17 NGGT'!D77</f>
        <v>7.1030132060478479E-2</v>
      </c>
      <c r="E77" s="43">
        <f>'17-18 NGGT'!E77-'16-17 NGGT'!E77</f>
        <v>7.4048912673047695E-2</v>
      </c>
      <c r="F77" s="43">
        <f>'17-18 NGGT'!F77-'16-17 NGGT'!F77</f>
        <v>7.7117314491937705E-2</v>
      </c>
      <c r="G77" s="43">
        <f>'17-18 NGGT'!G77-'16-17 NGGT'!G77</f>
        <v>8.0230926064547958E-2</v>
      </c>
      <c r="H77" s="43">
        <f>'17-18 NGGT'!H77-'16-17 NGGT'!H77</f>
        <v>7.0551988470239024E-2</v>
      </c>
      <c r="I77" s="43">
        <f>'17-18 NGGT'!I77-'16-17 NGGT'!I77</f>
        <v>5.9973607234470094E-2</v>
      </c>
      <c r="J77" s="43">
        <f>'17-18 NGGT'!J77-'16-17 NGGT'!J77</f>
        <v>4.8439438969097637E-2</v>
      </c>
      <c r="K77" s="43">
        <f>'17-18 NGGT'!K77-'16-17 NGGT'!K77</f>
        <v>3.5890076805374704E-2</v>
      </c>
    </row>
    <row r="78" spans="1:14">
      <c r="C78" s="12" t="s">
        <v>105</v>
      </c>
      <c r="D78" s="50">
        <f>'17-18 NGGT'!D78-'16-17 NGGT'!D78</f>
        <v>0.13668713963363643</v>
      </c>
      <c r="E78" s="50">
        <f>'17-18 NGGT'!E78-'16-17 NGGT'!E78</f>
        <v>0.32161423427430691</v>
      </c>
      <c r="F78" s="50">
        <f>'17-18 NGGT'!F78-'16-17 NGGT'!F78</f>
        <v>-6.9549199810174969</v>
      </c>
      <c r="G78" s="50">
        <f>'17-18 NGGT'!G78-'16-17 NGGT'!G78</f>
        <v>0.20096971486907478</v>
      </c>
      <c r="H78" s="50">
        <f>'17-18 NGGT'!H78-'16-17 NGGT'!H78</f>
        <v>-5.7283545918313621</v>
      </c>
      <c r="I78" s="50">
        <f>'17-18 NGGT'!I78-'16-17 NGGT'!I78</f>
        <v>-4.8427251573203876</v>
      </c>
      <c r="J78" s="50">
        <f>'17-18 NGGT'!J78-'16-17 NGGT'!J78</f>
        <v>-4.9231624096015594</v>
      </c>
      <c r="K78" s="50">
        <f>'17-18 NGGT'!K78-'16-17 NGGT'!K78</f>
        <v>-4.9718757031008636</v>
      </c>
    </row>
    <row r="79" spans="1:14">
      <c r="C79" s="11" t="s">
        <v>106</v>
      </c>
      <c r="D79" s="43">
        <f>'17-18 NGGT'!D79-'16-17 NGGT'!D79</f>
        <v>0</v>
      </c>
      <c r="E79" s="43">
        <f>'17-18 NGGT'!E79-'16-17 NGGT'!E79</f>
        <v>0</v>
      </c>
      <c r="F79" s="43">
        <f>'17-18 NGGT'!F79-'16-17 NGGT'!F79</f>
        <v>0</v>
      </c>
      <c r="G79" s="43">
        <f>'17-18 NGGT'!G79-'16-17 NGGT'!G79</f>
        <v>0</v>
      </c>
      <c r="H79" s="43">
        <f>'17-18 NGGT'!H79-'16-17 NGGT'!H79</f>
        <v>0</v>
      </c>
      <c r="I79" s="43">
        <f>'17-18 NGGT'!I79-'16-17 NGGT'!I79</f>
        <v>0</v>
      </c>
      <c r="J79" s="43">
        <f>'17-18 NGGT'!J79-'16-17 NGGT'!J79</f>
        <v>0</v>
      </c>
      <c r="K79" s="43">
        <f>'17-18 NGGT'!K79-'16-17 NGGT'!K79</f>
        <v>0</v>
      </c>
      <c r="N79" s="208"/>
    </row>
    <row r="80" spans="1:14" ht="13.8" thickBot="1">
      <c r="A80" s="38"/>
      <c r="C80" s="13" t="s">
        <v>107</v>
      </c>
      <c r="D80" s="52">
        <f>'17-18 NGGT'!D80-'16-17 NGGT'!D80</f>
        <v>0.13668713963363643</v>
      </c>
      <c r="E80" s="52">
        <f>'17-18 NGGT'!E80-'16-17 NGGT'!E80</f>
        <v>0.32161423427430691</v>
      </c>
      <c r="F80" s="52">
        <f>'17-18 NGGT'!F80-'16-17 NGGT'!F80</f>
        <v>-6.9549199810174969</v>
      </c>
      <c r="G80" s="52">
        <f>'17-18 NGGT'!G80-'16-17 NGGT'!G80</f>
        <v>0.20096971486907478</v>
      </c>
      <c r="H80" s="52">
        <f>'17-18 NGGT'!H80-'16-17 NGGT'!H80</f>
        <v>-5.7283545918313621</v>
      </c>
      <c r="I80" s="52">
        <f>'17-18 NGGT'!I80-'16-17 NGGT'!I80</f>
        <v>-4.8427251573203876</v>
      </c>
      <c r="J80" s="52">
        <f>'17-18 NGGT'!J80-'16-17 NGGT'!J80</f>
        <v>-4.9231624096015594</v>
      </c>
      <c r="K80" s="52">
        <f>'17-18 NGGT'!K80-'16-17 NGGT'!K80</f>
        <v>-4.9718757031008636</v>
      </c>
      <c r="N80" s="209"/>
    </row>
    <row r="81" spans="3:14">
      <c r="E81" s="53"/>
    </row>
    <row r="82" spans="3:14" ht="13.8" thickBot="1">
      <c r="E82" s="109" t="s">
        <v>393</v>
      </c>
      <c r="F82" s="53">
        <f>D80*1.04375*1.0425*1.04144*1.03938+E80*1.0425*1.04144*1.03938+F80*1.04144*1.03938+G80*1.03938+H80</f>
        <v>-12.523915862439843</v>
      </c>
      <c r="G82" s="109" t="s">
        <v>201</v>
      </c>
      <c r="H82" s="53">
        <f>F82-'GT workings 17-18'!H108+'NGGT differences 16-17'!H80+'NGGT differences 15-16'!H80+'NGGT differences 14-15'!H80</f>
        <v>9.8563340639898911E-3</v>
      </c>
      <c r="I82" s="109"/>
      <c r="J82" s="109"/>
      <c r="K82" s="109"/>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406</v>
      </c>
      <c r="D85" s="126">
        <f>'17-18 NGGT'!D85-'16-17 NGGT'!D85</f>
        <v>0</v>
      </c>
      <c r="E85" s="126">
        <f>'17-18 NGGT'!E85-'16-17 NGGT'!E85</f>
        <v>0</v>
      </c>
      <c r="F85" s="126">
        <f>'17-18 NGGT'!F85-'16-17 NGGT'!F85</f>
        <v>0</v>
      </c>
      <c r="G85" s="126">
        <f>'17-18 NGGT'!G85-'16-17 NGGT'!G85</f>
        <v>0</v>
      </c>
      <c r="H85" s="126">
        <f>'17-18 NGGT'!H85-'16-17 NGGT'!H85</f>
        <v>0</v>
      </c>
      <c r="I85" s="126">
        <f>'17-18 NGGT'!I85-'16-17 NGGT'!I85</f>
        <v>0</v>
      </c>
      <c r="J85" s="126">
        <f>'17-18 NGGT'!J85-'16-17 NGGT'!J85</f>
        <v>0</v>
      </c>
      <c r="K85" s="126">
        <f>'17-18 NGGT'!K85-'16-17 NGGT'!K85</f>
        <v>0</v>
      </c>
      <c r="L85" s="126">
        <f>'17-18 NGGT'!L85-'16-17 NGGT'!L85</f>
        <v>0</v>
      </c>
      <c r="M85" s="53">
        <f>'17-18 NGGT'!M85-'16-17 NGGT'!M85</f>
        <v>0</v>
      </c>
      <c r="N85" s="53">
        <f>'17-18 NGGT'!N85-'16-17 NGGT'!N85</f>
        <v>0</v>
      </c>
    </row>
    <row r="86" spans="3:14">
      <c r="C86" s="17" t="s">
        <v>407</v>
      </c>
      <c r="D86" s="126">
        <f>'17-18 NGGT'!D86-'16-17 NGGT'!D86</f>
        <v>0</v>
      </c>
      <c r="E86" s="126">
        <f>'17-18 NGGT'!E86-'16-17 NGGT'!E86</f>
        <v>0</v>
      </c>
      <c r="F86" s="126">
        <f>'17-18 NGGT'!F86-'16-17 NGGT'!F86</f>
        <v>0</v>
      </c>
      <c r="G86" s="126">
        <f>'17-18 NGGT'!G86-'16-17 NGGT'!G86</f>
        <v>0</v>
      </c>
      <c r="H86" s="126">
        <f>'17-18 NGGT'!H86-'16-17 NGGT'!H86</f>
        <v>0</v>
      </c>
      <c r="I86" s="126">
        <f>'17-18 NGGT'!I86-'16-17 NGGT'!I86</f>
        <v>0</v>
      </c>
      <c r="J86" s="126">
        <f>'17-18 NGGT'!J86-'16-17 NGGT'!J86</f>
        <v>0</v>
      </c>
      <c r="K86" s="126">
        <f>'17-18 NGGT'!K86-'16-17 NGGT'!K86</f>
        <v>0</v>
      </c>
      <c r="L86" s="126">
        <f>'17-18 NGGT'!L86-'16-17 NGGT'!L86</f>
        <v>0</v>
      </c>
      <c r="M86" s="53">
        <f>'17-18 NGGT'!M86-'16-17 NGGT'!M86</f>
        <v>0</v>
      </c>
      <c r="N86" s="53">
        <f>'17-18 NGGT'!N86-'16-17 NGGT'!N86</f>
        <v>0</v>
      </c>
    </row>
    <row r="87" spans="3:14">
      <c r="C87" s="18" t="s">
        <v>44</v>
      </c>
      <c r="D87" s="128">
        <f>'17-18 NGGT'!D87-'16-17 NGGT'!D87</f>
        <v>0</v>
      </c>
      <c r="E87" s="128">
        <f>'17-18 NGGT'!E87-'16-17 NGGT'!E87</f>
        <v>0</v>
      </c>
      <c r="F87" s="128">
        <f>'17-18 NGGT'!F87-'16-17 NGGT'!F87</f>
        <v>0</v>
      </c>
      <c r="G87" s="128">
        <f>'17-18 NGGT'!G87-'16-17 NGGT'!G87</f>
        <v>0</v>
      </c>
      <c r="H87" s="128">
        <f>'17-18 NGGT'!H87-'16-17 NGGT'!H87</f>
        <v>0</v>
      </c>
      <c r="I87" s="128">
        <f>'17-18 NGGT'!I87-'16-17 NGGT'!I87</f>
        <v>0</v>
      </c>
      <c r="J87" s="128">
        <f>'17-18 NGGT'!J87-'16-17 NGGT'!J87</f>
        <v>0</v>
      </c>
      <c r="K87" s="128">
        <f>'17-18 NGGT'!K87-'16-17 NGGT'!K87</f>
        <v>0</v>
      </c>
      <c r="L87" s="128">
        <f>'17-18 NGGT'!L87-'16-17 NGGT'!L87</f>
        <v>0</v>
      </c>
      <c r="M87" s="53">
        <f>'17-18 NGGT'!M87-'16-17 NGGT'!M87</f>
        <v>0</v>
      </c>
      <c r="N87" s="53">
        <f>'17-18 NGGT'!N87-'16-17 NGGT'!N87</f>
        <v>0</v>
      </c>
    </row>
    <row r="88" spans="3:14">
      <c r="C88" s="17" t="s">
        <v>408</v>
      </c>
      <c r="D88" s="126">
        <f>'17-18 NGGT'!D88-'16-17 NGGT'!D88</f>
        <v>0</v>
      </c>
      <c r="E88" s="126">
        <f>'17-18 NGGT'!E88-'16-17 NGGT'!E88</f>
        <v>0</v>
      </c>
      <c r="F88" s="126">
        <f>'17-18 NGGT'!F88-'16-17 NGGT'!F88</f>
        <v>0</v>
      </c>
      <c r="G88" s="126">
        <f>'17-18 NGGT'!G88-'16-17 NGGT'!G88</f>
        <v>0</v>
      </c>
      <c r="H88" s="126">
        <f>'17-18 NGGT'!H88-'16-17 NGGT'!H88</f>
        <v>0</v>
      </c>
      <c r="I88" s="126">
        <f>'17-18 NGGT'!I88-'16-17 NGGT'!I88</f>
        <v>0</v>
      </c>
      <c r="J88" s="126">
        <f>'17-18 NGGT'!J88-'16-17 NGGT'!J88</f>
        <v>0</v>
      </c>
      <c r="K88" s="126">
        <f>'17-18 NGGT'!K88-'16-17 NGGT'!K88</f>
        <v>0</v>
      </c>
      <c r="L88" s="126">
        <f>'17-18 NGGT'!L88-'16-17 NGGT'!L88</f>
        <v>0</v>
      </c>
      <c r="M88" s="53">
        <f>'17-18 NGGT'!M88-'16-17 NGGT'!M88</f>
        <v>0</v>
      </c>
      <c r="N88" s="53">
        <f>'17-18 NGGT'!N88-'16-17 NGGT'!N88</f>
        <v>0</v>
      </c>
    </row>
    <row r="89" spans="3:14">
      <c r="C89" s="18" t="s">
        <v>46</v>
      </c>
      <c r="D89" s="127">
        <f>'17-18 NGGT'!D89-'16-17 NGGT'!D89</f>
        <v>0</v>
      </c>
      <c r="E89" s="127">
        <f>'17-18 NGGT'!E89-'16-17 NGGT'!E89</f>
        <v>0</v>
      </c>
      <c r="F89" s="127">
        <f>'17-18 NGGT'!F89-'16-17 NGGT'!F89</f>
        <v>0</v>
      </c>
      <c r="G89" s="127">
        <f>'17-18 NGGT'!G89-'16-17 NGGT'!G89</f>
        <v>0</v>
      </c>
      <c r="H89" s="127">
        <f>'17-18 NGGT'!H89-'16-17 NGGT'!H89</f>
        <v>0</v>
      </c>
      <c r="I89" s="127">
        <f>'17-18 NGGT'!I89-'16-17 NGGT'!I89</f>
        <v>0</v>
      </c>
      <c r="J89" s="127">
        <f>'17-18 NGGT'!J89-'16-17 NGGT'!J89</f>
        <v>0</v>
      </c>
      <c r="K89" s="127">
        <f>'17-18 NGGT'!K89-'16-17 NGGT'!K89</f>
        <v>0</v>
      </c>
      <c r="L89" s="127">
        <f>'17-18 NGGT'!L89-'16-17 NGGT'!L89</f>
        <v>0</v>
      </c>
      <c r="M89" s="53">
        <f>'17-18 NGGT'!M89-'16-17 NGGT'!M89</f>
        <v>0</v>
      </c>
      <c r="N89" s="53">
        <f>'17-18 NGGT'!N89-'16-17 NGGT'!N89</f>
        <v>0</v>
      </c>
    </row>
    <row r="90" spans="3:14">
      <c r="C90" s="19" t="s">
        <v>48</v>
      </c>
      <c r="D90" s="129">
        <f>'17-18 NGGT'!D91-'16-17 NGGT'!D91</f>
        <v>-3.5471107261741963E-4</v>
      </c>
      <c r="E90" s="129">
        <f>'17-18 NGGT'!E91-'16-17 NGGT'!E91</f>
        <v>-2.1843965797074816E-4</v>
      </c>
      <c r="F90" s="129">
        <f>'17-18 NGGT'!F91-'16-17 NGGT'!F91</f>
        <v>-10.658863790504057</v>
      </c>
      <c r="G90" s="129">
        <f>'17-18 NGGT'!G91-'16-17 NGGT'!G91</f>
        <v>0</v>
      </c>
      <c r="H90" s="129">
        <f>'17-18 NGGT'!H91-'16-17 NGGT'!H91</f>
        <v>0</v>
      </c>
      <c r="I90" s="129">
        <f>'17-18 NGGT'!I91-'16-17 NGGT'!I91</f>
        <v>0</v>
      </c>
      <c r="J90" s="129">
        <f>'17-18 NGGT'!J91-'16-17 NGGT'!J91</f>
        <v>0</v>
      </c>
      <c r="K90" s="129">
        <f>'17-18 NGGT'!K91-'16-17 NGGT'!K91</f>
        <v>0</v>
      </c>
      <c r="L90" s="129">
        <f>'17-18 NGGT'!L91-'16-17 NGGT'!L91</f>
        <v>-10.659436941234617</v>
      </c>
      <c r="M90" s="53">
        <f>'17-18 NGGT'!M91-'16-17 NGGT'!M91</f>
        <v>0</v>
      </c>
      <c r="N90" s="53">
        <f>'17-18 NGGT'!N91-'16-17 NGGT'!N91</f>
        <v>0</v>
      </c>
    </row>
    <row r="91" spans="3:14">
      <c r="C91" s="18" t="s">
        <v>52</v>
      </c>
      <c r="D91" s="128">
        <f>'17-18 NGGT'!D92-'16-17 NGGT'!D92</f>
        <v>0</v>
      </c>
      <c r="E91" s="128">
        <f>'17-18 NGGT'!E92-'16-17 NGGT'!E92</f>
        <v>0</v>
      </c>
      <c r="F91" s="128">
        <f>'17-18 NGGT'!F92-'16-17 NGGT'!F92</f>
        <v>0</v>
      </c>
      <c r="G91" s="128">
        <f>'17-18 NGGT'!G92-'16-17 NGGT'!G92</f>
        <v>0</v>
      </c>
      <c r="H91" s="128">
        <f>'17-18 NGGT'!H92-'16-17 NGGT'!H92</f>
        <v>0</v>
      </c>
      <c r="I91" s="128">
        <f>'17-18 NGGT'!I92-'16-17 NGGT'!I92</f>
        <v>0</v>
      </c>
      <c r="J91" s="128">
        <f>'17-18 NGGT'!J92-'16-17 NGGT'!J92</f>
        <v>0</v>
      </c>
      <c r="K91" s="128">
        <f>'17-18 NGGT'!K92-'16-17 NGGT'!K92</f>
        <v>0</v>
      </c>
      <c r="L91" s="128">
        <f>'17-18 NGGT'!L92-'16-17 NGGT'!L92</f>
        <v>0</v>
      </c>
      <c r="M91" s="53">
        <f>'17-18 NGGT'!M92-'16-17 NGGT'!M92</f>
        <v>0</v>
      </c>
      <c r="N91" s="53">
        <f>'17-18 NGGT'!N92-'16-17 NGGT'!N92</f>
        <v>0</v>
      </c>
    </row>
    <row r="92" spans="3:14">
      <c r="C92" s="17"/>
      <c r="D92" s="126"/>
      <c r="E92" s="126"/>
      <c r="F92" s="126"/>
      <c r="G92" s="126"/>
      <c r="H92" s="126"/>
      <c r="I92" s="126"/>
      <c r="J92" s="126"/>
      <c r="K92" s="126"/>
      <c r="L92" s="126"/>
      <c r="M92" s="53"/>
      <c r="N92" s="53"/>
    </row>
    <row r="93" spans="3:14">
      <c r="C93" s="18" t="s">
        <v>138</v>
      </c>
      <c r="D93" s="127">
        <f>'17-18 NGGT'!D94-'16-17 NGGT'!D94</f>
        <v>0</v>
      </c>
      <c r="E93" s="127">
        <f>'17-18 NGGT'!E94-'16-17 NGGT'!E94</f>
        <v>0</v>
      </c>
      <c r="F93" s="127">
        <f>'17-18 NGGT'!F94-'16-17 NGGT'!F94</f>
        <v>0</v>
      </c>
      <c r="G93" s="127">
        <f>'17-18 NGGT'!G94-'16-17 NGGT'!G94</f>
        <v>0</v>
      </c>
      <c r="H93" s="127">
        <f>'17-18 NGGT'!H94-'16-17 NGGT'!H94</f>
        <v>0</v>
      </c>
      <c r="I93" s="127">
        <f>'17-18 NGGT'!I94-'16-17 NGGT'!I94</f>
        <v>0</v>
      </c>
      <c r="J93" s="127">
        <f>'17-18 NGGT'!J94-'16-17 NGGT'!J94</f>
        <v>0</v>
      </c>
      <c r="K93" s="127">
        <f>'17-18 NGGT'!K94-'16-17 NGGT'!K94</f>
        <v>0</v>
      </c>
      <c r="L93" s="127">
        <f>'17-18 NGGT'!L94-'16-17 NGGT'!L94</f>
        <v>0</v>
      </c>
      <c r="M93" s="53">
        <f>'17-18 NGGT'!M94-'16-17 NGGT'!M94</f>
        <v>0</v>
      </c>
      <c r="N93" s="53">
        <f>'17-18 NGGT'!N94-'16-17 NGGT'!N94</f>
        <v>0</v>
      </c>
    </row>
    <row r="94" spans="3:14">
      <c r="C94" s="17" t="s">
        <v>44</v>
      </c>
      <c r="D94" s="126">
        <f>'17-18 NGGT'!D95-'16-17 NGGT'!D95</f>
        <v>-6.5612405109050087E-7</v>
      </c>
      <c r="E94" s="126">
        <f>'17-18 NGGT'!E95-'16-17 NGGT'!E95</f>
        <v>5.6854007028057651E-3</v>
      </c>
      <c r="F94" s="126">
        <f>'17-18 NGGT'!F95-'16-17 NGGT'!F95</f>
        <v>4.9485637528021265E-2</v>
      </c>
      <c r="G94" s="126">
        <f>'17-18 NGGT'!G95-'16-17 NGGT'!G95</f>
        <v>5.2980695187381244E-2</v>
      </c>
      <c r="H94" s="126">
        <f>'17-18 NGGT'!H95-'16-17 NGGT'!H95</f>
        <v>-2.0736208097922946</v>
      </c>
      <c r="I94" s="126">
        <f>'17-18 NGGT'!I95-'16-17 NGGT'!I95</f>
        <v>0.35535010391476085</v>
      </c>
      <c r="J94" s="126">
        <f>'17-18 NGGT'!J95-'16-17 NGGT'!J95</f>
        <v>1.0766536613368656</v>
      </c>
      <c r="K94" s="126">
        <f>'17-18 NGGT'!K95-'16-17 NGGT'!K95</f>
        <v>0.30824837897413504</v>
      </c>
      <c r="L94" s="126">
        <f>'17-18 NGGT'!L95-'16-17 NGGT'!L95</f>
        <v>-0.22521758827237903</v>
      </c>
      <c r="M94" s="53">
        <f>'17-18 NGGT'!M95-'16-17 NGGT'!M95</f>
        <v>-2.2521758827238197E-4</v>
      </c>
      <c r="N94" s="53">
        <f>'17-18 NGGT'!N95-'16-17 NGGT'!N95</f>
        <v>0</v>
      </c>
    </row>
    <row r="95" spans="3:14">
      <c r="C95" s="18" t="s">
        <v>45</v>
      </c>
      <c r="D95" s="127">
        <f>'17-18 NGGT'!D96-'16-17 NGGT'!D96</f>
        <v>-5.7914302775685655E-7</v>
      </c>
      <c r="E95" s="127">
        <f>'17-18 NGGT'!E96-'16-17 NGGT'!E96</f>
        <v>8.6044977844768056E-3</v>
      </c>
      <c r="F95" s="127">
        <f>'17-18 NGGT'!F96-'16-17 NGGT'!F96</f>
        <v>8.8455463250204147E-2</v>
      </c>
      <c r="G95" s="127">
        <f>'17-18 NGGT'!G96-'16-17 NGGT'!G96</f>
        <v>8.6975033910666966E-2</v>
      </c>
      <c r="H95" s="127">
        <f>'17-18 NGGT'!H96-'16-17 NGGT'!H96</f>
        <v>-3.4642135788680957</v>
      </c>
      <c r="I95" s="127">
        <f>'17-18 NGGT'!I96-'16-17 NGGT'!I96</f>
        <v>0.7814117407126151</v>
      </c>
      <c r="J95" s="127">
        <f>'17-18 NGGT'!J96-'16-17 NGGT'!J96</f>
        <v>2.5650168485238094</v>
      </c>
      <c r="K95" s="127">
        <f>'17-18 NGGT'!K96-'16-17 NGGT'!K96</f>
        <v>0.84192603492015117</v>
      </c>
      <c r="L95" s="127">
        <f>'17-18 NGGT'!L96-'16-17 NGGT'!L96</f>
        <v>0.90817546109079217</v>
      </c>
      <c r="M95" s="53">
        <f>'17-18 NGGT'!M96-'16-17 NGGT'!M96</f>
        <v>9.0817546109080161E-4</v>
      </c>
      <c r="N95" s="53">
        <f>'17-18 NGGT'!N96-'16-17 NGGT'!N96</f>
        <v>0</v>
      </c>
    </row>
    <row r="96" spans="3:14">
      <c r="C96" s="17" t="s">
        <v>46</v>
      </c>
      <c r="D96" s="126">
        <f>'17-18 NGGT'!D97-'16-17 NGGT'!D97</f>
        <v>0</v>
      </c>
      <c r="E96" s="126">
        <f>'17-18 NGGT'!E97-'16-17 NGGT'!E97</f>
        <v>0</v>
      </c>
      <c r="F96" s="126">
        <f>'17-18 NGGT'!F97-'16-17 NGGT'!F97</f>
        <v>0</v>
      </c>
      <c r="G96" s="126">
        <f>'17-18 NGGT'!G97-'16-17 NGGT'!G97</f>
        <v>0</v>
      </c>
      <c r="H96" s="126">
        <f>'17-18 NGGT'!H97-'16-17 NGGT'!H97</f>
        <v>0</v>
      </c>
      <c r="I96" s="126">
        <f>'17-18 NGGT'!I97-'16-17 NGGT'!I97</f>
        <v>0</v>
      </c>
      <c r="J96" s="126">
        <f>'17-18 NGGT'!J97-'16-17 NGGT'!J97</f>
        <v>0</v>
      </c>
      <c r="K96" s="126">
        <f>'17-18 NGGT'!K97-'16-17 NGGT'!K97</f>
        <v>0</v>
      </c>
      <c r="L96" s="126">
        <f>'17-18 NGGT'!L97-'16-17 NGGT'!L97</f>
        <v>0</v>
      </c>
      <c r="M96" s="53">
        <f>'17-18 NGGT'!M97-'16-17 NGGT'!M97</f>
        <v>0</v>
      </c>
      <c r="N96" s="53">
        <f>'17-18 NGGT'!N97-'16-17 NGGT'!N97</f>
        <v>0</v>
      </c>
    </row>
    <row r="97" spans="1:14">
      <c r="C97" s="123" t="s">
        <v>50</v>
      </c>
      <c r="D97" s="130">
        <f>'17-18 NGGT'!D99-'16-17 NGGT'!D99</f>
        <v>3.3240603556520796</v>
      </c>
      <c r="E97" s="130">
        <f>'17-18 NGGT'!E99-'16-17 NGGT'!E99</f>
        <v>3.2981503361949649</v>
      </c>
      <c r="F97" s="130">
        <f>'17-18 NGGT'!F99-'16-17 NGGT'!F99</f>
        <v>4.0592802808104551</v>
      </c>
      <c r="G97" s="130">
        <f>'17-18 NGGT'!G99-'16-17 NGGT'!G99</f>
        <v>0.139955729098034</v>
      </c>
      <c r="H97" s="130">
        <f>'17-18 NGGT'!H99-'16-17 NGGT'!H99</f>
        <v>-5.5378343886603858</v>
      </c>
      <c r="I97" s="130">
        <f>'17-18 NGGT'!I99-'16-17 NGGT'!I99</f>
        <v>1.1367618446273724</v>
      </c>
      <c r="J97" s="130">
        <f>'17-18 NGGT'!J99-'16-17 NGGT'!J99</f>
        <v>3.6416705098606599</v>
      </c>
      <c r="K97" s="130">
        <f>'17-18 NGGT'!K99-'16-17 NGGT'!K99</f>
        <v>1.1501744138942769</v>
      </c>
      <c r="L97" s="130">
        <f>'17-18 NGGT'!L99-'16-17 NGGT'!L99</f>
        <v>11.212219081477429</v>
      </c>
      <c r="M97" s="53">
        <f>'17-18 NGGT'!M99-'16-17 NGGT'!M99</f>
        <v>6.829578728184682E-4</v>
      </c>
      <c r="N97" s="53">
        <f>'17-18 NGGT'!N99-'16-17 NGGT'!N99</f>
        <v>0</v>
      </c>
    </row>
    <row r="98" spans="1:14">
      <c r="C98" s="17"/>
      <c r="D98" s="126"/>
      <c r="E98" s="126"/>
      <c r="F98" s="126"/>
      <c r="G98" s="126"/>
      <c r="H98" s="126"/>
      <c r="I98" s="126"/>
      <c r="J98" s="126"/>
      <c r="K98" s="126"/>
      <c r="L98" s="126"/>
      <c r="M98" s="53"/>
      <c r="N98" s="53"/>
    </row>
    <row r="99" spans="1:14" ht="13.8" thickBot="1">
      <c r="C99" s="23" t="s">
        <v>51</v>
      </c>
      <c r="D99" s="131">
        <f>'17-18 NGGT'!D101-'16-17 NGGT'!D101</f>
        <v>3.3237056445794906</v>
      </c>
      <c r="E99" s="131">
        <f>'17-18 NGGT'!E101-'16-17 NGGT'!E101</f>
        <v>3.2979318965369657</v>
      </c>
      <c r="F99" s="131">
        <f>'17-18 NGGT'!F101-'16-17 NGGT'!F101</f>
        <v>-6.5995835096936162</v>
      </c>
      <c r="G99" s="131">
        <f>'17-18 NGGT'!G101-'16-17 NGGT'!G101</f>
        <v>0.13995572909800558</v>
      </c>
      <c r="H99" s="131">
        <f>'17-18 NGGT'!H101-'16-17 NGGT'!H101</f>
        <v>-5.5378343886604284</v>
      </c>
      <c r="I99" s="131">
        <f>'17-18 NGGT'!I101-'16-17 NGGT'!I101</f>
        <v>1.1367618446273582</v>
      </c>
      <c r="J99" s="131">
        <f>'17-18 NGGT'!J101-'16-17 NGGT'!J101</f>
        <v>3.6416705098606599</v>
      </c>
      <c r="K99" s="131">
        <f>'17-18 NGGT'!K101-'16-17 NGGT'!K101</f>
        <v>1.1501744138942911</v>
      </c>
      <c r="L99" s="131">
        <f>'17-18 NGGT'!L101-'16-17 NGGT'!L101</f>
        <v>0.55278214024247063</v>
      </c>
      <c r="M99" s="53">
        <f>'17-18 NGGT'!M101-'16-17 NGGT'!M101</f>
        <v>6.8295787281869025E-4</v>
      </c>
      <c r="N99" s="53">
        <f>'17-18 NGGT'!N101-'16-17 NGGT'!N101</f>
        <v>0</v>
      </c>
    </row>
    <row r="100" spans="1:14">
      <c r="C100" s="39"/>
      <c r="D100" s="203"/>
      <c r="E100" s="203"/>
      <c r="F100" s="203"/>
      <c r="G100" s="203"/>
      <c r="H100" s="203"/>
      <c r="I100" s="203"/>
      <c r="J100" s="203"/>
      <c r="K100" s="203"/>
      <c r="L100" s="203"/>
      <c r="M100" s="53"/>
      <c r="N100" s="53"/>
    </row>
    <row r="101" spans="1:14">
      <c r="A101" s="38" t="s">
        <v>409</v>
      </c>
    </row>
    <row r="102" spans="1:14" ht="13.8" thickBot="1">
      <c r="C102" s="38" t="s">
        <v>140</v>
      </c>
    </row>
    <row r="103" spans="1:14" ht="13.8" thickBot="1">
      <c r="C103" s="7" t="s">
        <v>58</v>
      </c>
      <c r="D103" s="8" t="s">
        <v>59</v>
      </c>
      <c r="E103" s="8" t="s">
        <v>60</v>
      </c>
      <c r="F103" s="8" t="s">
        <v>61</v>
      </c>
      <c r="G103" s="8" t="s">
        <v>62</v>
      </c>
      <c r="H103" s="8" t="s">
        <v>63</v>
      </c>
      <c r="I103" s="8" t="s">
        <v>64</v>
      </c>
      <c r="J103" s="8" t="s">
        <v>65</v>
      </c>
      <c r="K103" s="8" t="s">
        <v>66</v>
      </c>
    </row>
    <row r="104" spans="1:14">
      <c r="C104" s="22" t="s">
        <v>91</v>
      </c>
      <c r="D104" s="175">
        <f>'17-18 NGGT'!D106-'16-17 NGGT'!D106</f>
        <v>0</v>
      </c>
      <c r="E104" s="175">
        <f>'17-18 NGGT'!E106-'16-17 NGGT'!E106</f>
        <v>5.6429508617138708</v>
      </c>
      <c r="F104" s="175">
        <f>'17-18 NGGT'!F106-'16-17 NGGT'!F106</f>
        <v>6.6009373264769238</v>
      </c>
      <c r="G104" s="175">
        <f>'17-18 NGGT'!G106-'16-17 NGGT'!G106</f>
        <v>2.0155508312582242</v>
      </c>
      <c r="H104" s="175">
        <f>'17-18 NGGT'!H106-'16-17 NGGT'!H106</f>
        <v>1.5250279265383142</v>
      </c>
      <c r="I104" s="175">
        <f>'17-18 NGGT'!I106-'16-17 NGGT'!I106</f>
        <v>-1.096466116891861</v>
      </c>
      <c r="J104" s="175">
        <f>'17-18 NGGT'!J106-'16-17 NGGT'!J106</f>
        <v>-0.92578258887715492</v>
      </c>
      <c r="K104" s="175">
        <f>'17-18 NGGT'!K106-'16-17 NGGT'!K106</f>
        <v>0.12100121852017764</v>
      </c>
    </row>
    <row r="105" spans="1:14">
      <c r="C105" s="10" t="s">
        <v>86</v>
      </c>
      <c r="D105" s="176">
        <f>'17-18 NGGT'!D107-'16-17 NGGT'!D107</f>
        <v>5.6429508617144677</v>
      </c>
      <c r="E105" s="176">
        <f>'17-18 NGGT'!E107-'16-17 NGGT'!E107</f>
        <v>1.2333585339894455</v>
      </c>
      <c r="F105" s="176">
        <f>'17-18 NGGT'!F107-'16-17 NGGT'!F107</f>
        <v>-4.133802291654888</v>
      </c>
      <c r="G105" s="176">
        <f>'17-18 NGGT'!G107-'16-17 NGGT'!G107</f>
        <v>5.2343442682683872E-2</v>
      </c>
      <c r="H105" s="176">
        <f>'17-18 NGGT'!H107-'16-17 NGGT'!H107</f>
        <v>-2.0711500613589919</v>
      </c>
      <c r="I105" s="176">
        <f>'17-18 NGGT'!I107-'16-17 NGGT'!I107</f>
        <v>0.42514892989063924</v>
      </c>
      <c r="J105" s="176">
        <f>'17-18 NGGT'!J107-'16-17 NGGT'!J107</f>
        <v>1.3619847706878829</v>
      </c>
      <c r="K105" s="176">
        <f>'17-18 NGGT'!K107-'16-17 NGGT'!K107</f>
        <v>0.43016523079646163</v>
      </c>
    </row>
    <row r="106" spans="1:14">
      <c r="C106" s="11" t="s">
        <v>87</v>
      </c>
      <c r="D106" s="177">
        <f>'17-18 NGGT'!D108-'16-17 NGGT'!D108</f>
        <v>0</v>
      </c>
      <c r="E106" s="177">
        <f>'17-18 NGGT'!E108-'16-17 NGGT'!E108</f>
        <v>-0.27537206922707469</v>
      </c>
      <c r="F106" s="177">
        <f>'17-18 NGGT'!F108-'16-17 NGGT'!F108</f>
        <v>-0.45158420356335682</v>
      </c>
      <c r="G106" s="177">
        <f>'17-18 NGGT'!G108-'16-17 NGGT'!G108</f>
        <v>-0.5428663474023665</v>
      </c>
      <c r="H106" s="177">
        <f>'17-18 NGGT'!H108-'16-17 NGGT'!H108</f>
        <v>-0.55034398207129698</v>
      </c>
      <c r="I106" s="177">
        <f>'17-18 NGGT'!I108-'16-17 NGGT'!I108</f>
        <v>-0.25446540187718369</v>
      </c>
      <c r="J106" s="177">
        <f>'17-18 NGGT'!J108-'16-17 NGGT'!J108</f>
        <v>-0.31520096329015246</v>
      </c>
      <c r="K106" s="177">
        <f>'17-18 NGGT'!K108-'16-17 NGGT'!K108</f>
        <v>-0.50977021624555618</v>
      </c>
    </row>
    <row r="107" spans="1:14" ht="13.8" thickBot="1">
      <c r="C107" s="13" t="s">
        <v>94</v>
      </c>
      <c r="D107" s="178">
        <f>'17-18 NGGT'!D109-'16-17 NGGT'!D109</f>
        <v>5.6429508617138708</v>
      </c>
      <c r="E107" s="178">
        <f>'17-18 NGGT'!E109-'16-17 NGGT'!E109</f>
        <v>6.6009373264769238</v>
      </c>
      <c r="F107" s="178">
        <f>'17-18 NGGT'!F109-'16-17 NGGT'!F109</f>
        <v>2.0155508312582242</v>
      </c>
      <c r="G107" s="178">
        <f>'17-18 NGGT'!G109-'16-17 NGGT'!G109</f>
        <v>1.5250279265383142</v>
      </c>
      <c r="H107" s="178">
        <f>'17-18 NGGT'!H109-'16-17 NGGT'!H109</f>
        <v>-1.096466116891861</v>
      </c>
      <c r="I107" s="178">
        <f>'17-18 NGGT'!I109-'16-17 NGGT'!I109</f>
        <v>-0.92578258887715492</v>
      </c>
      <c r="J107" s="178">
        <f>'17-18 NGGT'!J109-'16-17 NGGT'!J109</f>
        <v>0.12100121852017764</v>
      </c>
      <c r="K107" s="178">
        <f>'17-18 NGGT'!K109-'16-17 NGGT'!K109</f>
        <v>4.139623307128204E-2</v>
      </c>
    </row>
    <row r="109" spans="1:14" ht="13.8" thickBot="1"/>
    <row r="110" spans="1:14" ht="13.8" thickBot="1">
      <c r="C110" s="7" t="s">
        <v>58</v>
      </c>
      <c r="D110" s="8" t="s">
        <v>59</v>
      </c>
      <c r="E110" s="8" t="s">
        <v>60</v>
      </c>
      <c r="F110" s="8" t="s">
        <v>61</v>
      </c>
      <c r="G110" s="8" t="s">
        <v>62</v>
      </c>
      <c r="H110" s="8" t="s">
        <v>63</v>
      </c>
      <c r="I110" s="8" t="s">
        <v>64</v>
      </c>
      <c r="J110" s="8" t="s">
        <v>65</v>
      </c>
      <c r="K110" s="8" t="s">
        <v>66</v>
      </c>
    </row>
    <row r="111" spans="1:14">
      <c r="C111" s="11" t="s">
        <v>142</v>
      </c>
      <c r="D111" s="171">
        <f>'17-18 NGGT'!D113-'16-17 NGGT'!D113</f>
        <v>0</v>
      </c>
      <c r="E111" s="171">
        <f>'17-18 NGGT'!E113-'16-17 NGGT'!E113</f>
        <v>0</v>
      </c>
      <c r="F111" s="171">
        <f>'17-18 NGGT'!F113-'16-17 NGGT'!F113</f>
        <v>0</v>
      </c>
      <c r="G111" s="171">
        <f>'17-18 NGGT'!G113-'16-17 NGGT'!G113</f>
        <v>0</v>
      </c>
      <c r="H111" s="171">
        <f>'17-18 NGGT'!H113-'16-17 NGGT'!H113</f>
        <v>0</v>
      </c>
      <c r="I111" s="171">
        <f>'17-18 NGGT'!I113-'16-17 NGGT'!I113</f>
        <v>0</v>
      </c>
      <c r="J111" s="171">
        <f>'17-18 NGGT'!J113-'16-17 NGGT'!J113</f>
        <v>0</v>
      </c>
      <c r="K111" s="171">
        <f>'17-18 NGGT'!K113-'16-17 NGGT'!K113</f>
        <v>0</v>
      </c>
    </row>
    <row r="112" spans="1:14" ht="13.8" thickBot="1">
      <c r="C112" s="40" t="s">
        <v>143</v>
      </c>
      <c r="D112" s="174">
        <f>'17-18 NGGT'!D114-'16-17 NGGT'!D114</f>
        <v>0</v>
      </c>
      <c r="E112" s="174">
        <f>'17-18 NGGT'!E114-'16-17 NGGT'!E114</f>
        <v>0</v>
      </c>
      <c r="F112" s="174">
        <f>'17-18 NGGT'!F114-'16-17 NGGT'!F114</f>
        <v>0</v>
      </c>
      <c r="G112" s="174">
        <f>'17-18 NGGT'!G114-'16-17 NGGT'!G114</f>
        <v>0</v>
      </c>
      <c r="H112" s="174">
        <f>'17-18 NGGT'!H114-'16-17 NGGT'!H114</f>
        <v>0</v>
      </c>
      <c r="I112" s="174">
        <f>'17-18 NGGT'!I114-'16-17 NGGT'!I114</f>
        <v>0</v>
      </c>
      <c r="J112" s="174">
        <f>'17-18 NGGT'!J114-'16-17 NGGT'!J114</f>
        <v>0</v>
      </c>
      <c r="K112" s="174">
        <f>'17-18 NGGT'!K114-'16-17 NGGT'!K114</f>
        <v>0</v>
      </c>
    </row>
    <row r="115" spans="1:14" ht="13.8" thickBot="1">
      <c r="C115" s="38" t="s">
        <v>122</v>
      </c>
    </row>
    <row r="116" spans="1:14" ht="13.8" thickBot="1">
      <c r="C116" s="7" t="s">
        <v>58</v>
      </c>
      <c r="D116" s="8" t="s">
        <v>59</v>
      </c>
      <c r="E116" s="8" t="s">
        <v>60</v>
      </c>
      <c r="F116" s="8" t="s">
        <v>61</v>
      </c>
      <c r="G116" s="8" t="s">
        <v>62</v>
      </c>
      <c r="H116" s="8" t="s">
        <v>63</v>
      </c>
      <c r="I116" s="8" t="s">
        <v>64</v>
      </c>
      <c r="J116" s="8" t="s">
        <v>65</v>
      </c>
      <c r="K116" s="8" t="s">
        <v>66</v>
      </c>
    </row>
    <row r="117" spans="1:14">
      <c r="C117" s="22" t="s">
        <v>91</v>
      </c>
      <c r="D117" s="41">
        <f>'17-18 NGGT'!D119-'16-17 NGGT'!D119</f>
        <v>0</v>
      </c>
      <c r="E117" s="41">
        <f>'17-18 NGGT'!E119-'16-17 NGGT'!E119</f>
        <v>1.2431985730138848</v>
      </c>
      <c r="F117" s="41">
        <f>'17-18 NGGT'!F119-'16-17 NGGT'!F119</f>
        <v>2.2991070026059788</v>
      </c>
      <c r="G117" s="41">
        <f>'17-18 NGGT'!G119-'16-17 NGGT'!G119</f>
        <v>3.4634625706646887</v>
      </c>
      <c r="H117" s="41">
        <f>'17-18 NGGT'!H119-'16-17 NGGT'!H119</f>
        <v>2.9451092099510703</v>
      </c>
      <c r="I117" s="41">
        <f>'17-18 NGGT'!I119-'16-17 NGGT'!I119</f>
        <v>0.29578471052687405</v>
      </c>
      <c r="J117" s="41">
        <f>'17-18 NGGT'!J119-'16-17 NGGT'!J119</f>
        <v>0.43863778254642227</v>
      </c>
      <c r="K117" s="41">
        <f>'17-18 NGGT'!K119-'16-17 NGGT'!K119</f>
        <v>1.4575911339502881</v>
      </c>
    </row>
    <row r="118" spans="1:14">
      <c r="C118" s="10" t="s">
        <v>86</v>
      </c>
      <c r="D118" s="42">
        <f>'17-18 NGGT'!D120-'16-17 NGGT'!D120</f>
        <v>1.2431985730138777</v>
      </c>
      <c r="E118" s="42">
        <f>'17-18 NGGT'!E120-'16-17 NGGT'!E120</f>
        <v>1.2335082257369159</v>
      </c>
      <c r="F118" s="42">
        <f>'17-18 NGGT'!F120-'16-17 NGGT'!F120</f>
        <v>1.518170825023109</v>
      </c>
      <c r="G118" s="42">
        <f>'17-18 NGGT'!G120-'16-17 NGGT'!G120</f>
        <v>5.2343442682669661E-2</v>
      </c>
      <c r="H118" s="42">
        <f>'17-18 NGGT'!H120-'16-17 NGGT'!H120</f>
        <v>-2.0711500613589813</v>
      </c>
      <c r="I118" s="42">
        <f>'17-18 NGGT'!I120-'16-17 NGGT'!I120</f>
        <v>0.42514892989063569</v>
      </c>
      <c r="J118" s="42">
        <f>'17-18 NGGT'!J120-'16-17 NGGT'!J120</f>
        <v>1.3619847706878936</v>
      </c>
      <c r="K118" s="42">
        <f>'17-18 NGGT'!K120-'16-17 NGGT'!K120</f>
        <v>0.43016523079646518</v>
      </c>
    </row>
    <row r="119" spans="1:14">
      <c r="C119" s="11" t="s">
        <v>87</v>
      </c>
      <c r="D119" s="43">
        <f>'17-18 NGGT'!D121-'16-17 NGGT'!D121</f>
        <v>0</v>
      </c>
      <c r="E119" s="43">
        <f>'17-18 NGGT'!E121-'16-17 NGGT'!E121</f>
        <v>-0.17759979614483967</v>
      </c>
      <c r="F119" s="43">
        <f>'17-18 NGGT'!F121-'16-17 NGGT'!F121</f>
        <v>-0.35381525696439908</v>
      </c>
      <c r="G119" s="43">
        <f>'17-18 NGGT'!G121-'16-17 NGGT'!G121</f>
        <v>-0.57069680339627382</v>
      </c>
      <c r="H119" s="43">
        <f>'17-18 NGGT'!H121-'16-17 NGGT'!H121</f>
        <v>-0.57817443806522562</v>
      </c>
      <c r="I119" s="43">
        <f>'17-18 NGGT'!I121-'16-17 NGGT'!I121</f>
        <v>-0.28229585787108746</v>
      </c>
      <c r="J119" s="43">
        <f>'17-18 NGGT'!J121-'16-17 NGGT'!J121</f>
        <v>-0.34303141928403136</v>
      </c>
      <c r="K119" s="43">
        <f>'17-18 NGGT'!K121-'16-17 NGGT'!K121</f>
        <v>-0.53760067223944574</v>
      </c>
    </row>
    <row r="120" spans="1:14" ht="13.8" thickBot="1">
      <c r="C120" s="13" t="s">
        <v>94</v>
      </c>
      <c r="D120" s="52">
        <f>'17-18 NGGT'!D122-'16-17 NGGT'!D122</f>
        <v>1.2431985730138848</v>
      </c>
      <c r="E120" s="52">
        <f>'17-18 NGGT'!E122-'16-17 NGGT'!E122</f>
        <v>2.2991070026059788</v>
      </c>
      <c r="F120" s="52">
        <f>'17-18 NGGT'!F122-'16-17 NGGT'!F122</f>
        <v>3.4634625706646887</v>
      </c>
      <c r="G120" s="52">
        <f>'17-18 NGGT'!G122-'16-17 NGGT'!G122</f>
        <v>2.9451092099510703</v>
      </c>
      <c r="H120" s="52">
        <f>'17-18 NGGT'!H122-'16-17 NGGT'!H122</f>
        <v>0.29578471052687405</v>
      </c>
      <c r="I120" s="52">
        <f>'17-18 NGGT'!I122-'16-17 NGGT'!I122</f>
        <v>0.43863778254642227</v>
      </c>
      <c r="J120" s="52">
        <f>'17-18 NGGT'!J122-'16-17 NGGT'!J122</f>
        <v>1.4575911339502881</v>
      </c>
      <c r="K120" s="52">
        <f>'17-18 NGGT'!K122-'16-17 NGGT'!K122</f>
        <v>1.3501556925072862</v>
      </c>
    </row>
    <row r="122" spans="1:14">
      <c r="A122" s="38" t="s">
        <v>402</v>
      </c>
    </row>
    <row r="123" spans="1:14" ht="13.8" thickBot="1">
      <c r="C123" s="38" t="s">
        <v>395</v>
      </c>
    </row>
    <row r="124" spans="1:14" ht="13.8" thickBot="1">
      <c r="C124" s="14" t="s">
        <v>58</v>
      </c>
      <c r="D124" s="15" t="s">
        <v>59</v>
      </c>
      <c r="E124" s="15" t="s">
        <v>60</v>
      </c>
      <c r="F124" s="15" t="s">
        <v>61</v>
      </c>
      <c r="G124" s="15" t="s">
        <v>62</v>
      </c>
      <c r="H124" s="15" t="s">
        <v>63</v>
      </c>
      <c r="I124" s="15" t="s">
        <v>64</v>
      </c>
      <c r="J124" s="15" t="s">
        <v>65</v>
      </c>
      <c r="K124" s="15" t="s">
        <v>66</v>
      </c>
      <c r="L124" s="15" t="s">
        <v>118</v>
      </c>
    </row>
    <row r="125" spans="1:14">
      <c r="C125" s="16"/>
      <c r="D125" s="26"/>
      <c r="E125" s="26"/>
      <c r="F125" s="26"/>
      <c r="G125" s="26"/>
      <c r="H125" s="26"/>
      <c r="I125" s="26"/>
      <c r="J125" s="26"/>
      <c r="K125" s="26"/>
      <c r="L125" s="26"/>
    </row>
    <row r="126" spans="1:14">
      <c r="A126" t="s">
        <v>338</v>
      </c>
      <c r="C126" s="17" t="s">
        <v>119</v>
      </c>
      <c r="D126" s="27">
        <f>'17-18 NGGT'!D128-'16-17 NGGT'!D128</f>
        <v>-6.5612405109050087E-7</v>
      </c>
      <c r="E126" s="27">
        <f>'17-18 NGGT'!E128-'16-17 NGGT'!E128</f>
        <v>5.6854007028093179E-3</v>
      </c>
      <c r="F126" s="27">
        <f>'17-18 NGGT'!F128-'16-17 NGGT'!F128</f>
        <v>4.9485637528022153E-2</v>
      </c>
      <c r="G126" s="27">
        <f>'17-18 NGGT'!G128-'16-17 NGGT'!G128</f>
        <v>5.2980695187379467E-2</v>
      </c>
      <c r="H126" s="27">
        <f>'17-18 NGGT'!H128-'16-17 NGGT'!H128</f>
        <v>-2.0736208097922955</v>
      </c>
      <c r="I126" s="27">
        <f>'17-18 NGGT'!I128-'16-17 NGGT'!I128</f>
        <v>0.35535010391475907</v>
      </c>
      <c r="J126" s="27">
        <f>'17-18 NGGT'!J128-'16-17 NGGT'!J128</f>
        <v>1.0766536613368665</v>
      </c>
      <c r="K126" s="27">
        <f>'17-18 NGGT'!K128-'16-17 NGGT'!K128</f>
        <v>0.3082483789741346</v>
      </c>
      <c r="L126" s="28">
        <f>'17-18 NGGT'!L128-'16-17 NGGT'!L128</f>
        <v>-0.22521758827235772</v>
      </c>
      <c r="N126" s="53">
        <f>'17-18 NGGT'!N128-'16-17 NGGT'!N128</f>
        <v>0</v>
      </c>
    </row>
    <row r="127" spans="1:14">
      <c r="C127" s="18" t="s">
        <v>396</v>
      </c>
      <c r="D127" s="29">
        <f>'17-18 NGGT'!D129-'16-17 NGGT'!D129</f>
        <v>-5.7914302686867813E-7</v>
      </c>
      <c r="E127" s="29">
        <f>'17-18 NGGT'!E129-'16-17 NGGT'!E129</f>
        <v>8.6044977844750292E-3</v>
      </c>
      <c r="F127" s="29">
        <f>'17-18 NGGT'!F129-'16-17 NGGT'!F129</f>
        <v>8.8455463250205923E-2</v>
      </c>
      <c r="G127" s="29">
        <f>'17-18 NGGT'!G129-'16-17 NGGT'!G129</f>
        <v>8.6975033910668742E-2</v>
      </c>
      <c r="H127" s="29">
        <f>'17-18 NGGT'!H129-'16-17 NGGT'!H129</f>
        <v>-3.4642135788680903</v>
      </c>
      <c r="I127" s="29">
        <f>'17-18 NGGT'!I129-'16-17 NGGT'!I129</f>
        <v>0.78141174071261332</v>
      </c>
      <c r="J127" s="29">
        <f>'17-18 NGGT'!J129-'16-17 NGGT'!J129</f>
        <v>2.5650168485238112</v>
      </c>
      <c r="K127" s="29">
        <f>'17-18 NGGT'!K129-'16-17 NGGT'!K129</f>
        <v>0.84192603492014939</v>
      </c>
      <c r="L127" s="30">
        <f>'17-18 NGGT'!L129-'16-17 NGGT'!L129</f>
        <v>0.90817546109087743</v>
      </c>
      <c r="N127" s="53">
        <f>'17-18 NGGT'!N129-'16-17 NGGT'!N129</f>
        <v>0</v>
      </c>
    </row>
    <row r="128" spans="1:14">
      <c r="C128" s="19" t="s">
        <v>71</v>
      </c>
      <c r="D128" s="31">
        <f>'17-18 NGGT'!D130-'16-17 NGGT'!D130</f>
        <v>-1.235267077959179E-6</v>
      </c>
      <c r="E128" s="31">
        <f>'17-18 NGGT'!E130-'16-17 NGGT'!E130</f>
        <v>1.4289898487291453E-2</v>
      </c>
      <c r="F128" s="31">
        <f>'17-18 NGGT'!F130-'16-17 NGGT'!F130</f>
        <v>0.13794110077823518</v>
      </c>
      <c r="G128" s="31">
        <f>'17-18 NGGT'!G130-'16-17 NGGT'!G130</f>
        <v>0.139955729098034</v>
      </c>
      <c r="H128" s="31">
        <f>'17-18 NGGT'!H130-'16-17 NGGT'!H130</f>
        <v>-5.5378343886603858</v>
      </c>
      <c r="I128" s="31">
        <f>'17-18 NGGT'!I130-'16-17 NGGT'!I130</f>
        <v>1.1367618446273582</v>
      </c>
      <c r="J128" s="31">
        <f>'17-18 NGGT'!J130-'16-17 NGGT'!J130</f>
        <v>3.6416705098606741</v>
      </c>
      <c r="K128" s="31">
        <f>'17-18 NGGT'!K130-'16-17 NGGT'!K130</f>
        <v>1.1501744138942769</v>
      </c>
      <c r="L128" s="28">
        <f>'17-18 NGGT'!L130-'16-17 NGGT'!L130</f>
        <v>0.68295787281851972</v>
      </c>
    </row>
    <row r="129" spans="1:16">
      <c r="A129" t="s">
        <v>346</v>
      </c>
      <c r="C129" s="17" t="s">
        <v>121</v>
      </c>
      <c r="D129" s="27">
        <f>'17-18 NGGT'!D131-'16-17 NGGT'!D131</f>
        <v>2.3967751951680327E-2</v>
      </c>
      <c r="E129" s="27">
        <f>'17-18 NGGT'!E131-'16-17 NGGT'!E131</f>
        <v>-1.0041742302650647E-2</v>
      </c>
      <c r="F129" s="27">
        <f>'17-18 NGGT'!F131-'16-17 NGGT'!F131</f>
        <v>10.635931677090511</v>
      </c>
      <c r="G129" s="27">
        <f>'17-18 NGGT'!G131-'16-17 NGGT'!G131</f>
        <v>5.2980695187379467E-2</v>
      </c>
      <c r="H129" s="27">
        <f>'17-18 NGGT'!H131-'16-17 NGGT'!H131</f>
        <v>-2.0736208097922955</v>
      </c>
      <c r="I129" s="27">
        <f>'17-18 NGGT'!I131-'16-17 NGGT'!I131</f>
        <v>0.35535010391475907</v>
      </c>
      <c r="J129" s="27">
        <f>'17-18 NGGT'!J131-'16-17 NGGT'!J131</f>
        <v>1.0766536613368665</v>
      </c>
      <c r="K129" s="27">
        <f>'17-18 NGGT'!K131-'16-17 NGGT'!K131</f>
        <v>0.3082483789741346</v>
      </c>
      <c r="L129" s="28">
        <f>'17-18 NGGT'!L131-'16-17 NGGT'!L131</f>
        <v>10.369469716360385</v>
      </c>
      <c r="N129" s="53"/>
      <c r="P129" s="53"/>
    </row>
    <row r="130" spans="1:16">
      <c r="C130" s="18" t="s">
        <v>387</v>
      </c>
      <c r="D130" s="29">
        <f>'17-18 NGGT'!D132-'16-17 NGGT'!D132</f>
        <v>5.9502610467840569</v>
      </c>
      <c r="E130" s="29">
        <f>'17-18 NGGT'!E132-'16-17 NGGT'!E132</f>
        <v>5.9263094224356507</v>
      </c>
      <c r="F130" s="29">
        <f>'17-18 NGGT'!F132-'16-17 NGGT'!F132</f>
        <v>-3.4502925532493478</v>
      </c>
      <c r="G130" s="29">
        <f>'17-18 NGGT'!G132-'16-17 NGGT'!G132</f>
        <v>8.6975033910668742E-2</v>
      </c>
      <c r="H130" s="29">
        <f>'17-18 NGGT'!H132-'16-17 NGGT'!H132</f>
        <v>-3.4642135788680903</v>
      </c>
      <c r="I130" s="29">
        <f>'17-18 NGGT'!I132-'16-17 NGGT'!I132</f>
        <v>0.78141174071261332</v>
      </c>
      <c r="J130" s="29">
        <f>'17-18 NGGT'!J132-'16-17 NGGT'!J132</f>
        <v>2.5650168485238112</v>
      </c>
      <c r="K130" s="29">
        <f>'17-18 NGGT'!K132-'16-17 NGGT'!K132</f>
        <v>0.84192603492014939</v>
      </c>
      <c r="L130" s="30">
        <f>'17-18 NGGT'!L132-'16-17 NGGT'!L132</f>
        <v>9.237393995169441</v>
      </c>
      <c r="N130" s="53"/>
      <c r="P130" s="53"/>
    </row>
    <row r="131" spans="1:16">
      <c r="C131" s="19" t="s">
        <v>77</v>
      </c>
      <c r="D131" s="31">
        <f>'17-18 NGGT'!D133-'16-17 NGGT'!D133</f>
        <v>5.9742287987357372</v>
      </c>
      <c r="E131" s="31">
        <f>'17-18 NGGT'!E133-'16-17 NGGT'!E133</f>
        <v>5.9162676801330036</v>
      </c>
      <c r="F131" s="31">
        <f>'17-18 NGGT'!F133-'16-17 NGGT'!F133</f>
        <v>7.1856391238411703</v>
      </c>
      <c r="G131" s="31">
        <f>'17-18 NGGT'!G133-'16-17 NGGT'!G133</f>
        <v>0.139955729098034</v>
      </c>
      <c r="H131" s="31">
        <f>'17-18 NGGT'!H133-'16-17 NGGT'!H133</f>
        <v>-5.5378343886603858</v>
      </c>
      <c r="I131" s="31">
        <f>'17-18 NGGT'!I133-'16-17 NGGT'!I133</f>
        <v>1.1367618446273582</v>
      </c>
      <c r="J131" s="31">
        <f>'17-18 NGGT'!J133-'16-17 NGGT'!J133</f>
        <v>3.6416705098606741</v>
      </c>
      <c r="K131" s="31">
        <f>'17-18 NGGT'!K133-'16-17 NGGT'!K133</f>
        <v>1.1501744138942769</v>
      </c>
      <c r="L131" s="28">
        <f>'17-18 NGGT'!L133-'16-17 NGGT'!L133</f>
        <v>19.606863711529854</v>
      </c>
    </row>
    <row r="132" spans="1:16">
      <c r="A132" t="s">
        <v>233</v>
      </c>
      <c r="C132" s="17" t="s">
        <v>388</v>
      </c>
      <c r="D132" s="27">
        <f>'17-18 NGGT'!D134-'16-17 NGGT'!D134</f>
        <v>1.3335366129282988E-2</v>
      </c>
      <c r="E132" s="27">
        <f>'17-18 NGGT'!E134-'16-17 NGGT'!E134</f>
        <v>-3.0651816654305719E-3</v>
      </c>
      <c r="F132" s="27">
        <f>'17-18 NGGT'!F134-'16-17 NGGT'!F134</f>
        <v>5.939784213940591</v>
      </c>
      <c r="G132" s="27">
        <f>'17-18 NGGT'!G134-'16-17 NGGT'!G134</f>
        <v>5.2980695187379467E-2</v>
      </c>
      <c r="H132" s="27">
        <f>'17-18 NGGT'!H134-'16-17 NGGT'!H134</f>
        <v>-2.0736208097922955</v>
      </c>
      <c r="I132" s="27">
        <f>'17-18 NGGT'!I134-'16-17 NGGT'!I134</f>
        <v>0.35535010391475907</v>
      </c>
      <c r="J132" s="27">
        <f>'17-18 NGGT'!J134-'16-17 NGGT'!J134</f>
        <v>1.0766536613368665</v>
      </c>
      <c r="K132" s="27">
        <f>'17-18 NGGT'!K134-'16-17 NGGT'!K134</f>
        <v>0.3082483789741346</v>
      </c>
      <c r="L132" s="28">
        <f>'17-18 NGGT'!L134-'16-17 NGGT'!L134</f>
        <v>5.6696664280253515</v>
      </c>
      <c r="N132" s="53"/>
      <c r="P132" s="53"/>
    </row>
    <row r="133" spans="1:16">
      <c r="C133" s="18" t="s">
        <v>389</v>
      </c>
      <c r="D133" s="29">
        <f>'17-18 NGGT'!D135-'16-17 NGGT'!D135</f>
        <v>3.3107249895228037</v>
      </c>
      <c r="E133" s="29">
        <f>'17-18 NGGT'!E135-'16-17 NGGT'!E135</f>
        <v>3.3012155178603919</v>
      </c>
      <c r="F133" s="29">
        <f>'17-18 NGGT'!F135-'16-17 NGGT'!F135</f>
        <v>-1.880503933130143</v>
      </c>
      <c r="G133" s="29">
        <f>'17-18 NGGT'!G135-'16-17 NGGT'!G135</f>
        <v>8.6975033910668742E-2</v>
      </c>
      <c r="H133" s="29">
        <f>'17-18 NGGT'!H135-'16-17 NGGT'!H135</f>
        <v>-3.4642135788680903</v>
      </c>
      <c r="I133" s="29">
        <f>'17-18 NGGT'!I135-'16-17 NGGT'!I135</f>
        <v>0.78141174071261332</v>
      </c>
      <c r="J133" s="29">
        <f>'17-18 NGGT'!J135-'16-17 NGGT'!J135</f>
        <v>2.5650168485238112</v>
      </c>
      <c r="K133" s="29">
        <f>'17-18 NGGT'!K135-'16-17 NGGT'!K135</f>
        <v>0.84192603492014939</v>
      </c>
      <c r="L133" s="30">
        <f>'17-18 NGGT'!L135-'16-17 NGGT'!L135</f>
        <v>5.5425526534521623</v>
      </c>
      <c r="N133" s="53"/>
      <c r="P133" s="53"/>
    </row>
    <row r="134" spans="1:16">
      <c r="C134" s="19" t="s">
        <v>78</v>
      </c>
      <c r="D134" s="31">
        <f>'17-18 NGGT'!D136-'16-17 NGGT'!D136</f>
        <v>3.3240603556520796</v>
      </c>
      <c r="E134" s="31">
        <f>'17-18 NGGT'!E136-'16-17 NGGT'!E136</f>
        <v>3.2981503361949649</v>
      </c>
      <c r="F134" s="31">
        <f>'17-18 NGGT'!F136-'16-17 NGGT'!F136</f>
        <v>4.0592802808104551</v>
      </c>
      <c r="G134" s="31">
        <f>'17-18 NGGT'!G136-'16-17 NGGT'!G136</f>
        <v>0.139955729098034</v>
      </c>
      <c r="H134" s="31">
        <f>'17-18 NGGT'!H136-'16-17 NGGT'!H136</f>
        <v>-5.5378343886603858</v>
      </c>
      <c r="I134" s="31">
        <f>'17-18 NGGT'!I136-'16-17 NGGT'!I136</f>
        <v>1.1367618446273582</v>
      </c>
      <c r="J134" s="31">
        <f>'17-18 NGGT'!J136-'16-17 NGGT'!J136</f>
        <v>3.6416705098606741</v>
      </c>
      <c r="K134" s="31">
        <f>'17-18 NGGT'!K136-'16-17 NGGT'!K136</f>
        <v>1.1501744138942769</v>
      </c>
      <c r="L134" s="28">
        <f>'17-18 NGGT'!L136-'16-17 NGGT'!L136</f>
        <v>11.212219081477542</v>
      </c>
    </row>
    <row r="135" spans="1:16">
      <c r="C135" s="20"/>
      <c r="D135" s="32"/>
      <c r="E135" s="32"/>
      <c r="F135" s="32"/>
      <c r="G135" s="32"/>
      <c r="H135" s="32"/>
      <c r="I135" s="32"/>
      <c r="J135" s="32"/>
      <c r="K135" s="32"/>
      <c r="L135" s="33"/>
    </row>
    <row r="136" spans="1:16">
      <c r="C136" s="17" t="s">
        <v>79</v>
      </c>
      <c r="D136" s="27">
        <f>'17-18 NGGT'!D138-'16-17 NGGT'!D138</f>
        <v>2.0808617826382019</v>
      </c>
      <c r="E136" s="27">
        <f>'17-18 NGGT'!E138-'16-17 NGGT'!E138</f>
        <v>2.0646421104580526</v>
      </c>
      <c r="F136" s="27">
        <f>'17-18 NGGT'!F138-'16-17 NGGT'!F138</f>
        <v>2.5411094557873497</v>
      </c>
      <c r="G136" s="27">
        <f>'17-18 NGGT'!G138-'16-17 NGGT'!G138</f>
        <v>8.7612286415378549E-2</v>
      </c>
      <c r="H136" s="27">
        <f>'17-18 NGGT'!H138-'16-17 NGGT'!H138</f>
        <v>-3.466684327301401</v>
      </c>
      <c r="I136" s="27">
        <f>'17-18 NGGT'!I138-'16-17 NGGT'!I138</f>
        <v>0.71161291473673316</v>
      </c>
      <c r="J136" s="27">
        <f>'17-18 NGGT'!J138-'16-17 NGGT'!J138</f>
        <v>2.2796857391727841</v>
      </c>
      <c r="K136" s="27">
        <f>'17-18 NGGT'!K138-'16-17 NGGT'!K138</f>
        <v>0.72000918309782946</v>
      </c>
      <c r="L136" s="28">
        <f>'17-18 NGGT'!L138-'16-17 NGGT'!L138</f>
        <v>7.0188491450049924</v>
      </c>
    </row>
    <row r="137" spans="1:16">
      <c r="C137" s="18" t="s">
        <v>80</v>
      </c>
      <c r="D137" s="29">
        <f>'17-18 NGGT'!D139-'16-17 NGGT'!D139</f>
        <v>1.2431985730138777</v>
      </c>
      <c r="E137" s="29">
        <f>'17-18 NGGT'!E139-'16-17 NGGT'!E139</f>
        <v>1.2335082257369159</v>
      </c>
      <c r="F137" s="29">
        <f>'17-18 NGGT'!F139-'16-17 NGGT'!F139</f>
        <v>1.518170825023109</v>
      </c>
      <c r="G137" s="29">
        <f>'17-18 NGGT'!G139-'16-17 NGGT'!G139</f>
        <v>5.2343442682669661E-2</v>
      </c>
      <c r="H137" s="29">
        <f>'17-18 NGGT'!H139-'16-17 NGGT'!H139</f>
        <v>-2.0711500613589813</v>
      </c>
      <c r="I137" s="29">
        <f>'17-18 NGGT'!I139-'16-17 NGGT'!I139</f>
        <v>0.42514892989063569</v>
      </c>
      <c r="J137" s="29">
        <f>'17-18 NGGT'!J139-'16-17 NGGT'!J139</f>
        <v>1.3619847706878936</v>
      </c>
      <c r="K137" s="29">
        <f>'17-18 NGGT'!K139-'16-17 NGGT'!K139</f>
        <v>0.43016523079646518</v>
      </c>
      <c r="L137" s="30">
        <f>'17-18 NGGT'!L139-'16-17 NGGT'!L139</f>
        <v>4.1933699364725783</v>
      </c>
    </row>
    <row r="138" spans="1:16" ht="13.8" thickBot="1">
      <c r="C138" s="21" t="s">
        <v>390</v>
      </c>
      <c r="D138" s="34">
        <f>'17-18 NGGT'!D140-'16-17 NGGT'!D140</f>
        <v>3.3240603556520796</v>
      </c>
      <c r="E138" s="34">
        <f>'17-18 NGGT'!E140-'16-17 NGGT'!E140</f>
        <v>3.2981503361949649</v>
      </c>
      <c r="F138" s="34">
        <f>'17-18 NGGT'!F140-'16-17 NGGT'!F140</f>
        <v>4.0592802808104551</v>
      </c>
      <c r="G138" s="34">
        <f>'17-18 NGGT'!G140-'16-17 NGGT'!G140</f>
        <v>0.13995572909804821</v>
      </c>
      <c r="H138" s="34">
        <f>'17-18 NGGT'!H140-'16-17 NGGT'!H140</f>
        <v>-5.5378343886603858</v>
      </c>
      <c r="I138" s="34">
        <f>'17-18 NGGT'!I140-'16-17 NGGT'!I140</f>
        <v>1.1367618446273724</v>
      </c>
      <c r="J138" s="34">
        <f>'17-18 NGGT'!J140-'16-17 NGGT'!J140</f>
        <v>3.6416705098606741</v>
      </c>
      <c r="K138" s="34">
        <f>'17-18 NGGT'!K140-'16-17 NGGT'!K140</f>
        <v>1.1501744138942911</v>
      </c>
      <c r="L138" s="35">
        <f>'17-18 NGGT'!L140-'16-17 NGGT'!L140</f>
        <v>11.212219081477542</v>
      </c>
    </row>
    <row r="140" spans="1:16" ht="13.8" thickBot="1">
      <c r="A140" s="38" t="s">
        <v>410</v>
      </c>
    </row>
    <row r="141" spans="1:16" ht="13.8" thickBot="1">
      <c r="C141" s="7" t="s">
        <v>58</v>
      </c>
      <c r="D141" s="8" t="s">
        <v>59</v>
      </c>
      <c r="E141" s="8" t="s">
        <v>60</v>
      </c>
      <c r="F141" s="8" t="s">
        <v>61</v>
      </c>
      <c r="G141" s="8" t="s">
        <v>62</v>
      </c>
      <c r="H141" s="8" t="s">
        <v>63</v>
      </c>
      <c r="I141" s="8" t="s">
        <v>64</v>
      </c>
      <c r="J141" s="8" t="s">
        <v>65</v>
      </c>
      <c r="K141" s="8" t="s">
        <v>66</v>
      </c>
    </row>
    <row r="142" spans="1:16">
      <c r="C142" s="10" t="s">
        <v>79</v>
      </c>
      <c r="D142" s="42">
        <f>'17-18 NGGT'!D144-'16-17 NGGT'!D144</f>
        <v>2.0808617826382019</v>
      </c>
      <c r="E142" s="42">
        <f>'17-18 NGGT'!E144-'16-17 NGGT'!E144</f>
        <v>2.0646421104580526</v>
      </c>
      <c r="F142" s="42">
        <f>'17-18 NGGT'!F144-'16-17 NGGT'!F144</f>
        <v>2.5411094557873497</v>
      </c>
      <c r="G142" s="42">
        <f>'17-18 NGGT'!G144-'16-17 NGGT'!G144</f>
        <v>8.7612286415378549E-2</v>
      </c>
      <c r="H142" s="42">
        <f>'17-18 NGGT'!H144-'16-17 NGGT'!H144</f>
        <v>-3.466684327301401</v>
      </c>
      <c r="I142" s="42">
        <f>'17-18 NGGT'!I144-'16-17 NGGT'!I144</f>
        <v>0.71161291473673316</v>
      </c>
      <c r="J142" s="42">
        <f>'17-18 NGGT'!J144-'16-17 NGGT'!J144</f>
        <v>2.2796857391727841</v>
      </c>
      <c r="K142" s="42">
        <f>'17-18 NGGT'!K144-'16-17 NGGT'!K144</f>
        <v>0.72000918309782946</v>
      </c>
    </row>
    <row r="143" spans="1:16">
      <c r="C143" s="11" t="s">
        <v>98</v>
      </c>
      <c r="D143" s="43">
        <f>'17-18 NGGT'!D145-'16-17 NGGT'!D145</f>
        <v>0</v>
      </c>
      <c r="E143" s="43">
        <f>'17-18 NGGT'!E145-'16-17 NGGT'!E145</f>
        <v>0</v>
      </c>
      <c r="F143" s="43">
        <f>'17-18 NGGT'!F145-'16-17 NGGT'!F145</f>
        <v>0</v>
      </c>
      <c r="G143" s="43">
        <f>'17-18 NGGT'!G145-'16-17 NGGT'!G145</f>
        <v>0</v>
      </c>
      <c r="H143" s="43">
        <f>'17-18 NGGT'!H145-'16-17 NGGT'!H145</f>
        <v>0</v>
      </c>
      <c r="I143" s="43">
        <f>'17-18 NGGT'!I145-'16-17 NGGT'!I145</f>
        <v>0</v>
      </c>
      <c r="J143" s="43">
        <f>'17-18 NGGT'!J145-'16-17 NGGT'!J145</f>
        <v>0</v>
      </c>
      <c r="K143" s="43">
        <f>'17-18 NGGT'!K145-'16-17 NGGT'!K145</f>
        <v>0</v>
      </c>
    </row>
    <row r="144" spans="1:16">
      <c r="C144" s="11" t="s">
        <v>100</v>
      </c>
      <c r="D144" s="43">
        <f>'17-18 NGGT'!D146-'16-17 NGGT'!D146</f>
        <v>0</v>
      </c>
      <c r="E144" s="43">
        <f>'17-18 NGGT'!E146-'16-17 NGGT'!E146</f>
        <v>0</v>
      </c>
      <c r="F144" s="43">
        <f>'17-18 NGGT'!F146-'16-17 NGGT'!F146</f>
        <v>0</v>
      </c>
      <c r="G144" s="43">
        <f>'17-18 NGGT'!G146-'16-17 NGGT'!G146</f>
        <v>0</v>
      </c>
      <c r="H144" s="43">
        <f>'17-18 NGGT'!H146-'16-17 NGGT'!H146</f>
        <v>0</v>
      </c>
      <c r="I144" s="43">
        <f>'17-18 NGGT'!I146-'16-17 NGGT'!I146</f>
        <v>0</v>
      </c>
      <c r="J144" s="43">
        <f>'17-18 NGGT'!J146-'16-17 NGGT'!J146</f>
        <v>0</v>
      </c>
      <c r="K144" s="43">
        <f>'17-18 NGGT'!K146-'16-17 NGGT'!K146</f>
        <v>0</v>
      </c>
    </row>
    <row r="145" spans="3:11">
      <c r="C145" s="10" t="s">
        <v>101</v>
      </c>
      <c r="D145" s="42">
        <f>'17-18 NGGT'!D147-'16-17 NGGT'!D147</f>
        <v>0</v>
      </c>
      <c r="E145" s="42">
        <f>'17-18 NGGT'!E147-'16-17 NGGT'!E147</f>
        <v>0</v>
      </c>
      <c r="F145" s="42">
        <f>'17-18 NGGT'!F147-'16-17 NGGT'!F147</f>
        <v>0</v>
      </c>
      <c r="G145" s="42">
        <f>'17-18 NGGT'!G147-'16-17 NGGT'!G147</f>
        <v>0</v>
      </c>
      <c r="H145" s="42">
        <f>'17-18 NGGT'!H147-'16-17 NGGT'!H147</f>
        <v>0</v>
      </c>
      <c r="I145" s="42">
        <f>'17-18 NGGT'!I147-'16-17 NGGT'!I147</f>
        <v>0</v>
      </c>
      <c r="J145" s="42">
        <f>'17-18 NGGT'!J147-'16-17 NGGT'!J147</f>
        <v>0</v>
      </c>
      <c r="K145" s="42">
        <f>'17-18 NGGT'!K147-'16-17 NGGT'!K147</f>
        <v>0</v>
      </c>
    </row>
    <row r="146" spans="3:11">
      <c r="C146" s="11" t="s">
        <v>102</v>
      </c>
      <c r="D146" s="43">
        <f>'17-18 NGGT'!D148-'16-17 NGGT'!D148</f>
        <v>-1.1499738242223461</v>
      </c>
      <c r="E146" s="43">
        <f>'17-18 NGGT'!E148-'16-17 NGGT'!E148</f>
        <v>-0.97075075328861593</v>
      </c>
      <c r="F146" s="43">
        <f>'17-18 NGGT'!F148-'16-17 NGGT'!F148</f>
        <v>0.45728479321275822</v>
      </c>
      <c r="G146" s="43">
        <f>'17-18 NGGT'!G148-'16-17 NGGT'!G148</f>
        <v>0</v>
      </c>
      <c r="H146" s="43">
        <f>'17-18 NGGT'!H148-'16-17 NGGT'!H148</f>
        <v>0</v>
      </c>
      <c r="I146" s="43">
        <f>'17-18 NGGT'!I148-'16-17 NGGT'!I148</f>
        <v>0</v>
      </c>
      <c r="J146" s="43">
        <f>'17-18 NGGT'!J148-'16-17 NGGT'!J148</f>
        <v>-4.0377039198405767E-2</v>
      </c>
      <c r="K146" s="43">
        <f>'17-18 NGGT'!K148-'16-17 NGGT'!K148</f>
        <v>-7.3169374744234905E-2</v>
      </c>
    </row>
    <row r="147" spans="3:11">
      <c r="C147" s="10" t="s">
        <v>103</v>
      </c>
      <c r="D147" s="42">
        <f>'17-18 NGGT'!D149-'16-17 NGGT'!D149</f>
        <v>2.6055059913463907E-2</v>
      </c>
      <c r="E147" s="42">
        <f>'17-18 NGGT'!E149-'16-17 NGGT'!E149</f>
        <v>0.25088205724140877</v>
      </c>
      <c r="F147" s="42">
        <f>'17-18 NGGT'!F149-'16-17 NGGT'!F149</f>
        <v>0.47035330945960396</v>
      </c>
      <c r="G147" s="42">
        <f>'17-18 NGGT'!G149-'16-17 NGGT'!G149</f>
        <v>0.69776253290821089</v>
      </c>
      <c r="H147" s="42">
        <f>'17-18 NGGT'!H149-'16-17 NGGT'!H149</f>
        <v>0.54182104076260984</v>
      </c>
      <c r="I147" s="42">
        <f>'17-18 NGGT'!I149-'16-17 NGGT'!I149</f>
        <v>0.19340035652757948</v>
      </c>
      <c r="J147" s="42">
        <f>'17-18 NGGT'!J149-'16-17 NGGT'!J149</f>
        <v>0.27637749392943078</v>
      </c>
      <c r="K147" s="42">
        <f>'17-18 NGGT'!K149-'16-17 NGGT'!K149</f>
        <v>0.49034654403849487</v>
      </c>
    </row>
    <row r="148" spans="3:11">
      <c r="C148" s="11" t="s">
        <v>104</v>
      </c>
      <c r="D148" s="43">
        <f>'17-18 NGGT'!D150-'16-17 NGGT'!D150</f>
        <v>0</v>
      </c>
      <c r="E148" s="43">
        <f>'17-18 NGGT'!E150-'16-17 NGGT'!E150</f>
        <v>0</v>
      </c>
      <c r="F148" s="43">
        <f>'17-18 NGGT'!F150-'16-17 NGGT'!F150</f>
        <v>0</v>
      </c>
      <c r="G148" s="43">
        <f>'17-18 NGGT'!G150-'16-17 NGGT'!G150</f>
        <v>0</v>
      </c>
      <c r="H148" s="43">
        <f>'17-18 NGGT'!H150-'16-17 NGGT'!H150</f>
        <v>8.8065428771155752E-5</v>
      </c>
      <c r="I148" s="43">
        <f>'17-18 NGGT'!I150-'16-17 NGGT'!I150</f>
        <v>1.8315407548663565E-4</v>
      </c>
      <c r="J148" s="43">
        <f>'17-18 NGGT'!J150-'16-17 NGGT'!J150</f>
        <v>2.856860383865234E-4</v>
      </c>
      <c r="K148" s="43">
        <f>'17-18 NGGT'!K150-'16-17 NGGT'!K150</f>
        <v>3.9610375327425729E-4</v>
      </c>
    </row>
    <row r="149" spans="3:11">
      <c r="C149" s="12" t="s">
        <v>105</v>
      </c>
      <c r="D149" s="50">
        <f>'17-18 NGGT'!D151-'16-17 NGGT'!D151</f>
        <v>0.95694301832932638</v>
      </c>
      <c r="E149" s="50">
        <f>'17-18 NGGT'!E151-'16-17 NGGT'!E151</f>
        <v>1.3447734144108452</v>
      </c>
      <c r="F149" s="50">
        <f>'17-18 NGGT'!F151-'16-17 NGGT'!F151</f>
        <v>3.4687475584597109</v>
      </c>
      <c r="G149" s="50">
        <f>'17-18 NGGT'!G151-'16-17 NGGT'!G151</f>
        <v>0.78537481932359299</v>
      </c>
      <c r="H149" s="50">
        <f>'17-18 NGGT'!H151-'16-17 NGGT'!H151</f>
        <v>-2.9247752211100249</v>
      </c>
      <c r="I149" s="50">
        <f>'17-18 NGGT'!I151-'16-17 NGGT'!I151</f>
        <v>0.9051964253397955</v>
      </c>
      <c r="J149" s="50">
        <f>'17-18 NGGT'!J151-'16-17 NGGT'!J151</f>
        <v>2.5159718799421995</v>
      </c>
      <c r="K149" s="50">
        <f>'17-18 NGGT'!K151-'16-17 NGGT'!K151</f>
        <v>1.1375824561453669</v>
      </c>
    </row>
    <row r="150" spans="3:11">
      <c r="C150" s="11" t="s">
        <v>277</v>
      </c>
      <c r="D150" s="43">
        <f>'17-18 NGGT'!D152-'16-17 NGGT'!D152</f>
        <v>0</v>
      </c>
      <c r="E150" s="43">
        <f>'17-18 NGGT'!E152-'16-17 NGGT'!E152</f>
        <v>0</v>
      </c>
      <c r="F150" s="43">
        <f>'17-18 NGGT'!F152-'16-17 NGGT'!F152</f>
        <v>0</v>
      </c>
      <c r="G150" s="43">
        <f>'17-18 NGGT'!G152-'16-17 NGGT'!G152</f>
        <v>0</v>
      </c>
      <c r="H150" s="43">
        <f>'17-18 NGGT'!H152-'16-17 NGGT'!H152</f>
        <v>0</v>
      </c>
      <c r="I150" s="43">
        <f>'17-18 NGGT'!I152-'16-17 NGGT'!I152</f>
        <v>0</v>
      </c>
      <c r="J150" s="43">
        <f>'17-18 NGGT'!J152-'16-17 NGGT'!J152</f>
        <v>0</v>
      </c>
      <c r="K150" s="43">
        <f>'17-18 NGGT'!K152-'16-17 NGGT'!K152</f>
        <v>0</v>
      </c>
    </row>
    <row r="151" spans="3:11" ht="13.8" thickBot="1">
      <c r="C151" s="13" t="s">
        <v>107</v>
      </c>
      <c r="D151" s="52">
        <f>'17-18 NGGT'!D153-'16-17 NGGT'!D153</f>
        <v>0.95694301832932638</v>
      </c>
      <c r="E151" s="52">
        <f>'17-18 NGGT'!E153-'16-17 NGGT'!E153</f>
        <v>1.3447734144108381</v>
      </c>
      <c r="F151" s="52">
        <f>'17-18 NGGT'!F153-'16-17 NGGT'!F153</f>
        <v>3.4687475584597109</v>
      </c>
      <c r="G151" s="52">
        <f>'17-18 NGGT'!G153-'16-17 NGGT'!G153</f>
        <v>0.78537481932357878</v>
      </c>
      <c r="H151" s="52">
        <f>'17-18 NGGT'!H153-'16-17 NGGT'!H153</f>
        <v>-2.9247752211100249</v>
      </c>
      <c r="I151" s="52">
        <f>'17-18 NGGT'!I153-'16-17 NGGT'!I153</f>
        <v>0.9051964253397955</v>
      </c>
      <c r="J151" s="52">
        <f>'17-18 NGGT'!J153-'16-17 NGGT'!J153</f>
        <v>2.5159718799421995</v>
      </c>
      <c r="K151" s="52">
        <f>'17-18 NGGT'!K153-'16-17 NGGT'!K153</f>
        <v>1.1375824561453669</v>
      </c>
    </row>
    <row r="153" spans="3:11">
      <c r="E153" s="53" t="s">
        <v>397</v>
      </c>
      <c r="F153" s="53">
        <f>D151*1.04375*1.0425*1.04144*1.03938+E151*1.0425*1.04144*1.03938+F151*1.04144*1.03938+G151*1.03938+H151</f>
        <v>4.2909102820653775</v>
      </c>
      <c r="G153" s="53" t="s">
        <v>201</v>
      </c>
      <c r="H153" s="53">
        <f>F153-'GT workings 17-18'!H240+'NGGT differences 16-17'!H151+'NGGT differences 15-16'!H151+'NGGT differences 14-15'!H151</f>
        <v>-6.892209759191914E-3</v>
      </c>
      <c r="I153" s="53"/>
      <c r="J153" s="53"/>
      <c r="K153" s="53"/>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tint="0.59999389629810485"/>
  </sheetPr>
  <dimension ref="A1:AM155"/>
  <sheetViews>
    <sheetView topLeftCell="A98" workbookViewId="0">
      <selection activeCell="D114" sqref="D114"/>
    </sheetView>
  </sheetViews>
  <sheetFormatPr defaultRowHeight="13.2"/>
  <cols>
    <col min="2" max="2" width="1.6640625" customWidth="1"/>
    <col min="3" max="3" width="41.109375" customWidth="1"/>
    <col min="4" max="12" width="10.6640625" customWidth="1"/>
    <col min="14" max="14" width="7.5546875" customWidth="1"/>
  </cols>
  <sheetData>
    <row r="1" spans="1:11" ht="13.8" thickBot="1"/>
    <row r="2" spans="1:11" ht="63" thickBot="1">
      <c r="A2" s="38" t="s">
        <v>411</v>
      </c>
      <c r="C2" s="1" t="s">
        <v>384</v>
      </c>
      <c r="D2" s="2" t="s">
        <v>40</v>
      </c>
      <c r="E2" s="47" t="s">
        <v>41</v>
      </c>
      <c r="G2" s="112" t="s">
        <v>362</v>
      </c>
      <c r="H2" s="113" t="str">
        <f>RPI!$B$1</f>
        <v>Updated Oct 2019</v>
      </c>
      <c r="J2" s="224" t="s">
        <v>398</v>
      </c>
      <c r="K2">
        <f>1-0.4436</f>
        <v>0.55640000000000001</v>
      </c>
    </row>
    <row r="3" spans="1:11" ht="15.6" thickBot="1">
      <c r="C3" s="3" t="s">
        <v>42</v>
      </c>
      <c r="D3" s="62">
        <f>'GT workings 18-19'!V15/1000</f>
        <v>4.2275324931260946E-2</v>
      </c>
      <c r="E3" s="63">
        <f>'GT workings 18-19'!L15/1000</f>
        <v>3.4797849634703379E-2</v>
      </c>
    </row>
    <row r="4" spans="1:11" ht="15.6" thickBot="1">
      <c r="C4" s="3" t="s">
        <v>43</v>
      </c>
      <c r="D4" s="62">
        <f>'GT workings 18-19'!V16/1000</f>
        <v>1.1283043918706692</v>
      </c>
      <c r="E4" s="63">
        <f>'GT workings 18-19'!L16/1000</f>
        <v>0.89423407500752217</v>
      </c>
    </row>
    <row r="5" spans="1:11" ht="15.6" thickBot="1">
      <c r="C5" s="4" t="s">
        <v>44</v>
      </c>
      <c r="D5" s="64">
        <f>'GT workings 18-19'!V20/1000</f>
        <v>0.20173661705217469</v>
      </c>
      <c r="E5" s="63">
        <f>'GT workings 18-19'!L20/1000</f>
        <v>0.16008548752424961</v>
      </c>
    </row>
    <row r="6" spans="1:11" ht="15.6" thickBot="1">
      <c r="C6" s="3" t="s">
        <v>408</v>
      </c>
      <c r="D6" s="62">
        <f>'GT workings 18-19'!V21/1000</f>
        <v>0</v>
      </c>
      <c r="E6" s="63">
        <f>'GT workings 18-19'!L21/1000</f>
        <v>0</v>
      </c>
    </row>
    <row r="7" spans="1:11" ht="15.6" thickBot="1">
      <c r="C7" s="4" t="s">
        <v>46</v>
      </c>
      <c r="D7" s="64">
        <f>'GT workings 18-19'!V17/1000</f>
        <v>0.7704305528603258</v>
      </c>
      <c r="E7" s="63">
        <f>'GT workings 18-19'!L17/1000</f>
        <v>0.60703868961485508</v>
      </c>
    </row>
    <row r="8" spans="1:11" ht="16.2" thickBot="1">
      <c r="C8" s="6" t="s">
        <v>48</v>
      </c>
      <c r="D8" s="65">
        <f>SUM(D3:D7)</f>
        <v>2.1427468867144306</v>
      </c>
      <c r="E8" s="66">
        <f>SUM(E3:E7)</f>
        <v>1.6961561017813302</v>
      </c>
    </row>
    <row r="9" spans="1:11" ht="15.6" thickBot="1">
      <c r="C9" s="4" t="s">
        <v>52</v>
      </c>
      <c r="D9" s="64">
        <f>'GT workings 18-19'!V26/1000</f>
        <v>1.1150810844209129</v>
      </c>
      <c r="E9" s="63">
        <f>'GT workings 18-19'!L26/1000</f>
        <v>0.88225987635099723</v>
      </c>
    </row>
    <row r="10" spans="1:11" ht="15.6" thickBot="1">
      <c r="C10" s="3"/>
      <c r="D10" s="62"/>
      <c r="E10" s="63"/>
    </row>
    <row r="11" spans="1:11" ht="15.6" thickBot="1">
      <c r="C11" s="4" t="s">
        <v>49</v>
      </c>
      <c r="D11" s="64">
        <f>'GT workings 18-19'!V8/1000</f>
        <v>0.1866416825678523</v>
      </c>
      <c r="E11" s="63">
        <f>'GT workings 18-19'!L8/1000</f>
        <v>0.15032504731952542</v>
      </c>
    </row>
    <row r="12" spans="1:11" ht="15.6" thickBot="1">
      <c r="C12" s="3" t="s">
        <v>44</v>
      </c>
      <c r="D12" s="62">
        <f>'GT workings 18-19'!V12/1000</f>
        <v>7.5566537857759533E-2</v>
      </c>
      <c r="E12" s="63">
        <f>'GT workings 18-19'!L12/1000</f>
        <v>6.1157279165104945E-2</v>
      </c>
    </row>
    <row r="13" spans="1:11" ht="15.6" thickBot="1">
      <c r="C13" s="4" t="s">
        <v>45</v>
      </c>
      <c r="D13" s="64">
        <f>'GT workings 18-19'!V13/1000</f>
        <v>0.10963342457264363</v>
      </c>
      <c r="E13" s="63">
        <f>'GT workings 18-19'!L13/1000</f>
        <v>8.6178027958814019E-2</v>
      </c>
    </row>
    <row r="14" spans="1:11" ht="15.6" thickBot="1">
      <c r="C14" s="3" t="s">
        <v>46</v>
      </c>
      <c r="D14" s="62">
        <f>'GT workings 18-19'!V7/1000</f>
        <v>0.3878734949068352</v>
      </c>
      <c r="E14" s="63">
        <f>'GT workings 18-19'!L7/1000</f>
        <v>0.30674480978356433</v>
      </c>
    </row>
    <row r="15" spans="1:11" ht="16.2" thickBot="1">
      <c r="C15" s="5" t="s">
        <v>50</v>
      </c>
      <c r="D15" s="67">
        <f>SUM(D11:D14)</f>
        <v>0.75971513990509065</v>
      </c>
      <c r="E15" s="66">
        <f>SUM(E11:E14)</f>
        <v>0.60440516422700874</v>
      </c>
    </row>
    <row r="16" spans="1:11" ht="15.6" thickBot="1">
      <c r="C16" s="3"/>
      <c r="D16" s="62"/>
      <c r="E16" s="63"/>
    </row>
    <row r="17" spans="1:38" ht="16.2" thickBot="1">
      <c r="C17" s="5" t="s">
        <v>51</v>
      </c>
      <c r="D17" s="67">
        <f>D15+D8</f>
        <v>2.9024620266195211</v>
      </c>
      <c r="E17" s="66">
        <f>E15+E8</f>
        <v>2.300561266008339</v>
      </c>
    </row>
    <row r="18" spans="1:38" ht="16.2" thickBot="1">
      <c r="C18" s="6"/>
      <c r="D18" s="65"/>
      <c r="E18" s="66"/>
    </row>
    <row r="19" spans="1:38" ht="16.2" thickBot="1">
      <c r="C19" s="5" t="s">
        <v>53</v>
      </c>
      <c r="D19" s="67">
        <f>'GT workings 18-19'!N164/1000</f>
        <v>5.3050164815467582</v>
      </c>
      <c r="E19" s="66">
        <f>'GT workings 18-19'!D161/1000</f>
        <v>4.6150603281741756</v>
      </c>
    </row>
    <row r="20" spans="1:38" ht="16.2" thickBot="1">
      <c r="C20" s="6" t="s">
        <v>54</v>
      </c>
      <c r="D20" s="65">
        <f>'GT workings 18-19'!U165/1000</f>
        <v>6.9019336161032712</v>
      </c>
      <c r="E20" s="66">
        <f>'GT workings 18-19'!K162/1000</f>
        <v>4.9229990409957542</v>
      </c>
    </row>
    <row r="24" spans="1:38" ht="13.8" thickBot="1">
      <c r="A24" s="38" t="s">
        <v>399</v>
      </c>
    </row>
    <row r="25" spans="1:38" ht="12.75" customHeight="1" thickBot="1">
      <c r="C25" s="7" t="s">
        <v>58</v>
      </c>
      <c r="D25" s="8" t="s">
        <v>59</v>
      </c>
      <c r="E25" s="8" t="s">
        <v>60</v>
      </c>
      <c r="F25" s="8" t="s">
        <v>61</v>
      </c>
      <c r="G25" s="8" t="s">
        <v>62</v>
      </c>
      <c r="H25" s="8" t="s">
        <v>63</v>
      </c>
      <c r="I25" s="8" t="s">
        <v>64</v>
      </c>
      <c r="J25" s="8" t="s">
        <v>65</v>
      </c>
      <c r="K25" s="8" t="s">
        <v>66</v>
      </c>
      <c r="L25" s="8" t="s">
        <v>67</v>
      </c>
      <c r="S25" s="7" t="s">
        <v>58</v>
      </c>
      <c r="T25" s="8" t="s">
        <v>59</v>
      </c>
      <c r="U25" s="8" t="s">
        <v>60</v>
      </c>
      <c r="V25" s="8" t="s">
        <v>61</v>
      </c>
      <c r="W25" s="8" t="s">
        <v>62</v>
      </c>
      <c r="X25" s="8" t="s">
        <v>63</v>
      </c>
      <c r="Y25" s="8" t="s">
        <v>64</v>
      </c>
      <c r="Z25" s="8" t="s">
        <v>65</v>
      </c>
      <c r="AA25" s="8" t="s">
        <v>66</v>
      </c>
      <c r="AB25" s="8" t="s">
        <v>67</v>
      </c>
      <c r="AD25" s="164" t="s">
        <v>59</v>
      </c>
      <c r="AE25" s="164" t="s">
        <v>60</v>
      </c>
      <c r="AF25" s="164" t="s">
        <v>61</v>
      </c>
      <c r="AG25" s="164" t="s">
        <v>62</v>
      </c>
      <c r="AH25" s="164" t="s">
        <v>63</v>
      </c>
      <c r="AI25" s="164" t="s">
        <v>64</v>
      </c>
      <c r="AJ25" s="164" t="s">
        <v>65</v>
      </c>
      <c r="AK25" s="164" t="s">
        <v>66</v>
      </c>
      <c r="AL25" s="164" t="s">
        <v>345</v>
      </c>
    </row>
    <row r="26" spans="1:38" ht="12.75" customHeight="1">
      <c r="C26" s="9"/>
      <c r="D26" s="49"/>
      <c r="E26" s="49"/>
      <c r="F26" s="49"/>
      <c r="G26" s="49"/>
      <c r="H26" s="49"/>
      <c r="I26" s="49"/>
      <c r="J26" s="49"/>
      <c r="K26" s="49"/>
      <c r="L26" s="49"/>
      <c r="S26" s="9"/>
      <c r="T26" s="344"/>
      <c r="U26" s="344"/>
      <c r="V26" s="344"/>
      <c r="W26" s="344"/>
      <c r="X26" s="344"/>
      <c r="Y26" s="344"/>
      <c r="Z26" s="344"/>
      <c r="AA26" s="344"/>
      <c r="AB26" s="344"/>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338</v>
      </c>
      <c r="C27" s="10" t="s">
        <v>414</v>
      </c>
      <c r="D27" s="42">
        <f>'GT workings 18-19'!D15</f>
        <v>15.115777414489674</v>
      </c>
      <c r="E27" s="42">
        <f>'GT workings 18-19'!E15</f>
        <v>6.1585183187658412</v>
      </c>
      <c r="F27" s="42">
        <f>'GT workings 18-19'!F15</f>
        <v>1.2279992437177505</v>
      </c>
      <c r="G27" s="42">
        <f>'GT workings 18-19'!G15</f>
        <v>1.0586494644799558</v>
      </c>
      <c r="H27" s="42">
        <f>'GT workings 18-19'!H15</f>
        <v>5.9459563895617578</v>
      </c>
      <c r="I27" s="42">
        <f>'GT workings 18-19'!I15</f>
        <v>5.0594200163138892</v>
      </c>
      <c r="J27" s="42">
        <f>'GT workings 18-19'!J15</f>
        <v>0.23152878737450566</v>
      </c>
      <c r="K27" s="42">
        <f>'GT workings 18-19'!K15</f>
        <v>0</v>
      </c>
      <c r="L27" s="50">
        <f t="shared" ref="L27:L38" si="1">SUM(D27:K27)</f>
        <v>34.797849634703375</v>
      </c>
      <c r="S27" s="10" t="s">
        <v>415</v>
      </c>
      <c r="T27" s="335">
        <v>112</v>
      </c>
      <c r="U27" s="335">
        <v>98</v>
      </c>
      <c r="V27" s="335">
        <v>107</v>
      </c>
      <c r="W27" s="335">
        <v>137</v>
      </c>
      <c r="X27" s="335">
        <v>166</v>
      </c>
      <c r="Y27" s="335">
        <v>85</v>
      </c>
      <c r="Z27" s="335">
        <v>72</v>
      </c>
      <c r="AA27" s="335">
        <v>71</v>
      </c>
      <c r="AB27" s="336">
        <v>846</v>
      </c>
      <c r="AD27" s="42">
        <f t="shared" si="0"/>
        <v>-96.884222585510329</v>
      </c>
      <c r="AE27" s="42">
        <f t="shared" si="0"/>
        <v>-91.841481681234157</v>
      </c>
      <c r="AF27" s="42">
        <f t="shared" si="0"/>
        <v>-105.77200075628225</v>
      </c>
      <c r="AG27" s="42">
        <f t="shared" si="0"/>
        <v>-135.94135053552003</v>
      </c>
      <c r="AH27" s="42">
        <f t="shared" si="0"/>
        <v>-160.05404361043824</v>
      </c>
      <c r="AI27" s="42">
        <f t="shared" si="0"/>
        <v>-79.940579983686106</v>
      </c>
      <c r="AJ27" s="42">
        <f t="shared" si="0"/>
        <v>-71.768471212625499</v>
      </c>
      <c r="AK27" s="42">
        <f t="shared" si="0"/>
        <v>-71</v>
      </c>
      <c r="AL27" s="42">
        <f t="shared" si="0"/>
        <v>-811.20215036529657</v>
      </c>
    </row>
    <row r="28" spans="1:38" ht="12.75" customHeight="1">
      <c r="C28" s="10" t="s">
        <v>416</v>
      </c>
      <c r="D28" s="42">
        <f>'GT workings 18-19'!D16+'GT workings 18-19'!D20</f>
        <v>123.99617020428643</v>
      </c>
      <c r="E28" s="42">
        <f>'GT workings 18-19'!E16+'GT workings 18-19'!E20</f>
        <v>128.05157660065038</v>
      </c>
      <c r="F28" s="42">
        <f>'GT workings 18-19'!F16+'GT workings 18-19'!F20</f>
        <v>125.18777913181741</v>
      </c>
      <c r="G28" s="42">
        <f>'GT workings 18-19'!G16+'GT workings 18-19'!G20</f>
        <v>136.63176996298813</v>
      </c>
      <c r="H28" s="42">
        <f>'GT workings 18-19'!H16+'GT workings 18-19'!H20</f>
        <v>170.30377749210527</v>
      </c>
      <c r="I28" s="42">
        <f>'GT workings 18-19'!I16+'GT workings 18-19'!I20</f>
        <v>150.18295316783582</v>
      </c>
      <c r="J28" s="42">
        <f>'GT workings 18-19'!J16+'GT workings 18-19'!J20</f>
        <v>122.37989371526645</v>
      </c>
      <c r="K28" s="42">
        <f>'GT workings 18-19'!K16+'GT workings 18-19'!K20</f>
        <v>97.58564225682187</v>
      </c>
      <c r="L28" s="50">
        <f t="shared" si="1"/>
        <v>1054.3195625317717</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'GT workings 18-19'!D17+'GT workings 18-19'!D21</f>
        <v>64.482672010544718</v>
      </c>
      <c r="E29" s="43">
        <f>'GT workings 18-19'!E17+'GT workings 18-19'!E21</f>
        <v>65.237874215180156</v>
      </c>
      <c r="F29" s="43">
        <f>'GT workings 18-19'!F17+'GT workings 18-19'!F21</f>
        <v>70.772894725011071</v>
      </c>
      <c r="G29" s="43">
        <f>'GT workings 18-19'!G17+'GT workings 18-19'!G21</f>
        <v>79.368338266410362</v>
      </c>
      <c r="H29" s="43">
        <f>'GT workings 18-19'!H17+'GT workings 18-19'!H21</f>
        <v>84.317479134504765</v>
      </c>
      <c r="I29" s="43">
        <f>'GT workings 18-19'!I17+'GT workings 18-19'!I21</f>
        <v>84.641346358196444</v>
      </c>
      <c r="J29" s="43">
        <f>'GT workings 18-19'!J17+'GT workings 18-19'!J21</f>
        <v>80.728014781566515</v>
      </c>
      <c r="K29" s="43">
        <f>'GT workings 18-19'!K17+'GT workings 18-19'!K21</f>
        <v>77.490070123441129</v>
      </c>
      <c r="L29" s="45">
        <f t="shared" si="1"/>
        <v>607.03868961485512</v>
      </c>
      <c r="S29" s="11" t="s">
        <v>417</v>
      </c>
      <c r="T29" s="337">
        <v>90</v>
      </c>
      <c r="U29" s="337">
        <v>89</v>
      </c>
      <c r="V29" s="337">
        <v>92</v>
      </c>
      <c r="W29" s="337">
        <v>92</v>
      </c>
      <c r="X29" s="337">
        <v>94</v>
      </c>
      <c r="Y29" s="337">
        <v>95</v>
      </c>
      <c r="Z29" s="337">
        <v>96</v>
      </c>
      <c r="AA29" s="337">
        <v>96</v>
      </c>
      <c r="AB29" s="338">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71</v>
      </c>
      <c r="D30" s="50">
        <f>SUM(D27:D29)</f>
        <v>203.59461962932082</v>
      </c>
      <c r="E30" s="50">
        <f t="shared" ref="E30:K30" si="2">SUM(E27:E29)</f>
        <v>199.44796913459635</v>
      </c>
      <c r="F30" s="50">
        <f t="shared" si="2"/>
        <v>197.18867310054623</v>
      </c>
      <c r="G30" s="50">
        <f t="shared" si="2"/>
        <v>217.05875769387848</v>
      </c>
      <c r="H30" s="50">
        <f t="shared" si="2"/>
        <v>260.56721301617176</v>
      </c>
      <c r="I30" s="50">
        <f t="shared" si="2"/>
        <v>239.88371954234614</v>
      </c>
      <c r="J30" s="50">
        <f t="shared" si="2"/>
        <v>203.33943728420746</v>
      </c>
      <c r="K30" s="50">
        <f t="shared" si="2"/>
        <v>175.07571238026298</v>
      </c>
      <c r="L30" s="50">
        <f t="shared" si="1"/>
        <v>1696.1561017813301</v>
      </c>
      <c r="S30" s="12" t="s">
        <v>390</v>
      </c>
      <c r="T30" s="336">
        <v>201</v>
      </c>
      <c r="U30" s="336">
        <v>187</v>
      </c>
      <c r="V30" s="336">
        <v>198</v>
      </c>
      <c r="W30" s="336">
        <v>229</v>
      </c>
      <c r="X30" s="336">
        <v>260</v>
      </c>
      <c r="Y30" s="336">
        <v>179</v>
      </c>
      <c r="Z30" s="336">
        <v>167</v>
      </c>
      <c r="AA30" s="336">
        <v>166</v>
      </c>
      <c r="AB30" s="339">
        <v>1588</v>
      </c>
      <c r="AD30" s="50">
        <f t="shared" si="0"/>
        <v>2.5946196293208175</v>
      </c>
      <c r="AE30" s="50">
        <f t="shared" si="0"/>
        <v>12.447969134596349</v>
      </c>
      <c r="AF30" s="50">
        <f t="shared" si="0"/>
        <v>-0.81132689945377479</v>
      </c>
      <c r="AG30" s="50">
        <f t="shared" si="0"/>
        <v>-11.941242306121524</v>
      </c>
      <c r="AH30" s="50">
        <f t="shared" si="0"/>
        <v>0.56721301617176323</v>
      </c>
      <c r="AI30" s="50">
        <f t="shared" si="0"/>
        <v>60.883719542346142</v>
      </c>
      <c r="AJ30" s="50">
        <f t="shared" si="0"/>
        <v>36.339437284207463</v>
      </c>
      <c r="AK30" s="50">
        <f t="shared" si="0"/>
        <v>9.0757123802629849</v>
      </c>
      <c r="AL30" s="50">
        <f t="shared" si="0"/>
        <v>108.15610178133011</v>
      </c>
    </row>
    <row r="31" spans="1:38" ht="12.75" customHeight="1">
      <c r="A31" t="s">
        <v>346</v>
      </c>
      <c r="C31" s="10" t="s">
        <v>74</v>
      </c>
      <c r="D31" s="42">
        <f>'GT workings 18-19'!D38+'GT workings 18-19'!D43</f>
        <v>2.9479763903958496</v>
      </c>
      <c r="E31" s="42">
        <f>'GT workings 18-19'!E38+'GT workings 18-19'!E43</f>
        <v>1.2242742147237491</v>
      </c>
      <c r="F31" s="42">
        <f>'GT workings 18-19'!F38+'GT workings 18-19'!F43</f>
        <v>1.1459568646924614</v>
      </c>
      <c r="G31" s="42">
        <f>'GT workings 18-19'!G38+'GT workings 18-19'!G43</f>
        <v>1.3744988226661936</v>
      </c>
      <c r="H31" s="42">
        <f>'GT workings 18-19'!H38+'GT workings 18-19'!H43</f>
        <v>5.9459563895617578</v>
      </c>
      <c r="I31" s="42">
        <f>'GT workings 18-19'!I38+'GT workings 18-19'!I43</f>
        <v>5.0594200163138892</v>
      </c>
      <c r="J31" s="42">
        <f>'GT workings 18-19'!J38+'GT workings 18-19'!J43</f>
        <v>0.23152878737450566</v>
      </c>
      <c r="K31" s="42">
        <f>'GT workings 18-19'!K38+'GT workings 18-19'!K43</f>
        <v>0</v>
      </c>
      <c r="L31" s="50">
        <f t="shared" si="1"/>
        <v>17.929611485728405</v>
      </c>
      <c r="S31" s="10" t="s">
        <v>415</v>
      </c>
      <c r="T31" s="335">
        <v>112</v>
      </c>
      <c r="U31" s="335">
        <v>98</v>
      </c>
      <c r="V31" s="335">
        <v>107</v>
      </c>
      <c r="W31" s="335">
        <v>137</v>
      </c>
      <c r="X31" s="335">
        <v>166</v>
      </c>
      <c r="Y31" s="335">
        <v>85</v>
      </c>
      <c r="Z31" s="335">
        <v>72</v>
      </c>
      <c r="AA31" s="335">
        <v>71</v>
      </c>
      <c r="AB31" s="336">
        <v>846</v>
      </c>
      <c r="AD31" s="42">
        <f t="shared" si="0"/>
        <v>-109.05202360960415</v>
      </c>
      <c r="AE31" s="42">
        <f t="shared" si="0"/>
        <v>-96.775725785276251</v>
      </c>
      <c r="AF31" s="42">
        <f t="shared" si="0"/>
        <v>-105.85404313530753</v>
      </c>
      <c r="AG31" s="42">
        <f t="shared" si="0"/>
        <v>-135.6255011773338</v>
      </c>
      <c r="AH31" s="42">
        <f t="shared" si="0"/>
        <v>-160.05404361043824</v>
      </c>
      <c r="AI31" s="42">
        <f t="shared" si="0"/>
        <v>-79.940579983686106</v>
      </c>
      <c r="AJ31" s="42">
        <f t="shared" si="0"/>
        <v>-71.768471212625499</v>
      </c>
      <c r="AK31" s="42">
        <f t="shared" si="0"/>
        <v>-71</v>
      </c>
      <c r="AL31" s="42">
        <f t="shared" si="0"/>
        <v>-828.0703885142716</v>
      </c>
    </row>
    <row r="32" spans="1:38" ht="12.75" customHeight="1">
      <c r="C32" s="10" t="s">
        <v>75</v>
      </c>
      <c r="D32" s="42">
        <f>'GT workings 18-19'!D39+'GT workings 18-19'!D44</f>
        <v>115.00604732338277</v>
      </c>
      <c r="E32" s="42">
        <f>'GT workings 18-19'!E39+'GT workings 18-19'!E44</f>
        <v>108.16896855194884</v>
      </c>
      <c r="F32" s="42">
        <f>'GT workings 18-19'!F39+'GT workings 18-19'!F44</f>
        <v>111.19867339890362</v>
      </c>
      <c r="G32" s="42">
        <f>'GT workings 18-19'!G39+'GT workings 18-19'!G44</f>
        <v>137.00495619324161</v>
      </c>
      <c r="H32" s="42">
        <f>'GT workings 18-19'!H39+'GT workings 18-19'!H44</f>
        <v>170.30377749210527</v>
      </c>
      <c r="I32" s="42">
        <f>'GT workings 18-19'!I39+'GT workings 18-19'!I44</f>
        <v>150.18295316783582</v>
      </c>
      <c r="J32" s="42">
        <f>'GT workings 18-19'!J39+'GT workings 18-19'!J44</f>
        <v>122.37989371526645</v>
      </c>
      <c r="K32" s="42">
        <f>'GT workings 18-19'!K39+'GT workings 18-19'!K44</f>
        <v>97.58564225682187</v>
      </c>
      <c r="L32" s="50">
        <f t="shared" si="1"/>
        <v>1011.8309120995062</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'GT workings 18-19'!D40+'GT workings 18-19'!D45</f>
        <v>70.909659135629994</v>
      </c>
      <c r="E33" s="43">
        <f>'GT workings 18-19'!E40+'GT workings 18-19'!E45</f>
        <v>73.18675508063356</v>
      </c>
      <c r="F33" s="43">
        <f>'GT workings 18-19'!F40+'GT workings 18-19'!F45</f>
        <v>74.92750644568207</v>
      </c>
      <c r="G33" s="43">
        <f>'GT workings 18-19'!G40+'GT workings 18-19'!G45</f>
        <v>85.276016852206851</v>
      </c>
      <c r="H33" s="43">
        <f>'GT workings 18-19'!H40+'GT workings 18-19'!H45</f>
        <v>84.317479134504765</v>
      </c>
      <c r="I33" s="43">
        <f>'GT workings 18-19'!I40+'GT workings 18-19'!I45</f>
        <v>84.641346358196444</v>
      </c>
      <c r="J33" s="43">
        <f>'GT workings 18-19'!J40+'GT workings 18-19'!J45</f>
        <v>80.728014781566515</v>
      </c>
      <c r="K33" s="43">
        <f>'GT workings 18-19'!K40+'GT workings 18-19'!K45</f>
        <v>77.490070123441129</v>
      </c>
      <c r="L33" s="45">
        <f t="shared" si="1"/>
        <v>631.47684791186123</v>
      </c>
      <c r="S33" s="11" t="s">
        <v>417</v>
      </c>
      <c r="T33" s="337">
        <v>90</v>
      </c>
      <c r="U33" s="337">
        <v>89</v>
      </c>
      <c r="V33" s="337">
        <v>92</v>
      </c>
      <c r="W33" s="337">
        <v>92</v>
      </c>
      <c r="X33" s="337">
        <v>94</v>
      </c>
      <c r="Y33" s="337">
        <v>95</v>
      </c>
      <c r="Z33" s="337">
        <v>96</v>
      </c>
      <c r="AA33" s="337">
        <v>96</v>
      </c>
      <c r="AB33" s="338">
        <v>743</v>
      </c>
      <c r="AD33" s="43">
        <f t="shared" ref="AD33:AL35" si="3">D33-T33</f>
        <v>-19.090340864370006</v>
      </c>
      <c r="AE33" s="43">
        <f t="shared" si="3"/>
        <v>-15.81324491936644</v>
      </c>
      <c r="AF33" s="43">
        <f t="shared" si="3"/>
        <v>-17.07249355431793</v>
      </c>
      <c r="AG33" s="43">
        <f t="shared" si="3"/>
        <v>-6.7239831477931489</v>
      </c>
      <c r="AH33" s="43">
        <f t="shared" si="3"/>
        <v>-9.6825208654952348</v>
      </c>
      <c r="AI33" s="43">
        <f t="shared" si="3"/>
        <v>-10.358653641803556</v>
      </c>
      <c r="AJ33" s="43">
        <f t="shared" si="3"/>
        <v>-15.271985218433485</v>
      </c>
      <c r="AK33" s="43">
        <f t="shared" si="3"/>
        <v>-18.509929876558871</v>
      </c>
      <c r="AL33" s="43">
        <f t="shared" si="3"/>
        <v>-111.52315208813877</v>
      </c>
    </row>
    <row r="34" spans="1:39" ht="12.75" customHeight="1">
      <c r="C34" s="12" t="s">
        <v>77</v>
      </c>
      <c r="D34" s="50">
        <f t="shared" ref="D34:K34" si="4">SUM(D31:D33)</f>
        <v>188.86368284940863</v>
      </c>
      <c r="E34" s="50">
        <f t="shared" si="4"/>
        <v>182.57999784730615</v>
      </c>
      <c r="F34" s="50">
        <f t="shared" si="4"/>
        <v>187.27213670927816</v>
      </c>
      <c r="G34" s="50">
        <f t="shared" si="4"/>
        <v>223.65547186811466</v>
      </c>
      <c r="H34" s="50">
        <f t="shared" si="4"/>
        <v>260.56721301617176</v>
      </c>
      <c r="I34" s="50">
        <f t="shared" si="4"/>
        <v>239.88371954234614</v>
      </c>
      <c r="J34" s="50">
        <f t="shared" si="4"/>
        <v>203.33943728420746</v>
      </c>
      <c r="K34" s="50">
        <f t="shared" si="4"/>
        <v>175.07571238026298</v>
      </c>
      <c r="L34" s="50">
        <f t="shared" si="1"/>
        <v>1661.2373714970959</v>
      </c>
      <c r="S34" s="12" t="s">
        <v>390</v>
      </c>
      <c r="T34" s="336">
        <v>201</v>
      </c>
      <c r="U34" s="336">
        <v>187</v>
      </c>
      <c r="V34" s="336">
        <v>198</v>
      </c>
      <c r="W34" s="336">
        <v>229</v>
      </c>
      <c r="X34" s="336">
        <v>260</v>
      </c>
      <c r="Y34" s="336">
        <v>179</v>
      </c>
      <c r="Z34" s="336">
        <v>167</v>
      </c>
      <c r="AA34" s="336">
        <v>166</v>
      </c>
      <c r="AB34" s="339">
        <v>1588</v>
      </c>
      <c r="AD34" s="50">
        <f t="shared" si="3"/>
        <v>-12.136317150591367</v>
      </c>
      <c r="AE34" s="50">
        <f t="shared" si="3"/>
        <v>-4.4200021526938542</v>
      </c>
      <c r="AF34" s="50">
        <f t="shared" si="3"/>
        <v>-10.727863290721842</v>
      </c>
      <c r="AG34" s="50">
        <f t="shared" si="3"/>
        <v>-5.3445281318853404</v>
      </c>
      <c r="AH34" s="50">
        <f t="shared" si="3"/>
        <v>0.56721301617176323</v>
      </c>
      <c r="AI34" s="50">
        <f t="shared" si="3"/>
        <v>60.883719542346142</v>
      </c>
      <c r="AJ34" s="50">
        <f t="shared" si="3"/>
        <v>36.339437284207463</v>
      </c>
      <c r="AK34" s="50">
        <f t="shared" si="3"/>
        <v>9.0757123802629849</v>
      </c>
      <c r="AL34" s="50">
        <f t="shared" si="3"/>
        <v>73.237371497095864</v>
      </c>
    </row>
    <row r="35" spans="1:39" ht="12.75" customHeight="1">
      <c r="A35" t="s">
        <v>233</v>
      </c>
      <c r="C35" s="10" t="s">
        <v>418</v>
      </c>
      <c r="D35" s="42">
        <f>D27-(D27-D31)*$K$2</f>
        <v>8.3456129246838699</v>
      </c>
      <c r="E35" s="42">
        <f t="shared" ref="E35:K35" si="5">E27-(E27-E31)*$K$2</f>
        <v>3.4131048992768211</v>
      </c>
      <c r="F35" s="42">
        <f t="shared" si="5"/>
        <v>1.1823508640280795</v>
      </c>
      <c r="G35" s="42">
        <f t="shared" si="5"/>
        <v>1.2343880473747786</v>
      </c>
      <c r="H35" s="42">
        <f t="shared" si="5"/>
        <v>5.9459563895617578</v>
      </c>
      <c r="I35" s="42">
        <f t="shared" si="5"/>
        <v>5.0594200163138892</v>
      </c>
      <c r="J35" s="42">
        <f t="shared" si="5"/>
        <v>0.23152878737450566</v>
      </c>
      <c r="K35" s="42">
        <f t="shared" si="5"/>
        <v>0</v>
      </c>
      <c r="L35" s="50">
        <f t="shared" si="1"/>
        <v>25.412361928613699</v>
      </c>
      <c r="S35" s="10" t="s">
        <v>415</v>
      </c>
      <c r="T35" s="335">
        <v>112</v>
      </c>
      <c r="U35" s="335">
        <v>98</v>
      </c>
      <c r="V35" s="335">
        <v>107</v>
      </c>
      <c r="W35" s="335">
        <v>137</v>
      </c>
      <c r="X35" s="335">
        <v>166</v>
      </c>
      <c r="Y35" s="335">
        <v>85</v>
      </c>
      <c r="Z35" s="335">
        <v>72</v>
      </c>
      <c r="AA35" s="335">
        <v>71</v>
      </c>
      <c r="AB35" s="336">
        <v>846</v>
      </c>
      <c r="AD35" s="42">
        <f t="shared" si="3"/>
        <v>-103.65438707531612</v>
      </c>
      <c r="AE35" s="42">
        <f t="shared" si="3"/>
        <v>-94.586895100723183</v>
      </c>
      <c r="AF35" s="42">
        <f t="shared" si="3"/>
        <v>-105.81764913597192</v>
      </c>
      <c r="AG35" s="42">
        <f t="shared" si="3"/>
        <v>-135.76561195262522</v>
      </c>
      <c r="AH35" s="42">
        <f t="shared" si="3"/>
        <v>-160.05404361043824</v>
      </c>
      <c r="AI35" s="42">
        <f t="shared" si="3"/>
        <v>-79.940579983686106</v>
      </c>
      <c r="AJ35" s="42">
        <f t="shared" si="3"/>
        <v>-71.768471212625499</v>
      </c>
      <c r="AK35" s="42">
        <f t="shared" si="3"/>
        <v>-71</v>
      </c>
      <c r="AL35" s="42">
        <f t="shared" si="3"/>
        <v>-820.58763807138632</v>
      </c>
    </row>
    <row r="36" spans="1:39" ht="12.75" customHeight="1">
      <c r="C36" s="10" t="s">
        <v>419</v>
      </c>
      <c r="D36" s="42">
        <f t="shared" ref="D36:K38" si="6">D28-(D28-D32)*$K$2</f>
        <v>118.99406583335164</v>
      </c>
      <c r="E36" s="42">
        <f t="shared" si="6"/>
        <v>116.98889348235284</v>
      </c>
      <c r="F36" s="42">
        <f t="shared" si="6"/>
        <v>117.40424070202418</v>
      </c>
      <c r="G36" s="42">
        <f t="shared" si="6"/>
        <v>136.83941078150116</v>
      </c>
      <c r="H36" s="42">
        <f t="shared" si="6"/>
        <v>170.30377749210527</v>
      </c>
      <c r="I36" s="42">
        <f t="shared" si="6"/>
        <v>150.18295316783582</v>
      </c>
      <c r="J36" s="42">
        <f t="shared" si="6"/>
        <v>122.37989371526645</v>
      </c>
      <c r="K36" s="42">
        <f t="shared" si="6"/>
        <v>97.58564225682187</v>
      </c>
      <c r="L36" s="50">
        <f t="shared" si="1"/>
        <v>1030.6788774312595</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 t="shared" si="6"/>
        <v>68.058647646942163</v>
      </c>
      <c r="E37" s="43">
        <f t="shared" si="6"/>
        <v>69.660631528718426</v>
      </c>
      <c r="F37" s="43">
        <f t="shared" si="6"/>
        <v>73.084520686392409</v>
      </c>
      <c r="G37" s="43">
        <f t="shared" si="6"/>
        <v>82.655370631547527</v>
      </c>
      <c r="H37" s="43">
        <f t="shared" si="6"/>
        <v>84.317479134504765</v>
      </c>
      <c r="I37" s="43">
        <f t="shared" si="6"/>
        <v>84.641346358196444</v>
      </c>
      <c r="J37" s="43">
        <f t="shared" si="6"/>
        <v>80.728014781566515</v>
      </c>
      <c r="K37" s="43">
        <f t="shared" si="6"/>
        <v>77.490070123441129</v>
      </c>
      <c r="L37" s="45">
        <f t="shared" si="1"/>
        <v>620.63608089130923</v>
      </c>
      <c r="S37" s="11" t="s">
        <v>417</v>
      </c>
      <c r="T37" s="337">
        <v>90</v>
      </c>
      <c r="U37" s="337">
        <v>89</v>
      </c>
      <c r="V37" s="337">
        <v>92</v>
      </c>
      <c r="W37" s="337">
        <v>92</v>
      </c>
      <c r="X37" s="337">
        <v>94</v>
      </c>
      <c r="Y37" s="337">
        <v>95</v>
      </c>
      <c r="Z37" s="337">
        <v>96</v>
      </c>
      <c r="AA37" s="337">
        <v>96</v>
      </c>
      <c r="AB37" s="338">
        <v>743</v>
      </c>
      <c r="AD37" s="43">
        <f t="shared" ref="AD37:AL38" si="7">D37-T37</f>
        <v>-21.941352353057837</v>
      </c>
      <c r="AE37" s="43">
        <f t="shared" si="7"/>
        <v>-19.339368471281574</v>
      </c>
      <c r="AF37" s="43">
        <f t="shared" si="7"/>
        <v>-18.915479313607591</v>
      </c>
      <c r="AG37" s="43">
        <f t="shared" si="7"/>
        <v>-9.3446293684524733</v>
      </c>
      <c r="AH37" s="43">
        <f t="shared" si="7"/>
        <v>-9.6825208654952348</v>
      </c>
      <c r="AI37" s="43">
        <f t="shared" si="7"/>
        <v>-10.358653641803556</v>
      </c>
      <c r="AJ37" s="43">
        <f t="shared" si="7"/>
        <v>-15.271985218433485</v>
      </c>
      <c r="AK37" s="43">
        <f t="shared" si="7"/>
        <v>-18.509929876558871</v>
      </c>
      <c r="AL37" s="43">
        <f t="shared" si="7"/>
        <v>-122.36391910869077</v>
      </c>
    </row>
    <row r="38" spans="1:39" ht="12.75" customHeight="1">
      <c r="C38" s="12" t="s">
        <v>78</v>
      </c>
      <c r="D38" s="50">
        <f t="shared" si="6"/>
        <v>195.39832640497767</v>
      </c>
      <c r="E38" s="50">
        <f t="shared" si="6"/>
        <v>190.06262991034808</v>
      </c>
      <c r="F38" s="50">
        <f t="shared" si="6"/>
        <v>191.67111225244469</v>
      </c>
      <c r="G38" s="50">
        <f t="shared" si="6"/>
        <v>220.72916946042349</v>
      </c>
      <c r="H38" s="50">
        <f t="shared" si="6"/>
        <v>260.56721301617176</v>
      </c>
      <c r="I38" s="50">
        <f t="shared" si="6"/>
        <v>239.88371954234614</v>
      </c>
      <c r="J38" s="50">
        <f t="shared" si="6"/>
        <v>203.33943728420746</v>
      </c>
      <c r="K38" s="50">
        <f t="shared" si="6"/>
        <v>175.07571238026298</v>
      </c>
      <c r="L38" s="50">
        <f t="shared" si="1"/>
        <v>1676.7273202511822</v>
      </c>
      <c r="S38" s="12" t="s">
        <v>390</v>
      </c>
      <c r="T38" s="336">
        <v>201</v>
      </c>
      <c r="U38" s="336">
        <v>187</v>
      </c>
      <c r="V38" s="336">
        <v>198</v>
      </c>
      <c r="W38" s="336">
        <v>229</v>
      </c>
      <c r="X38" s="336">
        <v>260</v>
      </c>
      <c r="Y38" s="336">
        <v>179</v>
      </c>
      <c r="Z38" s="336">
        <v>167</v>
      </c>
      <c r="AA38" s="336">
        <v>166</v>
      </c>
      <c r="AB38" s="339">
        <v>1588</v>
      </c>
      <c r="AD38" s="50">
        <f t="shared" si="7"/>
        <v>-5.6016735950223335</v>
      </c>
      <c r="AE38" s="50">
        <f t="shared" si="7"/>
        <v>3.062629910348079</v>
      </c>
      <c r="AF38" s="50">
        <f t="shared" si="7"/>
        <v>-6.3288877475553136</v>
      </c>
      <c r="AG38" s="50">
        <f t="shared" si="7"/>
        <v>-8.270830539576508</v>
      </c>
      <c r="AH38" s="50">
        <f t="shared" si="7"/>
        <v>0.56721301617176323</v>
      </c>
      <c r="AI38" s="50">
        <f t="shared" si="7"/>
        <v>60.883719542346142</v>
      </c>
      <c r="AJ38" s="50">
        <f t="shared" si="7"/>
        <v>36.339437284207463</v>
      </c>
      <c r="AK38" s="50">
        <f t="shared" si="7"/>
        <v>9.0757123802629849</v>
      </c>
      <c r="AL38" s="50">
        <f t="shared" si="7"/>
        <v>88.727320251182164</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'GT workings 18-19'!D121</f>
        <v>58.241105439791099</v>
      </c>
      <c r="E40" s="43">
        <f>'GT workings 18-19'!E121</f>
        <v>59.757273868015744</v>
      </c>
      <c r="F40" s="43">
        <f>'GT workings 18-19'!F121</f>
        <v>62.721709478395724</v>
      </c>
      <c r="G40" s="43">
        <f>'GT workings 18-19'!G121</f>
        <v>69.704449688059697</v>
      </c>
      <c r="H40" s="43">
        <f>'GT workings 18-19'!H121</f>
        <v>81.360887734117568</v>
      </c>
      <c r="I40" s="43">
        <f>'GT workings 18-19'!I121</f>
        <v>73.764690650501109</v>
      </c>
      <c r="J40" s="43">
        <f>'GT workings 18-19'!J121</f>
        <v>65.089296911713703</v>
      </c>
      <c r="K40" s="43">
        <f>'GT workings 18-19'!K121</f>
        <v>60.038704349459636</v>
      </c>
      <c r="L40" s="45">
        <f>SUM(D40:K40)</f>
        <v>530.67811812005425</v>
      </c>
      <c r="S40" s="11" t="s">
        <v>79</v>
      </c>
      <c r="T40" s="337">
        <v>95</v>
      </c>
      <c r="U40" s="337">
        <v>88</v>
      </c>
      <c r="V40" s="337">
        <v>93</v>
      </c>
      <c r="W40" s="337">
        <v>108</v>
      </c>
      <c r="X40" s="337">
        <v>122</v>
      </c>
      <c r="Y40" s="337">
        <v>84</v>
      </c>
      <c r="Z40" s="337">
        <v>79</v>
      </c>
      <c r="AA40" s="337">
        <v>78</v>
      </c>
      <c r="AB40" s="338">
        <v>747</v>
      </c>
      <c r="AD40" s="43">
        <f t="shared" si="0"/>
        <v>-36.758894560208901</v>
      </c>
      <c r="AE40" s="43">
        <f t="shared" si="0"/>
        <v>-28.242726131984256</v>
      </c>
      <c r="AF40" s="43">
        <f t="shared" si="0"/>
        <v>-30.278290521604276</v>
      </c>
      <c r="AG40" s="43">
        <f t="shared" si="0"/>
        <v>-38.295550311940303</v>
      </c>
      <c r="AH40" s="43">
        <f t="shared" si="0"/>
        <v>-40.639112265882432</v>
      </c>
      <c r="AI40" s="43">
        <f t="shared" si="0"/>
        <v>-10.235309349498891</v>
      </c>
      <c r="AJ40" s="43">
        <f t="shared" si="0"/>
        <v>-13.910703088286297</v>
      </c>
      <c r="AK40" s="43">
        <f t="shared" si="0"/>
        <v>-17.961295650540364</v>
      </c>
      <c r="AL40" s="43">
        <f t="shared" si="0"/>
        <v>-216.32188187994575</v>
      </c>
    </row>
    <row r="41" spans="1:39" ht="12.75" customHeight="1">
      <c r="C41" s="10" t="s">
        <v>80</v>
      </c>
      <c r="D41" s="42">
        <f>'GT workings 18-19'!D122</f>
        <v>105.35750534613895</v>
      </c>
      <c r="E41" s="42">
        <f>'GT workings 18-19'!E122</f>
        <v>108.10023699719704</v>
      </c>
      <c r="F41" s="42">
        <f>'GT workings 18-19'!F122</f>
        <v>113.46286770810914</v>
      </c>
      <c r="G41" s="42">
        <f>'GT workings 18-19'!G122</f>
        <v>126.09456628963611</v>
      </c>
      <c r="H41" s="42">
        <f>'GT workings 18-19'!H122</f>
        <v>147.18093174374081</v>
      </c>
      <c r="I41" s="42">
        <f>'GT workings 18-19'!I122</f>
        <v>133.43949657000763</v>
      </c>
      <c r="J41" s="42">
        <f>'GT workings 18-19'!J122</f>
        <v>117.74580677287535</v>
      </c>
      <c r="K41" s="42">
        <f>'GT workings 18-19'!K122</f>
        <v>108.60934157598879</v>
      </c>
      <c r="L41" s="50">
        <f>SUM(D41:K41)</f>
        <v>959.99075300369373</v>
      </c>
      <c r="S41" s="10" t="s">
        <v>80</v>
      </c>
      <c r="T41" s="335">
        <v>107</v>
      </c>
      <c r="U41" s="335">
        <v>99</v>
      </c>
      <c r="V41" s="335">
        <v>105</v>
      </c>
      <c r="W41" s="335">
        <v>121</v>
      </c>
      <c r="X41" s="335">
        <v>138</v>
      </c>
      <c r="Y41" s="335">
        <v>95</v>
      </c>
      <c r="Z41" s="335">
        <v>89</v>
      </c>
      <c r="AA41" s="335">
        <v>88</v>
      </c>
      <c r="AB41" s="336">
        <v>842</v>
      </c>
      <c r="AD41" s="42">
        <f t="shared" si="0"/>
        <v>-1.6424946538610499</v>
      </c>
      <c r="AE41" s="42">
        <f t="shared" si="0"/>
        <v>9.1002369971970438</v>
      </c>
      <c r="AF41" s="42">
        <f t="shared" si="0"/>
        <v>8.4628677081091439</v>
      </c>
      <c r="AG41" s="42">
        <f t="shared" si="0"/>
        <v>5.0945662896361057</v>
      </c>
      <c r="AH41" s="42">
        <f t="shared" si="0"/>
        <v>9.180931743740814</v>
      </c>
      <c r="AI41" s="42">
        <f t="shared" si="0"/>
        <v>38.439496570007634</v>
      </c>
      <c r="AJ41" s="42">
        <f t="shared" si="0"/>
        <v>28.745806772875355</v>
      </c>
      <c r="AK41" s="42">
        <f t="shared" si="0"/>
        <v>20.609341575988793</v>
      </c>
      <c r="AL41" s="42">
        <f t="shared" si="0"/>
        <v>117.99075300369373</v>
      </c>
    </row>
    <row r="42" spans="1:39" ht="12.75" customHeight="1">
      <c r="C42" s="39" t="s">
        <v>420</v>
      </c>
      <c r="D42" s="45">
        <f>D41+D40</f>
        <v>163.59861078593005</v>
      </c>
      <c r="E42" s="45">
        <f t="shared" ref="E42:L42" si="8">E41+E40</f>
        <v>167.85751086521279</v>
      </c>
      <c r="F42" s="45">
        <f t="shared" si="8"/>
        <v>176.18457718650487</v>
      </c>
      <c r="G42" s="45">
        <f t="shared" si="8"/>
        <v>195.7990159776958</v>
      </c>
      <c r="H42" s="45">
        <f t="shared" si="8"/>
        <v>228.54181947785838</v>
      </c>
      <c r="I42" s="45">
        <f t="shared" si="8"/>
        <v>207.20418722050874</v>
      </c>
      <c r="J42" s="45">
        <f t="shared" si="8"/>
        <v>182.83510368458906</v>
      </c>
      <c r="K42" s="45">
        <f t="shared" si="8"/>
        <v>168.64804592544843</v>
      </c>
      <c r="L42" s="45">
        <f t="shared" si="8"/>
        <v>1490.668871123748</v>
      </c>
      <c r="S42" s="39" t="s">
        <v>421</v>
      </c>
      <c r="T42" s="338">
        <v>201</v>
      </c>
      <c r="U42" s="338">
        <v>187</v>
      </c>
      <c r="V42" s="338">
        <v>198</v>
      </c>
      <c r="W42" s="338">
        <v>229</v>
      </c>
      <c r="X42" s="338">
        <v>260</v>
      </c>
      <c r="Y42" s="338">
        <v>179</v>
      </c>
      <c r="Z42" s="338">
        <v>167</v>
      </c>
      <c r="AA42" s="338">
        <v>166</v>
      </c>
      <c r="AB42" s="340">
        <v>1588</v>
      </c>
      <c r="AD42" s="45">
        <f t="shared" si="0"/>
        <v>-37.401389214069951</v>
      </c>
      <c r="AE42" s="45">
        <f t="shared" si="0"/>
        <v>-19.142489134787212</v>
      </c>
      <c r="AF42" s="45">
        <f t="shared" si="0"/>
        <v>-21.815422813495132</v>
      </c>
      <c r="AG42" s="45">
        <f t="shared" si="0"/>
        <v>-33.200984022304198</v>
      </c>
      <c r="AH42" s="45">
        <f t="shared" si="0"/>
        <v>-31.458180522141618</v>
      </c>
      <c r="AI42" s="45">
        <f t="shared" si="0"/>
        <v>28.204187220508743</v>
      </c>
      <c r="AJ42" s="45">
        <f t="shared" si="0"/>
        <v>15.835103684589058</v>
      </c>
      <c r="AK42" s="45">
        <f t="shared" si="0"/>
        <v>2.6480459254484288</v>
      </c>
      <c r="AL42" s="45">
        <f t="shared" si="0"/>
        <v>-97.331128876252023</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'GT workings 18-19'!D123</f>
        <v>3.179971561904761</v>
      </c>
      <c r="E44" s="43">
        <f>'GT workings 18-19'!E123</f>
        <v>2.2205119045135326</v>
      </c>
      <c r="F44" s="43">
        <f>'GT workings 18-19'!F123</f>
        <v>1.5486535065939773</v>
      </c>
      <c r="G44" s="43">
        <f>'GT workings 18-19'!G123</f>
        <v>2.4930153482727668</v>
      </c>
      <c r="H44" s="43">
        <f>'GT workings 18-19'!H123</f>
        <v>3.2025393538313374</v>
      </c>
      <c r="I44" s="43">
        <f>'GT workings 18-19'!I123</f>
        <v>3.2679532321837392</v>
      </c>
      <c r="J44" s="43">
        <f>'GT workings 18-19'!J123</f>
        <v>2.0504333599618434</v>
      </c>
      <c r="K44" s="43">
        <f>'GT workings 18-19'!K123</f>
        <v>0.64276664548145401</v>
      </c>
      <c r="L44" s="45">
        <f>SUM(D44:K44)</f>
        <v>18.605844912743411</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'GT workings 18-19'!D124</f>
        <v>28.619744057142853</v>
      </c>
      <c r="E45" s="42">
        <f>'GT workings 18-19'!E124</f>
        <v>19.984607140621794</v>
      </c>
      <c r="F45" s="42">
        <f>'GT workings 18-19'!F124</f>
        <v>13.937881559345792</v>
      </c>
      <c r="G45" s="42">
        <f>'GT workings 18-19'!G124</f>
        <v>22.437138134454905</v>
      </c>
      <c r="H45" s="42">
        <f>'GT workings 18-19'!H124</f>
        <v>28.822854184482036</v>
      </c>
      <c r="I45" s="42">
        <f>'GT workings 18-19'!I124</f>
        <v>29.41157908965366</v>
      </c>
      <c r="J45" s="42">
        <f>'GT workings 18-19'!J124</f>
        <v>18.453900239656594</v>
      </c>
      <c r="K45" s="42">
        <f>'GT workings 18-19'!K124</f>
        <v>5.7848998093330914</v>
      </c>
      <c r="L45" s="50">
        <f>SUM(D45:K45)</f>
        <v>167.45260421469075</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D45+D44</f>
        <v>31.799715619047614</v>
      </c>
      <c r="E46" s="45">
        <f t="shared" ref="E46:L46" si="9">E45+E44</f>
        <v>22.205119045135326</v>
      </c>
      <c r="F46" s="45">
        <f t="shared" si="9"/>
        <v>15.486535065939769</v>
      </c>
      <c r="G46" s="45">
        <f t="shared" si="9"/>
        <v>24.930153482727672</v>
      </c>
      <c r="H46" s="45">
        <f t="shared" si="9"/>
        <v>32.025393538313374</v>
      </c>
      <c r="I46" s="45">
        <f t="shared" si="9"/>
        <v>32.679532321837399</v>
      </c>
      <c r="J46" s="45">
        <f t="shared" si="9"/>
        <v>20.504333599618437</v>
      </c>
      <c r="K46" s="45">
        <f t="shared" si="9"/>
        <v>6.4276664548145455</v>
      </c>
      <c r="L46" s="45">
        <f t="shared" si="9"/>
        <v>186.05844912743416</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D41+D45</f>
        <v>133.9772494032818</v>
      </c>
      <c r="E48" s="44">
        <f t="shared" ref="E48:L48" si="10">E41+E45</f>
        <v>128.08484413781883</v>
      </c>
      <c r="F48" s="44">
        <f t="shared" si="10"/>
        <v>127.40074926745494</v>
      </c>
      <c r="G48" s="44">
        <f t="shared" si="10"/>
        <v>148.531704424091</v>
      </c>
      <c r="H48" s="44">
        <f t="shared" si="10"/>
        <v>176.00378592822284</v>
      </c>
      <c r="I48" s="44">
        <f t="shared" si="10"/>
        <v>162.85107565966129</v>
      </c>
      <c r="J48" s="44">
        <f t="shared" si="10"/>
        <v>136.19970701253195</v>
      </c>
      <c r="K48" s="44">
        <f t="shared" si="10"/>
        <v>114.39424138532189</v>
      </c>
      <c r="L48" s="44">
        <f t="shared" si="10"/>
        <v>1127.4433572183846</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-22.022750596718197</v>
      </c>
      <c r="AE48" s="44">
        <f t="shared" si="0"/>
        <v>-64.915155862181166</v>
      </c>
      <c r="AF48" s="44">
        <f t="shared" si="0"/>
        <v>-172.59925073254504</v>
      </c>
      <c r="AG48" s="44">
        <f t="shared" si="0"/>
        <v>-256.468295575909</v>
      </c>
      <c r="AH48" s="44">
        <f t="shared" si="0"/>
        <v>-350.99621407177716</v>
      </c>
      <c r="AI48" s="44">
        <f t="shared" si="0"/>
        <v>-305.14892434033868</v>
      </c>
      <c r="AJ48" s="44">
        <f t="shared" si="0"/>
        <v>-377.80029298746808</v>
      </c>
      <c r="AK48" s="44">
        <f t="shared" si="0"/>
        <v>-437.60575861467811</v>
      </c>
      <c r="AL48" s="44">
        <f t="shared" si="0"/>
        <v>-1986.5566427816154</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'GT workings 18-19'!D135</f>
        <v>4562.0597731988728</v>
      </c>
      <c r="E52" s="41">
        <f>D56</f>
        <v>4632.0654999034932</v>
      </c>
      <c r="F52" s="41">
        <f t="shared" ref="F52:K52" si="11">E56</f>
        <v>4636.8159432230959</v>
      </c>
      <c r="G52" s="41">
        <f t="shared" si="11"/>
        <v>4682.5876068902207</v>
      </c>
      <c r="H52" s="41">
        <f t="shared" si="11"/>
        <v>4785.7344884692056</v>
      </c>
      <c r="I52" s="41">
        <f t="shared" si="11"/>
        <v>4873.2461117633538</v>
      </c>
      <c r="J52" s="41">
        <f t="shared" si="11"/>
        <v>4895.2552698244781</v>
      </c>
      <c r="K52" s="41">
        <f t="shared" si="11"/>
        <v>4868.2364690381974</v>
      </c>
    </row>
    <row r="53" spans="1:14">
      <c r="C53" s="10" t="s">
        <v>86</v>
      </c>
      <c r="D53" s="42">
        <f>'GT workings 18-19'!D136</f>
        <v>216.21706524185402</v>
      </c>
      <c r="E53" s="42">
        <f>'GT workings 18-19'!E136</f>
        <v>154.09386988901005</v>
      </c>
      <c r="F53" s="42">
        <f>'GT workings 18-19'!F136</f>
        <v>196.86666281642141</v>
      </c>
      <c r="G53" s="42">
        <f>'GT workings 18-19'!G136</f>
        <v>256.94395981766854</v>
      </c>
      <c r="H53" s="42">
        <f>'GT workings 18-19'!H136</f>
        <v>245.34583166669134</v>
      </c>
      <c r="I53" s="42">
        <f>'GT workings 18-19'!I136</f>
        <v>183.62276038639232</v>
      </c>
      <c r="J53" s="42">
        <f>'GT workings 18-19'!J136</f>
        <v>137.00257168548552</v>
      </c>
      <c r="K53" s="42">
        <f>'GT workings 18-19'!K136</f>
        <v>114.38648340521722</v>
      </c>
    </row>
    <row r="54" spans="1:14">
      <c r="C54" s="11" t="s">
        <v>92</v>
      </c>
      <c r="D54" s="42">
        <f>'GT workings 18-19'!D167</f>
        <v>-146.2113385372329</v>
      </c>
      <c r="E54" s="42">
        <f>'GT workings 18-19'!E167</f>
        <v>-144.85340732479523</v>
      </c>
      <c r="F54" s="42">
        <f>'GT workings 18-19'!F167</f>
        <v>-143.75882243451284</v>
      </c>
      <c r="G54" s="42">
        <f>'GT workings 18-19'!G167</f>
        <v>-143.62994616195874</v>
      </c>
      <c r="H54" s="42">
        <f>'GT workings 18-19'!H167</f>
        <v>-144.36654415261827</v>
      </c>
      <c r="I54" s="42">
        <f>'GT workings 18-19'!I167</f>
        <v>-144.23491526205314</v>
      </c>
      <c r="J54" s="42">
        <f>'GT workings 18-19'!J167</f>
        <v>-143.02394501567161</v>
      </c>
      <c r="K54" s="42">
        <f>'GT workings 18-19'!K167</f>
        <v>-141.36922321253948</v>
      </c>
    </row>
    <row r="55" spans="1:14">
      <c r="C55" s="10" t="s">
        <v>93</v>
      </c>
      <c r="D55" s="42">
        <f>'GT workings 18-19'!D168</f>
        <v>0</v>
      </c>
      <c r="E55" s="42">
        <f>'GT workings 18-19'!E168</f>
        <v>-4.490019244612089</v>
      </c>
      <c r="F55" s="42">
        <f>'GT workings 18-19'!F168</f>
        <v>-7.3361767147835151</v>
      </c>
      <c r="G55" s="42">
        <f>'GT workings 18-19'!G168</f>
        <v>-10.167132076724632</v>
      </c>
      <c r="H55" s="42">
        <f>'GT workings 18-19'!H168</f>
        <v>-13.467664219924329</v>
      </c>
      <c r="I55" s="42">
        <f>'GT workings 18-19'!I168</f>
        <v>-17.378687063215843</v>
      </c>
      <c r="J55" s="42">
        <f>'GT workings 18-19'!J168</f>
        <v>-20.997427456094879</v>
      </c>
      <c r="K55" s="42">
        <f>'GT workings 18-19'!K168</f>
        <v>-24.02391521237104</v>
      </c>
      <c r="N55" s="132" t="s">
        <v>301</v>
      </c>
    </row>
    <row r="56" spans="1:14" ht="13.8" thickBot="1">
      <c r="C56" s="23" t="s">
        <v>94</v>
      </c>
      <c r="D56" s="44">
        <f>SUM(D52:D55)</f>
        <v>4632.0654999034932</v>
      </c>
      <c r="E56" s="44">
        <f t="shared" ref="E56:K56" si="12">SUM(E52:E55)</f>
        <v>4636.8159432230959</v>
      </c>
      <c r="F56" s="44">
        <f t="shared" si="12"/>
        <v>4682.5876068902207</v>
      </c>
      <c r="G56" s="44">
        <f t="shared" si="12"/>
        <v>4785.7344884692056</v>
      </c>
      <c r="H56" s="44">
        <f t="shared" si="12"/>
        <v>4873.2461117633538</v>
      </c>
      <c r="I56" s="44">
        <f t="shared" si="12"/>
        <v>4895.2552698244781</v>
      </c>
      <c r="J56" s="44">
        <f t="shared" si="12"/>
        <v>4868.2364690381974</v>
      </c>
      <c r="K56" s="44">
        <f t="shared" si="12"/>
        <v>4817.2298140185039</v>
      </c>
      <c r="N56" s="133">
        <f>(K56/D56)^(1/7)-1</f>
        <v>5.6151568757416559E-3</v>
      </c>
    </row>
    <row r="58" spans="1:14">
      <c r="D58" s="53">
        <f>D56-D65-D66</f>
        <v>0</v>
      </c>
      <c r="E58" s="53">
        <f t="shared" ref="E58:K58" si="13">E56-E65-E66</f>
        <v>-6.8212102632969618E-13</v>
      </c>
      <c r="F58" s="53">
        <f t="shared" si="13"/>
        <v>-7.3896444519050419E-13</v>
      </c>
      <c r="G58" s="53">
        <f t="shared" si="13"/>
        <v>-9.6633812063373625E-13</v>
      </c>
      <c r="H58" s="53">
        <f t="shared" si="13"/>
        <v>-1.3358203432289883E-12</v>
      </c>
      <c r="I58" s="53">
        <f t="shared" si="13"/>
        <v>-3.5527136788005009E-14</v>
      </c>
      <c r="J58" s="53">
        <f t="shared" si="13"/>
        <v>7.6794126613322078E-13</v>
      </c>
      <c r="K58" s="53">
        <f t="shared" si="13"/>
        <v>9.0949470177292824E-13</v>
      </c>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'GT workings 18-19'!D59</f>
        <v>4014.3985484751774</v>
      </c>
      <c r="E61" s="41">
        <f>'GT workings 18-19'!E59</f>
        <v>4316.5793304424415</v>
      </c>
      <c r="F61" s="41">
        <f>'GT workings 18-19'!F59</f>
        <v>4304.6142158031844</v>
      </c>
      <c r="G61" s="41">
        <f>'GT workings 18-19'!G59</f>
        <v>4291.0967370209446</v>
      </c>
      <c r="H61" s="41">
        <f>'GT workings 18-19'!H59</f>
        <v>4309.9123480173475</v>
      </c>
      <c r="I61" s="41">
        <f>'GT workings 18-19'!I59</f>
        <v>4803.896308044782</v>
      </c>
      <c r="J61" s="41">
        <f>'GT workings 18-19'!J59</f>
        <v>4874.4758271176424</v>
      </c>
      <c r="K61" s="41">
        <f>'GT workings 18-19'!K59</f>
        <v>4867.4258463851384</v>
      </c>
    </row>
    <row r="62" spans="1:14">
      <c r="C62" s="10" t="s">
        <v>85</v>
      </c>
      <c r="D62" s="42">
        <f>'GT workings 18-19'!D60</f>
        <v>238.90848777994489</v>
      </c>
      <c r="E62" s="42">
        <f>'GT workings 18-19'!E60</f>
        <v>1.5889649604528906</v>
      </c>
      <c r="F62" s="42">
        <f>'GT workings 18-19'!F60</f>
        <v>1.9371656435515117</v>
      </c>
      <c r="G62" s="42">
        <f>'GT workings 18-19'!G60</f>
        <v>14.654700839030934</v>
      </c>
      <c r="H62" s="42">
        <f>'GT workings 18-19'!H60</f>
        <v>475.82214045185901</v>
      </c>
      <c r="I62" s="42">
        <f>'GT workings 18-19'!I60</f>
        <v>69.349803718573156</v>
      </c>
      <c r="J62" s="42">
        <f>'GT workings 18-19'!J60</f>
        <v>20.779442706835688</v>
      </c>
      <c r="K62" s="42">
        <f>'GT workings 18-19'!K60</f>
        <v>0.81062265305823133</v>
      </c>
    </row>
    <row r="63" spans="1:14">
      <c r="C63" s="11" t="s">
        <v>86</v>
      </c>
      <c r="D63" s="43">
        <f>'GT workings 18-19'!D62</f>
        <v>202.05086600754402</v>
      </c>
      <c r="E63" s="43">
        <f>'GT workings 18-19'!E62</f>
        <v>128.07708615771418</v>
      </c>
      <c r="F63" s="43">
        <f>'GT workings 18-19'!F62</f>
        <v>127.39299128735027</v>
      </c>
      <c r="G63" s="43">
        <f>'GT workings 18-19'!G62</f>
        <v>148.52394644398635</v>
      </c>
      <c r="H63" s="43">
        <f>'GT workings 18-19'!H62</f>
        <v>175.99602794811818</v>
      </c>
      <c r="I63" s="43">
        <f>'GT workings 18-19'!I62</f>
        <v>162.84331767955663</v>
      </c>
      <c r="J63" s="43">
        <f>'GT workings 18-19'!J62</f>
        <v>136.19194903242729</v>
      </c>
      <c r="K63" s="43">
        <f>'GT workings 18-19'!K62</f>
        <v>114.38648340521722</v>
      </c>
    </row>
    <row r="64" spans="1:14">
      <c r="C64" s="10" t="s">
        <v>87</v>
      </c>
      <c r="D64" s="42">
        <f>'GT workings 18-19'!D63</f>
        <v>-138.77857182022461</v>
      </c>
      <c r="E64" s="42">
        <f>'GT workings 18-19'!E63</f>
        <v>-141.63116575742444</v>
      </c>
      <c r="F64" s="42">
        <f>'GT workings 18-19'!F63</f>
        <v>-142.84763571314136</v>
      </c>
      <c r="G64" s="42">
        <f>'GT workings 18-19'!G63</f>
        <v>-144.36303628661429</v>
      </c>
      <c r="H64" s="42">
        <f>'GT workings 18-19'!H63</f>
        <v>-157.83420837254261</v>
      </c>
      <c r="I64" s="42">
        <f>'GT workings 18-19'!I63</f>
        <v>-161.61360232526897</v>
      </c>
      <c r="J64" s="42">
        <f>'GT workings 18-19'!J63</f>
        <v>-164.02137247176648</v>
      </c>
      <c r="K64" s="42">
        <f>'GT workings 18-19'!K63</f>
        <v>-165.39313842491052</v>
      </c>
    </row>
    <row r="65" spans="1:14">
      <c r="C65" s="39" t="s">
        <v>94</v>
      </c>
      <c r="D65" s="45">
        <f>SUM(D61:D64)</f>
        <v>4316.5793304424415</v>
      </c>
      <c r="E65" s="45">
        <f t="shared" ref="E65:K65" si="14">SUM(E61:E64)</f>
        <v>4304.6142158031844</v>
      </c>
      <c r="F65" s="45">
        <f t="shared" si="14"/>
        <v>4291.0967370209446</v>
      </c>
      <c r="G65" s="45">
        <f t="shared" si="14"/>
        <v>4309.9123480173475</v>
      </c>
      <c r="H65" s="45">
        <f t="shared" si="14"/>
        <v>4803.896308044782</v>
      </c>
      <c r="I65" s="45">
        <f t="shared" si="14"/>
        <v>4874.4758271176424</v>
      </c>
      <c r="J65" s="45">
        <f t="shared" si="14"/>
        <v>4867.4258463851384</v>
      </c>
      <c r="K65" s="45">
        <f t="shared" si="14"/>
        <v>4817.229814018503</v>
      </c>
    </row>
    <row r="66" spans="1:14">
      <c r="C66" s="10" t="s">
        <v>89</v>
      </c>
      <c r="D66" s="42">
        <f>'GT workings 18-19'!D133</f>
        <v>315.48616946105216</v>
      </c>
      <c r="E66" s="42">
        <f>'GT workings 18-19'!E133</f>
        <v>332.20172741991223</v>
      </c>
      <c r="F66" s="42">
        <f>'GT workings 18-19'!F133</f>
        <v>391.49086986927688</v>
      </c>
      <c r="G66" s="42">
        <f>'GT workings 18-19'!G133</f>
        <v>475.82214045185907</v>
      </c>
      <c r="H66" s="42">
        <f>'GT workings 18-19'!H133</f>
        <v>69.349803718573156</v>
      </c>
      <c r="I66" s="42">
        <f>'GT workings 18-19'!I133</f>
        <v>20.779442706835688</v>
      </c>
      <c r="J66" s="42">
        <f>'GT workings 18-19'!J133</f>
        <v>0.81062265305823133</v>
      </c>
      <c r="K66" s="42">
        <f>'GT workings 18-19'!K133</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'GT workings 18-19'!D75</f>
        <v>61.421077001695863</v>
      </c>
      <c r="E70" s="42">
        <f>'GT workings 18-19'!E75</f>
        <v>61.977785772529273</v>
      </c>
      <c r="F70" s="42">
        <f>'GT workings 18-19'!F75</f>
        <v>64.270362984989703</v>
      </c>
      <c r="G70" s="42">
        <f>'GT workings 18-19'!G75</f>
        <v>72.19746503633246</v>
      </c>
      <c r="H70" s="42">
        <f>'GT workings 18-19'!H75</f>
        <v>84.563427087948909</v>
      </c>
      <c r="I70" s="42">
        <f>'GT workings 18-19'!I75</f>
        <v>77.032643882684852</v>
      </c>
      <c r="J70" s="42">
        <f>'GT workings 18-19'!J75</f>
        <v>67.139730271675546</v>
      </c>
      <c r="K70" s="42">
        <f>'GT workings 18-19'!K75</f>
        <v>60.681470994941087</v>
      </c>
    </row>
    <row r="71" spans="1:14">
      <c r="C71" s="11" t="s">
        <v>98</v>
      </c>
      <c r="D71" s="43">
        <f>'GT workings 18-19'!D76</f>
        <v>110.11544616012048</v>
      </c>
      <c r="E71" s="43">
        <f>'GT workings 18-19'!E76</f>
        <v>110.29121834911521</v>
      </c>
      <c r="F71" s="43">
        <f>'GT workings 18-19'!F76</f>
        <v>110.32860169190292</v>
      </c>
      <c r="G71" s="43">
        <f>'GT workings 18-19'!G76</f>
        <v>110.3596633646699</v>
      </c>
      <c r="H71" s="43">
        <f>'GT workings 18-19'!H76</f>
        <v>110.27343835902431</v>
      </c>
      <c r="I71" s="43">
        <f>'GT workings 18-19'!I76</f>
        <v>110.27662588032852</v>
      </c>
      <c r="J71" s="43">
        <f>'GT workings 18-19'!J76</f>
        <v>110.30420904525512</v>
      </c>
      <c r="K71" s="43">
        <f>'GT workings 18-19'!K76</f>
        <v>110.31067350058066</v>
      </c>
    </row>
    <row r="72" spans="1:14">
      <c r="C72" s="10" t="s">
        <v>99</v>
      </c>
      <c r="D72" s="42">
        <f>'GT workings 18-19'!D145</f>
        <v>40.732299345663577</v>
      </c>
      <c r="E72" s="42">
        <f>'GT workings 18-19'!E145</f>
        <v>41.126253271024638</v>
      </c>
      <c r="F72" s="42">
        <f>'GT workings 18-19'!F145</f>
        <v>64.595975561248082</v>
      </c>
      <c r="G72" s="42">
        <f>'GT workings 18-19'!G145</f>
        <v>65.205446389282784</v>
      </c>
      <c r="H72" s="42">
        <f>'GT workings 18-19'!H145</f>
        <v>65.622359158650369</v>
      </c>
      <c r="I72" s="42">
        <f>'GT workings 18-19'!I145</f>
        <v>41.324563805036327</v>
      </c>
      <c r="J72" s="42">
        <f>'GT workings 18-19'!J145</f>
        <v>41.865524839193789</v>
      </c>
      <c r="K72" s="42">
        <f>'GT workings 18-19'!K145</f>
        <v>42.427143822843135</v>
      </c>
    </row>
    <row r="73" spans="1:14">
      <c r="C73" s="11" t="s">
        <v>100</v>
      </c>
      <c r="D73" s="43">
        <f>'GT workings 18-19'!D79</f>
        <v>0</v>
      </c>
      <c r="E73" s="43">
        <f>'GT workings 18-19'!E79</f>
        <v>0</v>
      </c>
      <c r="F73" s="43">
        <f>'GT workings 18-19'!F79</f>
        <v>0</v>
      </c>
      <c r="G73" s="43">
        <f>'GT workings 18-19'!G79</f>
        <v>0</v>
      </c>
      <c r="H73" s="43">
        <f>'GT workings 18-19'!H79</f>
        <v>0</v>
      </c>
      <c r="I73" s="43">
        <f>'GT workings 18-19'!I79</f>
        <v>0</v>
      </c>
      <c r="J73" s="43">
        <f>'GT workings 18-19'!J79</f>
        <v>0</v>
      </c>
      <c r="K73" s="43">
        <f>'GT workings 18-19'!K79</f>
        <v>0</v>
      </c>
    </row>
    <row r="74" spans="1:14">
      <c r="C74" s="10" t="s">
        <v>101</v>
      </c>
      <c r="D74" s="42">
        <f>'GT workings 18-19'!D80</f>
        <v>-1.1295718210052885</v>
      </c>
      <c r="E74" s="42">
        <f>'GT workings 18-19'!E80</f>
        <v>-1.1444007312827333</v>
      </c>
      <c r="F74" s="42">
        <f>'GT workings 18-19'!F80</f>
        <v>-1.1763817360750841</v>
      </c>
      <c r="G74" s="42">
        <f>'GT workings 18-19'!G80</f>
        <v>-1.5927557463957547</v>
      </c>
      <c r="H74" s="42">
        <f>'GT workings 18-19'!H80</f>
        <v>-1.8565667598967899</v>
      </c>
      <c r="I74" s="42">
        <f>'GT workings 18-19'!I80</f>
        <v>-1.2720416735170972</v>
      </c>
      <c r="J74" s="42">
        <f>'GT workings 18-19'!J80</f>
        <v>-1.1039739947823479</v>
      </c>
      <c r="K74" s="42">
        <f>'GT workings 18-19'!K80</f>
        <v>-1.018311326547777</v>
      </c>
    </row>
    <row r="75" spans="1:14">
      <c r="C75" s="11" t="s">
        <v>102</v>
      </c>
      <c r="D75" s="43">
        <f>'GT workings 18-19'!D82</f>
        <v>8.7100178849101244</v>
      </c>
      <c r="E75" s="43">
        <f>'GT workings 18-19'!E82</f>
        <v>11.1632804138175</v>
      </c>
      <c r="F75" s="43">
        <f>'GT workings 18-19'!F82</f>
        <v>14.153814373274841</v>
      </c>
      <c r="G75" s="43">
        <f>'GT workings 18-19'!G82</f>
        <v>15.057341156206274</v>
      </c>
      <c r="H75" s="43">
        <f>'GT workings 18-19'!H82</f>
        <v>23.300828929159181</v>
      </c>
      <c r="I75" s="43">
        <f>'GT workings 18-19'!I82</f>
        <v>22.452877313481206</v>
      </c>
      <c r="J75" s="43">
        <f>'GT workings 18-19'!J82</f>
        <v>24.33470281924922</v>
      </c>
      <c r="K75" s="43">
        <f>'GT workings 18-19'!K82</f>
        <v>27.3756835117902</v>
      </c>
    </row>
    <row r="76" spans="1:14">
      <c r="C76" s="10" t="s">
        <v>103</v>
      </c>
      <c r="D76" s="42">
        <f>'GT workings 18-19'!D77+'GT workings 18-19'!D78</f>
        <v>322.28689471464406</v>
      </c>
      <c r="E76" s="42">
        <f>'GT workings 18-19'!E77+'GT workings 18-19'!E78</f>
        <v>321.13617688923728</v>
      </c>
      <c r="F76" s="42">
        <f>'GT workings 18-19'!F77+'GT workings 18-19'!F78</f>
        <v>317.44269235978425</v>
      </c>
      <c r="G76" s="42">
        <f>'GT workings 18-19'!G77+'GT workings 18-19'!G78</f>
        <v>314.91519569779041</v>
      </c>
      <c r="H76" s="42">
        <f>'GT workings 18-19'!H77+'GT workings 18-19'!H78</f>
        <v>343.04718275493593</v>
      </c>
      <c r="I76" s="42">
        <f>'GT workings 18-19'!I77+'GT workings 18-19'!I78</f>
        <v>344.31071340036647</v>
      </c>
      <c r="J76" s="42">
        <f>'GT workings 18-19'!J77+'GT workings 18-19'!J78</f>
        <v>347.00906170001008</v>
      </c>
      <c r="K76" s="42">
        <f>'GT workings 18-19'!K77+'GT workings 18-19'!K78</f>
        <v>346.94176074223805</v>
      </c>
    </row>
    <row r="77" spans="1:14">
      <c r="C77" s="11" t="s">
        <v>104</v>
      </c>
      <c r="D77" s="43">
        <f>'GT workings 18-19'!D153</f>
        <v>-9.8631906988581406</v>
      </c>
      <c r="E77" s="43">
        <f>'GT workings 18-19'!E153</f>
        <v>-9.1771263035596125</v>
      </c>
      <c r="F77" s="43">
        <f>'GT workings 18-19'!F153</f>
        <v>-8.9830722247633616</v>
      </c>
      <c r="G77" s="43">
        <f>'GT workings 18-19'!G153</f>
        <v>-8.6817387658381833</v>
      </c>
      <c r="H77" s="43">
        <f>'GT workings 18-19'!H153</f>
        <v>10.426917770256935</v>
      </c>
      <c r="I77" s="43">
        <f>'GT workings 18-19'!I153</f>
        <v>10.939658192608624</v>
      </c>
      <c r="J77" s="43">
        <f>'GT workings 18-19'!J153</f>
        <v>11.471978889838866</v>
      </c>
      <c r="K77" s="43">
        <f>'GT workings 18-19'!K153</f>
        <v>12.024627583694587</v>
      </c>
    </row>
    <row r="78" spans="1:14">
      <c r="C78" s="12" t="s">
        <v>105</v>
      </c>
      <c r="D78" s="50">
        <f>SUM(D70:D77)</f>
        <v>532.27297258717067</v>
      </c>
      <c r="E78" s="50">
        <f t="shared" ref="E78:K78" si="15">SUM(E70:E77)</f>
        <v>535.37318766088151</v>
      </c>
      <c r="F78" s="50">
        <f t="shared" si="15"/>
        <v>560.63199301036138</v>
      </c>
      <c r="G78" s="50">
        <f t="shared" si="15"/>
        <v>567.4606171320479</v>
      </c>
      <c r="H78" s="50">
        <f t="shared" si="15"/>
        <v>635.37758730007886</v>
      </c>
      <c r="I78" s="50">
        <f t="shared" si="15"/>
        <v>605.06504080098887</v>
      </c>
      <c r="J78" s="50">
        <f t="shared" si="15"/>
        <v>601.02123357044024</v>
      </c>
      <c r="K78" s="50">
        <f t="shared" si="15"/>
        <v>598.74304882953993</v>
      </c>
    </row>
    <row r="79" spans="1:14">
      <c r="C79" s="11" t="s">
        <v>106</v>
      </c>
      <c r="D79" s="43">
        <f>'GT workings 18-19'!D89</f>
        <v>3.5</v>
      </c>
      <c r="E79" s="43">
        <f>'GT workings 18-19'!E89</f>
        <v>2.9</v>
      </c>
      <c r="F79" s="43">
        <f>'GT workings 18-19'!F89</f>
        <v>3</v>
      </c>
      <c r="G79" s="43">
        <f>'GT workings 18-19'!G89</f>
        <v>3.1</v>
      </c>
      <c r="H79" s="43">
        <f>'GT workings 18-19'!H89</f>
        <v>3</v>
      </c>
      <c r="I79" s="43">
        <f>'GT workings 18-19'!I89</f>
        <v>3</v>
      </c>
      <c r="J79" s="43">
        <f>'GT workings 18-19'!J89</f>
        <v>3</v>
      </c>
      <c r="K79" s="43">
        <f>'GT workings 18-19'!K89</f>
        <v>3</v>
      </c>
      <c r="N79" s="132" t="s">
        <v>301</v>
      </c>
    </row>
    <row r="80" spans="1:14" ht="13.8" thickBot="1">
      <c r="A80" s="38"/>
      <c r="C80" s="13" t="s">
        <v>107</v>
      </c>
      <c r="D80" s="52">
        <f>D78+D79</f>
        <v>535.77297258717067</v>
      </c>
      <c r="E80" s="52">
        <f t="shared" ref="E80:K80" si="16">E78+E79</f>
        <v>538.27318766088149</v>
      </c>
      <c r="F80" s="52">
        <f t="shared" si="16"/>
        <v>563.63199301036138</v>
      </c>
      <c r="G80" s="52">
        <f t="shared" si="16"/>
        <v>570.56061713204792</v>
      </c>
      <c r="H80" s="52">
        <f t="shared" si="16"/>
        <v>638.37758730007886</v>
      </c>
      <c r="I80" s="52">
        <f t="shared" si="16"/>
        <v>608.06504080098887</v>
      </c>
      <c r="J80" s="52">
        <f t="shared" si="16"/>
        <v>604.02123357044024</v>
      </c>
      <c r="K80" s="52">
        <f t="shared" si="16"/>
        <v>601.74304882953993</v>
      </c>
      <c r="N80" s="133">
        <f>(K80/D80)^(1/7)-1</f>
        <v>1.6726927535992475E-2</v>
      </c>
    </row>
    <row r="82" spans="3:14" ht="13.8" thickBot="1">
      <c r="D82" s="109">
        <f>'GT workings 18-19'!D90-D80</f>
        <v>6.4131688051559195</v>
      </c>
      <c r="E82" s="109">
        <f>'GT workings 18-19'!E90-E80</f>
        <v>15.214135070561269</v>
      </c>
      <c r="F82" s="109">
        <f>'GT workings 18-19'!F90-F80</f>
        <v>-2.7637538847222913</v>
      </c>
      <c r="G82" s="109">
        <f>'GT workings 18-19'!G90-G80</f>
        <v>23.571696655297501</v>
      </c>
      <c r="H82" s="109">
        <f>'GT workings 18-19'!H90-H80</f>
        <v>29.159556059371312</v>
      </c>
      <c r="I82" s="109">
        <f>'GT workings 18-19'!I90-I80</f>
        <v>-78.404380889990421</v>
      </c>
      <c r="J82" s="109">
        <f>'GT workings 18-19'!J90-J80</f>
        <v>20.703235663787041</v>
      </c>
      <c r="K82" s="109">
        <f>'GT workings 18-19'!K90-K80</f>
        <v>21.595081015427581</v>
      </c>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42</v>
      </c>
      <c r="D85" s="126">
        <f>'GT workings 18-19'!D15</f>
        <v>15.115777414489674</v>
      </c>
      <c r="E85" s="126">
        <f>'GT workings 18-19'!E15</f>
        <v>6.1585183187658412</v>
      </c>
      <c r="F85" s="126">
        <f>'GT workings 18-19'!F15</f>
        <v>1.2279992437177505</v>
      </c>
      <c r="G85" s="126">
        <f>'GT workings 18-19'!G15</f>
        <v>1.0586494644799558</v>
      </c>
      <c r="H85" s="126">
        <f>'GT workings 18-19'!H15</f>
        <v>5.9459563895617578</v>
      </c>
      <c r="I85" s="126">
        <f>'GT workings 18-19'!I15</f>
        <v>5.0594200163138892</v>
      </c>
      <c r="J85" s="126">
        <f>'GT workings 18-19'!J15</f>
        <v>0.23152878737450566</v>
      </c>
      <c r="K85" s="126">
        <f>'GT workings 18-19'!K15</f>
        <v>0</v>
      </c>
      <c r="L85" s="126">
        <f>SUM(D85:K85)</f>
        <v>34.797849634703375</v>
      </c>
      <c r="M85" s="53">
        <f t="shared" ref="M85:M90" si="17">E3</f>
        <v>3.4797849634703379E-2</v>
      </c>
      <c r="N85" s="53"/>
    </row>
    <row r="86" spans="3:14">
      <c r="C86" s="17" t="s">
        <v>43</v>
      </c>
      <c r="D86" s="126">
        <f>'GT workings 18-19'!D16</f>
        <v>97.132518315217595</v>
      </c>
      <c r="E86" s="126">
        <f>'GT workings 18-19'!E16</f>
        <v>109.87971241227922</v>
      </c>
      <c r="F86" s="126">
        <f>'GT workings 18-19'!F16</f>
        <v>114.43672637584547</v>
      </c>
      <c r="G86" s="126">
        <f>'GT workings 18-19'!G16</f>
        <v>123.96977718673423</v>
      </c>
      <c r="H86" s="126">
        <f>'GT workings 18-19'!H16</f>
        <v>138.27838395379189</v>
      </c>
      <c r="I86" s="126">
        <f>'GT workings 18-19'!I16</f>
        <v>117.50342084599842</v>
      </c>
      <c r="J86" s="126">
        <f>'GT workings 18-19'!J16</f>
        <v>101.87556011564801</v>
      </c>
      <c r="K86" s="126">
        <f>'GT workings 18-19'!K16</f>
        <v>91.157975802007329</v>
      </c>
      <c r="L86" s="126">
        <f>SUM(D86:K86)</f>
        <v>894.23407500752216</v>
      </c>
      <c r="M86" s="53">
        <f t="shared" si="17"/>
        <v>0.89423407500752217</v>
      </c>
      <c r="N86" s="53"/>
    </row>
    <row r="87" spans="3:14">
      <c r="C87" s="18" t="s">
        <v>44</v>
      </c>
      <c r="D87" s="128">
        <f>'GT workings 18-19'!D20</f>
        <v>26.86365188906883</v>
      </c>
      <c r="E87" s="128">
        <f>'GT workings 18-19'!E20</f>
        <v>18.171864188371163</v>
      </c>
      <c r="F87" s="128">
        <f>'GT workings 18-19'!F20</f>
        <v>10.751052755971946</v>
      </c>
      <c r="G87" s="128">
        <f>'GT workings 18-19'!G20</f>
        <v>12.661992776253896</v>
      </c>
      <c r="H87" s="128">
        <f>'GT workings 18-19'!H20</f>
        <v>32.025393538313374</v>
      </c>
      <c r="I87" s="128">
        <f>'GT workings 18-19'!I20</f>
        <v>32.679532321837399</v>
      </c>
      <c r="J87" s="128">
        <f>'GT workings 18-19'!J20</f>
        <v>20.504333599618437</v>
      </c>
      <c r="K87" s="128">
        <f>'GT workings 18-19'!K20</f>
        <v>6.4276664548145455</v>
      </c>
      <c r="L87" s="128">
        <f t="shared" ref="L87:L101" si="18">SUM(D87:K87)</f>
        <v>160.0854875242496</v>
      </c>
      <c r="M87" s="53">
        <f t="shared" si="17"/>
        <v>0.16008548752424961</v>
      </c>
      <c r="N87" s="53"/>
    </row>
    <row r="88" spans="3:14">
      <c r="C88" s="17" t="s">
        <v>408</v>
      </c>
      <c r="D88" s="126">
        <f>'GT workings 18-19'!D21</f>
        <v>0</v>
      </c>
      <c r="E88" s="126">
        <f>'GT workings 18-19'!E21</f>
        <v>0</v>
      </c>
      <c r="F88" s="126">
        <f>'GT workings 18-19'!F21</f>
        <v>0</v>
      </c>
      <c r="G88" s="126">
        <f>'GT workings 18-19'!G21</f>
        <v>0</v>
      </c>
      <c r="H88" s="126">
        <f>'GT workings 18-19'!H21</f>
        <v>0</v>
      </c>
      <c r="I88" s="126">
        <f>'GT workings 18-19'!I21</f>
        <v>0</v>
      </c>
      <c r="J88" s="126">
        <f>'GT workings 18-19'!J21</f>
        <v>0</v>
      </c>
      <c r="K88" s="126">
        <f>'GT workings 18-19'!K21</f>
        <v>0</v>
      </c>
      <c r="L88" s="126">
        <f t="shared" si="18"/>
        <v>0</v>
      </c>
      <c r="M88" s="53">
        <f t="shared" si="17"/>
        <v>0</v>
      </c>
      <c r="N88" s="53"/>
    </row>
    <row r="89" spans="3:14">
      <c r="C89" s="18" t="s">
        <v>46</v>
      </c>
      <c r="D89" s="127">
        <f>'GT workings 18-19'!D17</f>
        <v>64.482672010544718</v>
      </c>
      <c r="E89" s="127">
        <f>'GT workings 18-19'!E17</f>
        <v>65.237874215180156</v>
      </c>
      <c r="F89" s="127">
        <f>'GT workings 18-19'!F17</f>
        <v>70.772894725011071</v>
      </c>
      <c r="G89" s="127">
        <f>'GT workings 18-19'!G17</f>
        <v>79.368338266410362</v>
      </c>
      <c r="H89" s="127">
        <f>'GT workings 18-19'!H17</f>
        <v>84.317479134504765</v>
      </c>
      <c r="I89" s="127">
        <f>'GT workings 18-19'!I17</f>
        <v>84.641346358196444</v>
      </c>
      <c r="J89" s="127">
        <f>'GT workings 18-19'!J17</f>
        <v>80.728014781566515</v>
      </c>
      <c r="K89" s="127">
        <f>'GT workings 18-19'!K17</f>
        <v>77.490070123441129</v>
      </c>
      <c r="L89" s="127">
        <f t="shared" si="18"/>
        <v>607.03868961485512</v>
      </c>
      <c r="M89" s="53">
        <f t="shared" si="17"/>
        <v>0.60703868961485508</v>
      </c>
      <c r="N89" s="53"/>
    </row>
    <row r="90" spans="3:14">
      <c r="C90" s="18" t="s">
        <v>137</v>
      </c>
      <c r="D90" s="127">
        <f>D38-D30</f>
        <v>-8.196293224343151</v>
      </c>
      <c r="E90" s="127">
        <f t="shared" ref="E90:K90" si="19">E38-E30</f>
        <v>-9.3853392242482698</v>
      </c>
      <c r="F90" s="127">
        <f t="shared" si="19"/>
        <v>-5.5175608481015388</v>
      </c>
      <c r="G90" s="127">
        <f t="shared" si="19"/>
        <v>3.6704117665450156</v>
      </c>
      <c r="H90" s="127">
        <f t="shared" si="19"/>
        <v>0</v>
      </c>
      <c r="I90" s="127">
        <f t="shared" si="19"/>
        <v>0</v>
      </c>
      <c r="J90" s="127">
        <f t="shared" si="19"/>
        <v>0</v>
      </c>
      <c r="K90" s="127">
        <f t="shared" si="19"/>
        <v>0</v>
      </c>
      <c r="L90" s="127">
        <f t="shared" si="18"/>
        <v>-19.428781530147944</v>
      </c>
      <c r="M90" s="53">
        <f t="shared" si="17"/>
        <v>1.6961561017813302</v>
      </c>
      <c r="N90" s="53"/>
    </row>
    <row r="91" spans="3:14">
      <c r="C91" s="19" t="s">
        <v>48</v>
      </c>
      <c r="D91" s="129">
        <f>SUM(D85:D90)</f>
        <v>195.39832640497767</v>
      </c>
      <c r="E91" s="129">
        <f t="shared" ref="E91:K91" si="20">SUM(E85:E90)</f>
        <v>190.06262991034814</v>
      </c>
      <c r="F91" s="129">
        <f t="shared" si="20"/>
        <v>191.67111225244469</v>
      </c>
      <c r="G91" s="129">
        <f t="shared" si="20"/>
        <v>220.72916946042349</v>
      </c>
      <c r="H91" s="129">
        <f t="shared" si="20"/>
        <v>260.56721301617176</v>
      </c>
      <c r="I91" s="129">
        <f t="shared" si="20"/>
        <v>239.88371954234614</v>
      </c>
      <c r="J91" s="129">
        <f t="shared" si="20"/>
        <v>203.33943728420746</v>
      </c>
      <c r="K91" s="129">
        <f t="shared" si="20"/>
        <v>175.07571238026298</v>
      </c>
      <c r="L91" s="129">
        <f t="shared" si="18"/>
        <v>1676.7273202511824</v>
      </c>
      <c r="M91" s="53">
        <f t="shared" ref="M91:M97" si="21">E8</f>
        <v>1.6961561017813302</v>
      </c>
      <c r="N91" s="53"/>
    </row>
    <row r="92" spans="3:14">
      <c r="C92" s="18" t="s">
        <v>52</v>
      </c>
      <c r="D92" s="128">
        <f>'GT workings 18-19'!D26</f>
        <v>110.11544616012048</v>
      </c>
      <c r="E92" s="128">
        <f>'GT workings 18-19'!E26</f>
        <v>110.29121834911521</v>
      </c>
      <c r="F92" s="128">
        <f>'GT workings 18-19'!F26</f>
        <v>110.32860169190292</v>
      </c>
      <c r="G92" s="128">
        <f>'GT workings 18-19'!G26</f>
        <v>110.3596633646699</v>
      </c>
      <c r="H92" s="128">
        <f>'GT workings 18-19'!H26</f>
        <v>110.27343835902431</v>
      </c>
      <c r="I92" s="128">
        <f>'GT workings 18-19'!I26</f>
        <v>110.27662588032852</v>
      </c>
      <c r="J92" s="128">
        <f>'GT workings 18-19'!J26</f>
        <v>110.30420904525512</v>
      </c>
      <c r="K92" s="128">
        <f>'GT workings 18-19'!K26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49</v>
      </c>
      <c r="D94" s="127">
        <f>'GT workings 18-19'!D8</f>
        <v>33.734064323833628</v>
      </c>
      <c r="E94" s="127">
        <f>'GT workings 18-19'!E8</f>
        <v>27.39346022326454</v>
      </c>
      <c r="F94" s="127">
        <f>'GT workings 18-19'!F8</f>
        <v>18.58964637976759</v>
      </c>
      <c r="G94" s="127">
        <f>'GT workings 18-19'!G8</f>
        <v>15.690053681814245</v>
      </c>
      <c r="H94" s="127">
        <f>'GT workings 18-19'!H8</f>
        <v>14.117331818843784</v>
      </c>
      <c r="I94" s="127">
        <f>'GT workings 18-19'!I8</f>
        <v>12.8424465294623</v>
      </c>
      <c r="J94" s="127">
        <f>'GT workings 18-19'!J8</f>
        <v>15.120708694627556</v>
      </c>
      <c r="K94" s="127">
        <f>'GT workings 18-19'!K8</f>
        <v>12.837335667911791</v>
      </c>
      <c r="L94" s="127">
        <f t="shared" si="18"/>
        <v>150.32504731952542</v>
      </c>
      <c r="M94" s="53">
        <f t="shared" si="21"/>
        <v>0.15032504731952542</v>
      </c>
      <c r="N94" s="53"/>
    </row>
    <row r="95" spans="3:14">
      <c r="C95" s="17" t="s">
        <v>44</v>
      </c>
      <c r="D95" s="126">
        <f>'GT workings 18-19'!D12</f>
        <v>19.755956161710287</v>
      </c>
      <c r="E95" s="126">
        <f>'GT workings 18-19'!E12</f>
        <v>4.9640550676615947</v>
      </c>
      <c r="F95" s="126">
        <f>'GT workings 18-19'!F12</f>
        <v>6.5763559685269639</v>
      </c>
      <c r="G95" s="126">
        <f>'GT workings 18-19'!G12</f>
        <v>9.0508060165981838</v>
      </c>
      <c r="H95" s="126">
        <f>'GT workings 18-19'!H12</f>
        <v>5.9819689306581099</v>
      </c>
      <c r="I95" s="126">
        <f>'GT workings 18-19'!I12</f>
        <v>5.5276076383456436</v>
      </c>
      <c r="J95" s="126">
        <f>'GT workings 18-19'!J12</f>
        <v>5.2043642179094656</v>
      </c>
      <c r="K95" s="126">
        <f>'GT workings 18-19'!K12</f>
        <v>4.0961651636946899</v>
      </c>
      <c r="L95" s="126">
        <f t="shared" si="18"/>
        <v>61.157279165104946</v>
      </c>
      <c r="M95" s="53">
        <f t="shared" si="21"/>
        <v>6.1157279165104945E-2</v>
      </c>
      <c r="N95" s="53"/>
    </row>
    <row r="96" spans="3:14">
      <c r="C96" s="18" t="s">
        <v>45</v>
      </c>
      <c r="D96" s="127">
        <f>'GT workings 18-19'!D13</f>
        <v>6.3163697463774593</v>
      </c>
      <c r="E96" s="127">
        <f>'GT workings 18-19'!E13</f>
        <v>7.5127863565785153</v>
      </c>
      <c r="F96" s="127">
        <f>'GT workings 18-19'!F13</f>
        <v>11.755221166240313</v>
      </c>
      <c r="G96" s="127">
        <f>'GT workings 18-19'!G13</f>
        <v>14.858131955957658</v>
      </c>
      <c r="H96" s="127">
        <f>'GT workings 18-19'!H13</f>
        <v>9.9935426477652847</v>
      </c>
      <c r="I96" s="127">
        <f>'GT workings 18-19'!I13</f>
        <v>12.155160387098473</v>
      </c>
      <c r="J96" s="127">
        <f>'GT workings 18-19'!J13</f>
        <v>12.398863612479254</v>
      </c>
      <c r="K96" s="127">
        <f>'GT workings 18-19'!K13</f>
        <v>11.187952086317051</v>
      </c>
      <c r="L96" s="127">
        <f t="shared" si="18"/>
        <v>86.178027958814013</v>
      </c>
      <c r="M96" s="53">
        <f t="shared" si="21"/>
        <v>8.6178027958814019E-2</v>
      </c>
      <c r="N96" s="53"/>
    </row>
    <row r="97" spans="1:14">
      <c r="C97" s="17" t="s">
        <v>46</v>
      </c>
      <c r="D97" s="126">
        <f>'GT workings 18-19'!D7</f>
        <v>37.780581733294433</v>
      </c>
      <c r="E97" s="126">
        <f>'GT workings 18-19'!E7</f>
        <v>38.765251453029641</v>
      </c>
      <c r="F97" s="126">
        <f>'GT workings 18-19'!F7</f>
        <v>38.935734544913359</v>
      </c>
      <c r="G97" s="126">
        <f>'GT workings 18-19'!G7</f>
        <v>37.194366497168517</v>
      </c>
      <c r="H97" s="126">
        <f>'GT workings 18-19'!H7</f>
        <v>37.663363739263652</v>
      </c>
      <c r="I97" s="126">
        <f>'GT workings 18-19'!I7</f>
        <v>38.166072267177746</v>
      </c>
      <c r="J97" s="126">
        <f>'GT workings 18-19'!J7</f>
        <v>38.821758225100261</v>
      </c>
      <c r="K97" s="126">
        <f>'GT workings 18-19'!K7</f>
        <v>39.417681323616755</v>
      </c>
      <c r="L97" s="126">
        <f t="shared" si="18"/>
        <v>306.74480978356434</v>
      </c>
      <c r="M97" s="53">
        <f t="shared" si="21"/>
        <v>0.30674480978356433</v>
      </c>
      <c r="N97" s="53"/>
    </row>
    <row r="98" spans="1:14">
      <c r="C98" s="17" t="s">
        <v>137</v>
      </c>
      <c r="D98" s="126">
        <f>D136-D130</f>
        <v>-21.229271838710645</v>
      </c>
      <c r="E98" s="126">
        <f t="shared" ref="E98:L98" si="22">E136-E130</f>
        <v>-2.6975213594907501</v>
      </c>
      <c r="F98" s="126">
        <f t="shared" si="22"/>
        <v>4.1907181075761741</v>
      </c>
      <c r="G98" s="126">
        <f t="shared" si="22"/>
        <v>-1.1016304336073404</v>
      </c>
      <c r="H98" s="126">
        <f t="shared" si="22"/>
        <v>0</v>
      </c>
      <c r="I98" s="126">
        <f t="shared" si="22"/>
        <v>0</v>
      </c>
      <c r="J98" s="126">
        <f t="shared" si="22"/>
        <v>0</v>
      </c>
      <c r="K98" s="126">
        <f t="shared" si="22"/>
        <v>0</v>
      </c>
      <c r="L98" s="126">
        <f t="shared" si="22"/>
        <v>-20.837705524232547</v>
      </c>
      <c r="M98" s="53"/>
      <c r="N98" s="53"/>
    </row>
    <row r="99" spans="1:14">
      <c r="C99" s="123" t="s">
        <v>50</v>
      </c>
      <c r="D99" s="130">
        <f>SUM(D94:D98)</f>
        <v>76.357700126505165</v>
      </c>
      <c r="E99" s="130">
        <f t="shared" ref="E99:L99" si="23">SUM(E94:E98)</f>
        <v>75.938031741043545</v>
      </c>
      <c r="F99" s="130">
        <f t="shared" si="23"/>
        <v>80.047676167024406</v>
      </c>
      <c r="G99" s="130">
        <f t="shared" si="23"/>
        <v>75.691727717931258</v>
      </c>
      <c r="H99" s="130">
        <f t="shared" si="23"/>
        <v>67.756207136530833</v>
      </c>
      <c r="I99" s="130">
        <f t="shared" si="23"/>
        <v>68.691286822084166</v>
      </c>
      <c r="J99" s="130">
        <f t="shared" si="23"/>
        <v>71.545694750116525</v>
      </c>
      <c r="K99" s="130">
        <f t="shared" si="23"/>
        <v>67.539134241540282</v>
      </c>
      <c r="L99" s="130">
        <f t="shared" si="23"/>
        <v>583.56745870277621</v>
      </c>
      <c r="M99" s="53">
        <f>E15</f>
        <v>0.60440516422700874</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8" thickBot="1">
      <c r="C101" s="23" t="s">
        <v>51</v>
      </c>
      <c r="D101" s="131">
        <f t="shared" ref="D101:K101" si="25">D99+D91</f>
        <v>271.7560265314828</v>
      </c>
      <c r="E101" s="131">
        <f t="shared" si="25"/>
        <v>266.00066165139168</v>
      </c>
      <c r="F101" s="131">
        <f t="shared" si="25"/>
        <v>271.71878841946909</v>
      </c>
      <c r="G101" s="131">
        <f t="shared" si="25"/>
        <v>296.42089717835472</v>
      </c>
      <c r="H101" s="131">
        <f t="shared" si="25"/>
        <v>328.32342015270262</v>
      </c>
      <c r="I101" s="131">
        <f t="shared" si="25"/>
        <v>308.57500636443029</v>
      </c>
      <c r="J101" s="131">
        <f t="shared" si="25"/>
        <v>274.88513203432399</v>
      </c>
      <c r="K101" s="131">
        <f t="shared" si="25"/>
        <v>242.61484662180328</v>
      </c>
      <c r="L101" s="131">
        <f t="shared" si="18"/>
        <v>2260.2947789539585</v>
      </c>
      <c r="M101" s="53">
        <f>E17</f>
        <v>2.300561266008339</v>
      </c>
      <c r="N101" s="53" t="b">
        <f t="shared" si="24"/>
        <v>0</v>
      </c>
    </row>
    <row r="102" spans="1:14">
      <c r="C102" s="39"/>
      <c r="D102" s="203"/>
      <c r="E102" s="203"/>
      <c r="F102" s="203"/>
      <c r="G102" s="203"/>
      <c r="H102" s="203"/>
      <c r="I102" s="203"/>
      <c r="J102" s="203"/>
      <c r="K102" s="203"/>
      <c r="L102" s="203"/>
      <c r="M102" s="53"/>
      <c r="N102" s="53"/>
    </row>
    <row r="103" spans="1:14">
      <c r="A103" s="38" t="s">
        <v>409</v>
      </c>
    </row>
    <row r="104" spans="1:14" ht="13.8" thickBot="1">
      <c r="C104" s="38" t="s">
        <v>140</v>
      </c>
    </row>
    <row r="105" spans="1:14" ht="13.8" thickBot="1">
      <c r="C105" s="7" t="s">
        <v>58</v>
      </c>
      <c r="D105" s="8" t="s">
        <v>59</v>
      </c>
      <c r="E105" s="8" t="s">
        <v>60</v>
      </c>
      <c r="F105" s="8" t="s">
        <v>61</v>
      </c>
      <c r="G105" s="8" t="s">
        <v>62</v>
      </c>
      <c r="H105" s="8" t="s">
        <v>63</v>
      </c>
      <c r="I105" s="8" t="s">
        <v>64</v>
      </c>
      <c r="J105" s="8" t="s">
        <v>65</v>
      </c>
      <c r="K105" s="8" t="s">
        <v>66</v>
      </c>
    </row>
    <row r="106" spans="1:14">
      <c r="C106" s="22" t="s">
        <v>91</v>
      </c>
      <c r="D106" s="175">
        <f>'GT workings 18-19'!D135+'GT workings 18-19'!D156</f>
        <v>4615.060328174176</v>
      </c>
      <c r="E106" s="175">
        <f>'GT workings 18-19'!E135+'GT workings 18-19'!E156</f>
        <v>4700.1237451952838</v>
      </c>
      <c r="F106" s="175">
        <f>'GT workings 18-19'!F135+'GT workings 18-19'!F156</f>
        <v>4719.0724457798606</v>
      </c>
      <c r="G106" s="175">
        <f>'GT workings 18-19'!G135+'GT workings 18-19'!G156</f>
        <v>4778.0909984079944</v>
      </c>
      <c r="H106" s="175">
        <f>'GT workings 18-19'!H135+'GT workings 18-19'!H156</f>
        <v>4889.665477896132</v>
      </c>
      <c r="I106" s="175">
        <f>'GT workings 18-19'!I135+'GT workings 18-19'!I156</f>
        <v>4980.0395706639174</v>
      </c>
      <c r="J106" s="175">
        <f>'GT workings 18-19'!J135+'GT workings 18-19'!J156</f>
        <v>5002.9556865511659</v>
      </c>
      <c r="K106" s="175">
        <f>'GT workings 18-19'!K135+'GT workings 18-19'!K156</f>
        <v>4975.8945652817574</v>
      </c>
    </row>
    <row r="107" spans="1:14">
      <c r="C107" s="10" t="s">
        <v>86</v>
      </c>
      <c r="D107" s="176">
        <f>'GT workings 18-19'!D136+'GT workings 18-19'!D157</f>
        <v>241.81979004918438</v>
      </c>
      <c r="E107" s="176">
        <f>'GT workings 18-19'!E136+'GT workings 18-19'!E157</f>
        <v>182.49469376016035</v>
      </c>
      <c r="F107" s="176">
        <f>'GT workings 18-19'!F136+'GT workings 18-19'!F157</f>
        <v>226.80449370288852</v>
      </c>
      <c r="G107" s="176">
        <f>'GT workings 18-19'!G136+'GT workings 18-19'!G157</f>
        <v>285.25266598417483</v>
      </c>
      <c r="H107" s="176">
        <f>'GT workings 18-19'!H136+'GT workings 18-19'!H157</f>
        <v>270.68665313575389</v>
      </c>
      <c r="I107" s="176">
        <f>'GT workings 18-19'!I136+'GT workings 18-19'!I157</f>
        <v>209.31330165785178</v>
      </c>
      <c r="J107" s="176">
        <f>'GT workings 18-19'!J136+'GT workings 18-19'!J157</f>
        <v>163.7606615220291</v>
      </c>
      <c r="K107" s="176">
        <f>'GT workings 18-19'!K136+'GT workings 18-19'!K157</f>
        <v>139.6461196115533</v>
      </c>
    </row>
    <row r="108" spans="1:14">
      <c r="C108" s="11" t="s">
        <v>87</v>
      </c>
      <c r="D108" s="177">
        <f>'GT workings 18-19'!D137+'GT workings 18-19'!D158</f>
        <v>-156.75637302807576</v>
      </c>
      <c r="E108" s="177">
        <f>'GT workings 18-19'!E137+'GT workings 18-19'!E158</f>
        <v>-163.54599317558308</v>
      </c>
      <c r="F108" s="177">
        <f>'GT workings 18-19'!F137+'GT workings 18-19'!F158</f>
        <v>-167.78594107475482</v>
      </c>
      <c r="G108" s="177">
        <f>'GT workings 18-19'!G137+'GT workings 18-19'!G158</f>
        <v>-173.67818649603672</v>
      </c>
      <c r="H108" s="177">
        <f>'GT workings 18-19'!H137+'GT workings 18-19'!H158</f>
        <v>-180.31256036796827</v>
      </c>
      <c r="I108" s="177">
        <f>'GT workings 18-19'!I137+'GT workings 18-19'!I158</f>
        <v>-186.39718577060319</v>
      </c>
      <c r="J108" s="177">
        <f>'GT workings 18-19'!J137+'GT workings 18-19'!J158</f>
        <v>-190.82178279143702</v>
      </c>
      <c r="K108" s="177">
        <f>'GT workings 18-19'!K137+'GT workings 18-19'!K158</f>
        <v>-192.54164389755618</v>
      </c>
    </row>
    <row r="109" spans="1:14" ht="13.8" thickBot="1">
      <c r="C109" s="13" t="s">
        <v>94</v>
      </c>
      <c r="D109" s="178">
        <f>'GT workings 18-19'!D138+'GT workings 18-19'!D159</f>
        <v>4700.1237451952838</v>
      </c>
      <c r="E109" s="178">
        <f>'GT workings 18-19'!E138+'GT workings 18-19'!E159</f>
        <v>4719.0724457798606</v>
      </c>
      <c r="F109" s="178">
        <f>'GT workings 18-19'!F138+'GT workings 18-19'!F159</f>
        <v>4778.0909984079944</v>
      </c>
      <c r="G109" s="178">
        <f>'GT workings 18-19'!G138+'GT workings 18-19'!G159</f>
        <v>4889.665477896132</v>
      </c>
      <c r="H109" s="178">
        <f>'GT workings 18-19'!H138+'GT workings 18-19'!H159</f>
        <v>4980.0395706639174</v>
      </c>
      <c r="I109" s="178">
        <f>'GT workings 18-19'!I138+'GT workings 18-19'!I159</f>
        <v>5002.9556865511659</v>
      </c>
      <c r="J109" s="178">
        <f>'GT workings 18-19'!J138+'GT workings 18-19'!J159</f>
        <v>4975.8945652817574</v>
      </c>
      <c r="K109" s="178">
        <f>'GT workings 18-19'!K138+'GT workings 18-19'!K159</f>
        <v>4922.9990409957545</v>
      </c>
    </row>
    <row r="111" spans="1:14" ht="13.8" thickBot="1"/>
    <row r="112" spans="1:14" ht="13.8" thickBot="1">
      <c r="C112" s="7" t="s">
        <v>58</v>
      </c>
      <c r="D112" s="8" t="s">
        <v>59</v>
      </c>
      <c r="E112" s="8" t="s">
        <v>60</v>
      </c>
      <c r="F112" s="8" t="s">
        <v>61</v>
      </c>
      <c r="G112" s="8" t="s">
        <v>62</v>
      </c>
      <c r="H112" s="8" t="s">
        <v>63</v>
      </c>
      <c r="I112" s="8" t="s">
        <v>64</v>
      </c>
      <c r="J112" s="8" t="s">
        <v>65</v>
      </c>
      <c r="K112" s="8" t="s">
        <v>66</v>
      </c>
    </row>
    <row r="113" spans="1:14">
      <c r="C113" s="11" t="s">
        <v>142</v>
      </c>
      <c r="D113" s="171">
        <f>'GT workings 18-19'!D119</f>
        <v>94.224999999999994</v>
      </c>
      <c r="E113" s="171">
        <f>'GT workings 18-19'!E119</f>
        <v>87.484999999999999</v>
      </c>
      <c r="F113" s="171">
        <f>'GT workings 18-19'!F119</f>
        <v>79.322999999999993</v>
      </c>
      <c r="G113" s="171">
        <f>'GT workings 18-19'!G119</f>
        <v>58.722999999999999</v>
      </c>
      <c r="H113" s="171">
        <f>'GT workings 18-19'!H119</f>
        <v>3.3000000000000002E-2</v>
      </c>
      <c r="I113" s="171">
        <f>'GT workings 18-19'!I119</f>
        <v>3.3000000000000002E-2</v>
      </c>
      <c r="J113" s="171">
        <f>'GT workings 18-19'!J119</f>
        <v>0</v>
      </c>
      <c r="K113" s="171">
        <f>'GT workings 18-19'!K119</f>
        <v>0</v>
      </c>
    </row>
    <row r="114" spans="1:14" ht="13.8" thickBot="1">
      <c r="C114" s="40" t="s">
        <v>143</v>
      </c>
      <c r="D114" s="174">
        <f>'GT workings 18-19'!D174</f>
        <v>14.16619923431</v>
      </c>
      <c r="E114" s="174">
        <f>'GT workings 18-19'!E174</f>
        <v>26.016783731295874</v>
      </c>
      <c r="F114" s="174">
        <f>'GT workings 18-19'!F174</f>
        <v>69.473671529071126</v>
      </c>
      <c r="G114" s="174">
        <f>'GT workings 18-19'!G174</f>
        <v>108.4200133736822</v>
      </c>
      <c r="H114" s="174">
        <f>'GT workings 18-19'!H174</f>
        <v>69.349803718573156</v>
      </c>
      <c r="I114" s="174">
        <f>'GT workings 18-19'!I174</f>
        <v>20.779442706835688</v>
      </c>
      <c r="J114" s="174">
        <f>'GT workings 18-19'!J174</f>
        <v>0.81062265305823133</v>
      </c>
      <c r="K114" s="174">
        <f>'GT workings 18-19'!K174</f>
        <v>0</v>
      </c>
    </row>
    <row r="117" spans="1:14" ht="13.8" thickBot="1">
      <c r="C117" s="38" t="s">
        <v>122</v>
      </c>
    </row>
    <row r="118" spans="1:14" ht="13.8" thickBot="1">
      <c r="C118" s="7" t="s">
        <v>58</v>
      </c>
      <c r="D118" s="8" t="s">
        <v>59</v>
      </c>
      <c r="E118" s="8" t="s">
        <v>60</v>
      </c>
      <c r="F118" s="8" t="s">
        <v>61</v>
      </c>
      <c r="G118" s="8" t="s">
        <v>62</v>
      </c>
      <c r="H118" s="8" t="s">
        <v>63</v>
      </c>
      <c r="I118" s="8" t="s">
        <v>64</v>
      </c>
      <c r="J118" s="8" t="s">
        <v>65</v>
      </c>
      <c r="K118" s="8" t="s">
        <v>66</v>
      </c>
    </row>
    <row r="119" spans="1:14">
      <c r="C119" s="22" t="s">
        <v>91</v>
      </c>
      <c r="D119" s="41">
        <f>'GT workings 18-19'!D156</f>
        <v>53.000554975302876</v>
      </c>
      <c r="E119" s="41">
        <f>'GT workings 18-19'!E156</f>
        <v>68.058245291790399</v>
      </c>
      <c r="F119" s="41">
        <f>'GT workings 18-19'!F156</f>
        <v>82.256502556764943</v>
      </c>
      <c r="G119" s="41">
        <f>'GT workings 18-19'!G156</f>
        <v>95.503391517773579</v>
      </c>
      <c r="H119" s="41">
        <f>'GT workings 18-19'!H156</f>
        <v>103.93098942692654</v>
      </c>
      <c r="I119" s="41">
        <f>'GT workings 18-19'!I156</f>
        <v>106.79345890056341</v>
      </c>
      <c r="J119" s="41">
        <f>'GT workings 18-19'!J156</f>
        <v>107.70041672668867</v>
      </c>
      <c r="K119" s="41">
        <f>'GT workings 18-19'!K156</f>
        <v>107.6580962435617</v>
      </c>
    </row>
    <row r="120" spans="1:14">
      <c r="C120" s="10" t="s">
        <v>86</v>
      </c>
      <c r="D120" s="42">
        <f>'GT workings 18-19'!D157</f>
        <v>25.602724807330365</v>
      </c>
      <c r="E120" s="42">
        <f>'GT workings 18-19'!E157</f>
        <v>28.400823871150287</v>
      </c>
      <c r="F120" s="42">
        <f>'GT workings 18-19'!F157</f>
        <v>29.937830886467122</v>
      </c>
      <c r="G120" s="42">
        <f>'GT workings 18-19'!G157</f>
        <v>28.30870616650629</v>
      </c>
      <c r="H120" s="42">
        <f>'GT workings 18-19'!H157</f>
        <v>25.340821469062533</v>
      </c>
      <c r="I120" s="42">
        <f>'GT workings 18-19'!I157</f>
        <v>25.690541271459477</v>
      </c>
      <c r="J120" s="42">
        <f>'GT workings 18-19'!J157</f>
        <v>26.758089836543586</v>
      </c>
      <c r="K120" s="42">
        <f>'GT workings 18-19'!K157</f>
        <v>25.259636206336072</v>
      </c>
    </row>
    <row r="121" spans="1:14">
      <c r="C121" s="11" t="s">
        <v>87</v>
      </c>
      <c r="D121" s="43">
        <f>'GT workings 18-19'!D158</f>
        <v>-10.545034490842841</v>
      </c>
      <c r="E121" s="43">
        <f>'GT workings 18-19'!E158</f>
        <v>-14.202566606175751</v>
      </c>
      <c r="F121" s="43">
        <f>'GT workings 18-19'!F158</f>
        <v>-16.690941925458485</v>
      </c>
      <c r="G121" s="43">
        <f>'GT workings 18-19'!G158</f>
        <v>-19.881108257353329</v>
      </c>
      <c r="H121" s="43">
        <f>'GT workings 18-19'!H158</f>
        <v>-22.478351995425655</v>
      </c>
      <c r="I121" s="43">
        <f>'GT workings 18-19'!I158</f>
        <v>-24.783583445334209</v>
      </c>
      <c r="J121" s="43">
        <f>'GT workings 18-19'!J158</f>
        <v>-26.800410319670544</v>
      </c>
      <c r="K121" s="43">
        <f>'GT workings 18-19'!K158</f>
        <v>-27.14850547264567</v>
      </c>
    </row>
    <row r="122" spans="1:14" ht="13.8" thickBot="1">
      <c r="C122" s="13" t="s">
        <v>94</v>
      </c>
      <c r="D122" s="52">
        <f>'GT workings 18-19'!D159</f>
        <v>68.058245291790399</v>
      </c>
      <c r="E122" s="52">
        <f>'GT workings 18-19'!E159</f>
        <v>82.256502556764943</v>
      </c>
      <c r="F122" s="52">
        <f>'GT workings 18-19'!F159</f>
        <v>95.503391517773579</v>
      </c>
      <c r="G122" s="52">
        <f>'GT workings 18-19'!G159</f>
        <v>103.93098942692654</v>
      </c>
      <c r="H122" s="52">
        <f>'GT workings 18-19'!H159</f>
        <v>106.79345890056341</v>
      </c>
      <c r="I122" s="52">
        <f>'GT workings 18-19'!I159</f>
        <v>107.70041672668867</v>
      </c>
      <c r="J122" s="52">
        <f>'GT workings 18-19'!J159</f>
        <v>107.6580962435617</v>
      </c>
      <c r="K122" s="52">
        <f>'GT workings 18-19'!K159</f>
        <v>105.76922697725212</v>
      </c>
    </row>
    <row r="124" spans="1:14">
      <c r="A124" s="38" t="s">
        <v>402</v>
      </c>
    </row>
    <row r="125" spans="1:14" ht="13.8" thickBot="1">
      <c r="C125" s="38" t="s">
        <v>395</v>
      </c>
    </row>
    <row r="126" spans="1:14" ht="13.8" thickBot="1">
      <c r="C126" s="14" t="s">
        <v>58</v>
      </c>
      <c r="D126" s="15" t="s">
        <v>59</v>
      </c>
      <c r="E126" s="15" t="s">
        <v>60</v>
      </c>
      <c r="F126" s="15" t="s">
        <v>61</v>
      </c>
      <c r="G126" s="15" t="s">
        <v>62</v>
      </c>
      <c r="H126" s="15" t="s">
        <v>63</v>
      </c>
      <c r="I126" s="15" t="s">
        <v>64</v>
      </c>
      <c r="J126" s="15" t="s">
        <v>65</v>
      </c>
      <c r="K126" s="15" t="s">
        <v>66</v>
      </c>
      <c r="L126" s="15" t="s">
        <v>118</v>
      </c>
    </row>
    <row r="127" spans="1:14">
      <c r="C127" s="16"/>
      <c r="D127" s="26"/>
      <c r="E127" s="26"/>
      <c r="F127" s="26"/>
      <c r="G127" s="26"/>
      <c r="H127" s="26"/>
      <c r="I127" s="26"/>
      <c r="J127" s="26"/>
      <c r="K127" s="26"/>
      <c r="L127" s="26"/>
    </row>
    <row r="128" spans="1:14">
      <c r="A128" t="s">
        <v>338</v>
      </c>
      <c r="C128" s="17" t="s">
        <v>119</v>
      </c>
      <c r="D128" s="27">
        <f>'GT workings 18-19'!D8+'GT workings 18-19'!D12</f>
        <v>53.490020485543916</v>
      </c>
      <c r="E128" s="27">
        <f>'GT workings 18-19'!E8+'GT workings 18-19'!E12</f>
        <v>32.357515290926138</v>
      </c>
      <c r="F128" s="27">
        <f>'GT workings 18-19'!F8+'GT workings 18-19'!F12</f>
        <v>25.166002348294555</v>
      </c>
      <c r="G128" s="27">
        <f>'GT workings 18-19'!G8+'GT workings 18-19'!G12</f>
        <v>24.740859698412429</v>
      </c>
      <c r="H128" s="27">
        <f>'GT workings 18-19'!H8+'GT workings 18-19'!H12</f>
        <v>20.099300749501893</v>
      </c>
      <c r="I128" s="27">
        <f>'GT workings 18-19'!I8+'GT workings 18-19'!I12</f>
        <v>18.370054167807943</v>
      </c>
      <c r="J128" s="27">
        <f>'GT workings 18-19'!J8+'GT workings 18-19'!J12</f>
        <v>20.325072912537021</v>
      </c>
      <c r="K128" s="27">
        <f>'GT workings 18-19'!K8+'GT workings 18-19'!K12</f>
        <v>16.93350083160648</v>
      </c>
      <c r="L128" s="28">
        <f>SUM(D128:K128)</f>
        <v>211.48232648463039</v>
      </c>
      <c r="N128" s="53" t="b">
        <f>(E11+E12)*1000=L128</f>
        <v>1</v>
      </c>
    </row>
    <row r="129" spans="1:16">
      <c r="C129" s="18" t="s">
        <v>396</v>
      </c>
      <c r="D129" s="29">
        <f>'GT workings 18-19'!D7+'GT workings 18-19'!D13</f>
        <v>44.096951479671894</v>
      </c>
      <c r="E129" s="29">
        <f>'GT workings 18-19'!E7+'GT workings 18-19'!E13</f>
        <v>46.278037809608158</v>
      </c>
      <c r="F129" s="29">
        <f>'GT workings 18-19'!F7+'GT workings 18-19'!F13</f>
        <v>50.69095571115367</v>
      </c>
      <c r="G129" s="29">
        <f>'GT workings 18-19'!G7+'GT workings 18-19'!G13</f>
        <v>52.052498453126177</v>
      </c>
      <c r="H129" s="29">
        <f>'GT workings 18-19'!H7+'GT workings 18-19'!H13</f>
        <v>47.65690638702894</v>
      </c>
      <c r="I129" s="29">
        <f>'GT workings 18-19'!I7+'GT workings 18-19'!I13</f>
        <v>50.321232654276216</v>
      </c>
      <c r="J129" s="29">
        <f>'GT workings 18-19'!J7+'GT workings 18-19'!J13</f>
        <v>51.220621837579515</v>
      </c>
      <c r="K129" s="29">
        <f>'GT workings 18-19'!K7+'GT workings 18-19'!K13</f>
        <v>50.605633409933802</v>
      </c>
      <c r="L129" s="30">
        <f t="shared" ref="L129:L130" si="26">SUM(D129:K129)</f>
        <v>392.92283774237842</v>
      </c>
      <c r="N129" s="53" t="b">
        <f>(E13+E14)*1000=L129</f>
        <v>1</v>
      </c>
    </row>
    <row r="130" spans="1:16">
      <c r="C130" s="19" t="s">
        <v>71</v>
      </c>
      <c r="D130" s="31">
        <f>SUM(D128:D129)</f>
        <v>97.58697196521581</v>
      </c>
      <c r="E130" s="31">
        <f t="shared" ref="E130:K130" si="27">SUM(E128:E129)</f>
        <v>78.635553100534295</v>
      </c>
      <c r="F130" s="31">
        <f t="shared" si="27"/>
        <v>75.856958059448232</v>
      </c>
      <c r="G130" s="31">
        <f t="shared" si="27"/>
        <v>76.793358151538598</v>
      </c>
      <c r="H130" s="31">
        <f t="shared" si="27"/>
        <v>67.756207136530833</v>
      </c>
      <c r="I130" s="31">
        <f t="shared" si="27"/>
        <v>68.691286822084152</v>
      </c>
      <c r="J130" s="31">
        <f t="shared" si="27"/>
        <v>71.545694750116539</v>
      </c>
      <c r="K130" s="31">
        <f t="shared" si="27"/>
        <v>67.539134241540282</v>
      </c>
      <c r="L130" s="28">
        <f t="shared" si="26"/>
        <v>604.40516422700887</v>
      </c>
    </row>
    <row r="131" spans="1:16">
      <c r="A131" t="s">
        <v>346</v>
      </c>
      <c r="C131" s="17" t="s">
        <v>121</v>
      </c>
      <c r="D131" s="27">
        <f>'GT workings 18-19'!D31+'GT workings 18-19'!D35</f>
        <v>17.731744589197316</v>
      </c>
      <c r="E131" s="27">
        <f>'GT workings 18-19'!E31+'GT workings 18-19'!E35</f>
        <v>27.268015469872026</v>
      </c>
      <c r="F131" s="27">
        <f>'GT workings 18-19'!F31+'GT workings 18-19'!F35</f>
        <v>35.751531838303166</v>
      </c>
      <c r="G131" s="27">
        <f>'GT workings 18-19'!G31+'GT workings 18-19'!G35</f>
        <v>26.812442267587734</v>
      </c>
      <c r="H131" s="27">
        <f>'GT workings 18-19'!H31+'GT workings 18-19'!H35</f>
        <v>20.099300749501893</v>
      </c>
      <c r="I131" s="27">
        <f>'GT workings 18-19'!I31+'GT workings 18-19'!I35</f>
        <v>18.370054167807943</v>
      </c>
      <c r="J131" s="27">
        <f>'GT workings 18-19'!J31+'GT workings 18-19'!J35</f>
        <v>20.325072912537021</v>
      </c>
      <c r="K131" s="27">
        <f>'GT workings 18-19'!K31+'GT workings 18-19'!K35</f>
        <v>16.93350083160648</v>
      </c>
      <c r="L131" s="28">
        <f>SUM(D131:K131)</f>
        <v>183.29166282641359</v>
      </c>
      <c r="N131" s="53"/>
      <c r="P131" s="53"/>
    </row>
    <row r="132" spans="1:16">
      <c r="C132" s="18" t="s">
        <v>387</v>
      </c>
      <c r="D132" s="29">
        <f>'GT workings 18-19'!D30+'GT workings 18-19'!D36</f>
        <v>41.700533201484639</v>
      </c>
      <c r="E132" s="29">
        <f>'GT workings 18-19'!E30+'GT workings 18-19'!E36</f>
        <v>46.519368400808283</v>
      </c>
      <c r="F132" s="29">
        <f>'GT workings 18-19'!F30+'GT workings 18-19'!F36</f>
        <v>47.637270411612654</v>
      </c>
      <c r="G132" s="29">
        <f>'GT workings 18-19'!G30+'GT workings 18-19'!G36</f>
        <v>48.000990589904603</v>
      </c>
      <c r="H132" s="29">
        <f>'GT workings 18-19'!H30+'GT workings 18-19'!H36</f>
        <v>47.65690638702894</v>
      </c>
      <c r="I132" s="29">
        <f>'GT workings 18-19'!I30+'GT workings 18-19'!I36</f>
        <v>50.321232654276216</v>
      </c>
      <c r="J132" s="29">
        <f>'GT workings 18-19'!J30+'GT workings 18-19'!J36</f>
        <v>51.220621837579515</v>
      </c>
      <c r="K132" s="29">
        <f>'GT workings 18-19'!K30+'GT workings 18-19'!K36</f>
        <v>50.605633409933802</v>
      </c>
      <c r="L132" s="30">
        <f t="shared" ref="L132:L136" si="28">SUM(D132:K132)</f>
        <v>383.66255689262869</v>
      </c>
      <c r="N132" s="53"/>
      <c r="P132" s="53"/>
    </row>
    <row r="133" spans="1:16">
      <c r="C133" s="19" t="s">
        <v>77</v>
      </c>
      <c r="D133" s="31">
        <f>SUM(D131:D132)</f>
        <v>59.432277790681951</v>
      </c>
      <c r="E133" s="31">
        <f t="shared" ref="E133:K133" si="29">SUM(E131:E132)</f>
        <v>73.787383870680316</v>
      </c>
      <c r="F133" s="31">
        <f t="shared" si="29"/>
        <v>83.388802249915813</v>
      </c>
      <c r="G133" s="31">
        <f t="shared" si="29"/>
        <v>74.81343285749233</v>
      </c>
      <c r="H133" s="31">
        <f t="shared" si="29"/>
        <v>67.756207136530833</v>
      </c>
      <c r="I133" s="31">
        <f t="shared" si="29"/>
        <v>68.691286822084152</v>
      </c>
      <c r="J133" s="31">
        <f t="shared" si="29"/>
        <v>71.545694750116539</v>
      </c>
      <c r="K133" s="31">
        <f t="shared" si="29"/>
        <v>67.539134241540282</v>
      </c>
      <c r="L133" s="28">
        <f t="shared" si="28"/>
        <v>566.95421971904216</v>
      </c>
    </row>
    <row r="134" spans="1:16">
      <c r="A134" t="s">
        <v>233</v>
      </c>
      <c r="C134" s="17" t="s">
        <v>388</v>
      </c>
      <c r="D134" s="42">
        <f>D128-(D128-D131)*$K$2</f>
        <v>33.594115776816665</v>
      </c>
      <c r="E134" s="42">
        <f t="shared" ref="E134:K135" si="30">E128-(E128-E131)*$K$2</f>
        <v>29.525717590491631</v>
      </c>
      <c r="F134" s="42">
        <f t="shared" si="30"/>
        <v>31.055790956535347</v>
      </c>
      <c r="G134" s="42">
        <f t="shared" si="30"/>
        <v>25.893488239901568</v>
      </c>
      <c r="H134" s="42">
        <f t="shared" si="30"/>
        <v>20.099300749501893</v>
      </c>
      <c r="I134" s="42">
        <f t="shared" si="30"/>
        <v>18.370054167807943</v>
      </c>
      <c r="J134" s="42">
        <f t="shared" si="30"/>
        <v>20.325072912537021</v>
      </c>
      <c r="K134" s="42">
        <f t="shared" si="30"/>
        <v>16.93350083160648</v>
      </c>
      <c r="L134" s="28">
        <f>SUM(D134:K134)</f>
        <v>195.79704122519854</v>
      </c>
      <c r="N134" s="53"/>
      <c r="P134" s="53"/>
    </row>
    <row r="135" spans="1:16">
      <c r="C135" s="18" t="s">
        <v>389</v>
      </c>
      <c r="D135" s="43">
        <f>D129-(D129-D132)*$K$2</f>
        <v>42.763584349688507</v>
      </c>
      <c r="E135" s="43">
        <f t="shared" si="30"/>
        <v>46.412314150551907</v>
      </c>
      <c r="F135" s="43">
        <f t="shared" si="30"/>
        <v>48.991885210489052</v>
      </c>
      <c r="G135" s="43">
        <f t="shared" si="30"/>
        <v>49.798239478029693</v>
      </c>
      <c r="H135" s="43">
        <f t="shared" si="30"/>
        <v>47.65690638702894</v>
      </c>
      <c r="I135" s="43">
        <f t="shared" si="30"/>
        <v>50.321232654276216</v>
      </c>
      <c r="J135" s="43">
        <f t="shared" si="30"/>
        <v>51.220621837579515</v>
      </c>
      <c r="K135" s="43">
        <f t="shared" si="30"/>
        <v>50.605633409933802</v>
      </c>
      <c r="L135" s="30">
        <f t="shared" si="28"/>
        <v>387.77041747757767</v>
      </c>
      <c r="N135" s="53"/>
      <c r="P135" s="53"/>
    </row>
    <row r="136" spans="1:16">
      <c r="C136" s="19" t="s">
        <v>78</v>
      </c>
      <c r="D136" s="50">
        <f>SUM(D134:D135)</f>
        <v>76.357700126505165</v>
      </c>
      <c r="E136" s="50">
        <f t="shared" ref="E136:K136" si="31">SUM(E134:E135)</f>
        <v>75.938031741043545</v>
      </c>
      <c r="F136" s="50">
        <f t="shared" si="31"/>
        <v>80.047676167024406</v>
      </c>
      <c r="G136" s="50">
        <f t="shared" si="31"/>
        <v>75.691727717931258</v>
      </c>
      <c r="H136" s="50">
        <f t="shared" si="31"/>
        <v>67.756207136530833</v>
      </c>
      <c r="I136" s="50">
        <f t="shared" si="31"/>
        <v>68.691286822084152</v>
      </c>
      <c r="J136" s="50">
        <f t="shared" si="31"/>
        <v>71.545694750116539</v>
      </c>
      <c r="K136" s="50">
        <f t="shared" si="31"/>
        <v>67.539134241540282</v>
      </c>
      <c r="L136" s="28">
        <f t="shared" si="28"/>
        <v>583.56745870277632</v>
      </c>
    </row>
    <row r="137" spans="1:16">
      <c r="C137" s="20"/>
      <c r="D137" s="32"/>
      <c r="E137" s="32"/>
      <c r="F137" s="32"/>
      <c r="G137" s="32"/>
      <c r="H137" s="32"/>
      <c r="I137" s="32"/>
      <c r="J137" s="32"/>
      <c r="K137" s="32"/>
      <c r="L137" s="33"/>
    </row>
    <row r="138" spans="1:16">
      <c r="C138" s="17" t="s">
        <v>79</v>
      </c>
      <c r="D138" s="27">
        <f>'GT workings 18-19'!D179</f>
        <v>47.799920279192236</v>
      </c>
      <c r="E138" s="27">
        <f>'GT workings 18-19'!E179</f>
        <v>47.537207869893258</v>
      </c>
      <c r="F138" s="27">
        <f>'GT workings 18-19'!F179</f>
        <v>50.109845280557266</v>
      </c>
      <c r="G138" s="27">
        <f>'GT workings 18-19'!G179</f>
        <v>47.383021551424967</v>
      </c>
      <c r="H138" s="27">
        <f>'GT workings 18-19'!H179</f>
        <v>42.4153856674683</v>
      </c>
      <c r="I138" s="27">
        <f>'GT workings 18-19'!I179</f>
        <v>43.000745550624686</v>
      </c>
      <c r="J138" s="27">
        <f>'GT workings 18-19'!J179</f>
        <v>44.787604913572956</v>
      </c>
      <c r="K138" s="27">
        <f>'GT workings 18-19'!K179</f>
        <v>42.279498035204227</v>
      </c>
      <c r="L138" s="28">
        <f t="shared" ref="L138:L140" si="32">SUM(D138:K138)</f>
        <v>365.31322914793793</v>
      </c>
    </row>
    <row r="139" spans="1:16">
      <c r="C139" s="18" t="s">
        <v>80</v>
      </c>
      <c r="D139" s="29">
        <f>'GT workings 18-19'!D178</f>
        <v>28.557779847312933</v>
      </c>
      <c r="E139" s="29">
        <f>'GT workings 18-19'!E178</f>
        <v>28.400823871150287</v>
      </c>
      <c r="F139" s="29">
        <f>'GT workings 18-19'!F178</f>
        <v>29.937830886467122</v>
      </c>
      <c r="G139" s="29">
        <f>'GT workings 18-19'!G178</f>
        <v>28.30870616650629</v>
      </c>
      <c r="H139" s="29">
        <f>'GT workings 18-19'!H178</f>
        <v>25.340821469062533</v>
      </c>
      <c r="I139" s="29">
        <f>'GT workings 18-19'!I178</f>
        <v>25.690541271459477</v>
      </c>
      <c r="J139" s="29">
        <f>'GT workings 18-19'!J178</f>
        <v>26.758089836543586</v>
      </c>
      <c r="K139" s="29">
        <f>'GT workings 18-19'!K178</f>
        <v>25.259636206336072</v>
      </c>
      <c r="L139" s="30">
        <f t="shared" si="32"/>
        <v>218.2542295548383</v>
      </c>
    </row>
    <row r="140" spans="1:16" ht="13.8" thickBot="1">
      <c r="C140" s="21" t="s">
        <v>390</v>
      </c>
      <c r="D140" s="34">
        <f t="shared" ref="D140:K140" si="33">SUM(D138:D139)</f>
        <v>76.357700126505165</v>
      </c>
      <c r="E140" s="34">
        <f t="shared" si="33"/>
        <v>75.938031741043545</v>
      </c>
      <c r="F140" s="34">
        <f t="shared" si="33"/>
        <v>80.047676167024392</v>
      </c>
      <c r="G140" s="34">
        <f t="shared" si="33"/>
        <v>75.691727717931258</v>
      </c>
      <c r="H140" s="34">
        <f t="shared" si="33"/>
        <v>67.756207136530833</v>
      </c>
      <c r="I140" s="34">
        <f t="shared" si="33"/>
        <v>68.691286822084166</v>
      </c>
      <c r="J140" s="34">
        <f t="shared" si="33"/>
        <v>71.545694750116539</v>
      </c>
      <c r="K140" s="34">
        <f t="shared" si="33"/>
        <v>67.539134241540296</v>
      </c>
      <c r="L140" s="35">
        <f t="shared" si="32"/>
        <v>583.56745870277621</v>
      </c>
    </row>
    <row r="142" spans="1:16" ht="13.8" thickBot="1">
      <c r="A142" s="38" t="s">
        <v>410</v>
      </c>
    </row>
    <row r="143" spans="1:16" ht="13.8" thickBot="1">
      <c r="C143" s="7" t="s">
        <v>58</v>
      </c>
      <c r="D143" s="8" t="s">
        <v>59</v>
      </c>
      <c r="E143" s="8" t="s">
        <v>60</v>
      </c>
      <c r="F143" s="8" t="s">
        <v>61</v>
      </c>
      <c r="G143" s="8" t="s">
        <v>62</v>
      </c>
      <c r="H143" s="8" t="s">
        <v>63</v>
      </c>
      <c r="I143" s="8" t="s">
        <v>64</v>
      </c>
      <c r="J143" s="8" t="s">
        <v>65</v>
      </c>
      <c r="K143" s="8" t="s">
        <v>66</v>
      </c>
    </row>
    <row r="144" spans="1:16">
      <c r="C144" s="10" t="s">
        <v>79</v>
      </c>
      <c r="D144" s="42">
        <f>'GT workings 18-19'!D207</f>
        <v>47.799920279192236</v>
      </c>
      <c r="E144" s="42">
        <f>'GT workings 18-19'!E207</f>
        <v>47.537207869893258</v>
      </c>
      <c r="F144" s="42">
        <f>'GT workings 18-19'!F207</f>
        <v>50.109845280557266</v>
      </c>
      <c r="G144" s="42">
        <f>'GT workings 18-19'!G207</f>
        <v>47.383021551424967</v>
      </c>
      <c r="H144" s="42">
        <f>'GT workings 18-19'!H207</f>
        <v>42.4153856674683</v>
      </c>
      <c r="I144" s="42">
        <f>'GT workings 18-19'!I207</f>
        <v>43.000745550624686</v>
      </c>
      <c r="J144" s="42">
        <f>'GT workings 18-19'!J207</f>
        <v>44.787604913572956</v>
      </c>
      <c r="K144" s="42">
        <f>'GT workings 18-19'!K207</f>
        <v>42.279498035204227</v>
      </c>
    </row>
    <row r="145" spans="3:11">
      <c r="C145" s="11" t="s">
        <v>98</v>
      </c>
      <c r="D145" s="43">
        <f>'GT workings 18-19'!D208</f>
        <v>0</v>
      </c>
      <c r="E145" s="43">
        <f>'GT workings 18-19'!E208</f>
        <v>0</v>
      </c>
      <c r="F145" s="43">
        <f>'GT workings 18-19'!F208</f>
        <v>0</v>
      </c>
      <c r="G145" s="43">
        <f>'GT workings 18-19'!G208</f>
        <v>0</v>
      </c>
      <c r="H145" s="43">
        <f>'GT workings 18-19'!H208</f>
        <v>0</v>
      </c>
      <c r="I145" s="43">
        <f>'GT workings 18-19'!I208</f>
        <v>0</v>
      </c>
      <c r="J145" s="43">
        <f>'GT workings 18-19'!J208</f>
        <v>0</v>
      </c>
      <c r="K145" s="43">
        <f>'GT workings 18-19'!K208</f>
        <v>0</v>
      </c>
    </row>
    <row r="146" spans="3:11">
      <c r="C146" s="11" t="s">
        <v>100</v>
      </c>
      <c r="D146" s="43">
        <f>'GT workings 18-19'!D211</f>
        <v>0</v>
      </c>
      <c r="E146" s="43">
        <f>'GT workings 18-19'!E211</f>
        <v>0</v>
      </c>
      <c r="F146" s="43">
        <f>'GT workings 18-19'!F211</f>
        <v>0</v>
      </c>
      <c r="G146" s="43">
        <f>'GT workings 18-19'!G211</f>
        <v>0</v>
      </c>
      <c r="H146" s="43">
        <f>'GT workings 18-19'!H211</f>
        <v>0</v>
      </c>
      <c r="I146" s="43">
        <f>'GT workings 18-19'!I211</f>
        <v>0</v>
      </c>
      <c r="J146" s="43">
        <f>'GT workings 18-19'!J211</f>
        <v>0</v>
      </c>
      <c r="K146" s="43">
        <f>'GT workings 18-19'!K211</f>
        <v>0</v>
      </c>
    </row>
    <row r="147" spans="3:11">
      <c r="C147" s="10" t="s">
        <v>101</v>
      </c>
      <c r="D147" s="42">
        <f>'GT workings 18-19'!D212</f>
        <v>-0.43181154987245485</v>
      </c>
      <c r="E147" s="42">
        <f>'GT workings 18-19'!E212</f>
        <v>-0.39947195996305995</v>
      </c>
      <c r="F147" s="42">
        <f>'GT workings 18-19'!F212</f>
        <v>-0.34734317043598018</v>
      </c>
      <c r="G147" s="42">
        <f>'GT workings 18-19'!G212</f>
        <v>-0.3193206524905472</v>
      </c>
      <c r="H147" s="42">
        <f>'GT workings 18-19'!H212</f>
        <v>-0.31265626882301373</v>
      </c>
      <c r="I147" s="42">
        <f>'GT workings 18-19'!I212</f>
        <v>-0.30799379948941219</v>
      </c>
      <c r="J147" s="42">
        <f>'GT workings 18-19'!J212</f>
        <v>-0.32570922921081308</v>
      </c>
      <c r="K147" s="42">
        <f>'GT workings 18-19'!K212</f>
        <v>-0.31552026220892354</v>
      </c>
    </row>
    <row r="148" spans="3:11">
      <c r="C148" s="11" t="s">
        <v>102</v>
      </c>
      <c r="D148" s="43">
        <f>'GT workings 18-19'!D214</f>
        <v>1.1188128912606656</v>
      </c>
      <c r="E148" s="43">
        <f>'GT workings 18-19'!E214</f>
        <v>0.12169954124171645</v>
      </c>
      <c r="F148" s="43">
        <f>'GT workings 18-19'!F214</f>
        <v>0.37849473578258813</v>
      </c>
      <c r="G148" s="43">
        <f>'GT workings 18-19'!G214</f>
        <v>0.18159073794886388</v>
      </c>
      <c r="H148" s="43">
        <f>'GT workings 18-19'!H214</f>
        <v>0</v>
      </c>
      <c r="I148" s="43">
        <f>'GT workings 18-19'!I214</f>
        <v>0</v>
      </c>
      <c r="J148" s="43">
        <f>'GT workings 18-19'!J214</f>
        <v>0.60495909256208624</v>
      </c>
      <c r="K148" s="43">
        <f>'GT workings 18-19'!K214</f>
        <v>0.64561400166406102</v>
      </c>
    </row>
    <row r="149" spans="3:11">
      <c r="C149" s="10" t="s">
        <v>103</v>
      </c>
      <c r="D149" s="42">
        <f>'GT workings 18-19'!D210+'GT workings 18-19'!D209</f>
        <v>13.130792041234576</v>
      </c>
      <c r="E149" s="42">
        <f>'GT workings 18-19'!E210+'GT workings 18-19'!E209</f>
        <v>17.325495617745005</v>
      </c>
      <c r="F149" s="42">
        <f>'GT workings 18-19'!F210+'GT workings 18-19'!F209</f>
        <v>20.295174290794634</v>
      </c>
      <c r="G149" s="42">
        <f>'GT workings 18-19'!G210+'GT workings 18-19'!G209</f>
        <v>23.82576623595752</v>
      </c>
      <c r="H149" s="42">
        <f>'GT workings 18-19'!H210+'GT workings 18-19'!H209</f>
        <v>26.547339985587723</v>
      </c>
      <c r="I149" s="42">
        <f>'GT workings 18-19'!I210+'GT workings 18-19'!I209</f>
        <v>28.803435442885217</v>
      </c>
      <c r="J149" s="42">
        <f>'GT workings 18-19'!J210+'GT workings 18-19'!J209</f>
        <v>30.836801209122548</v>
      </c>
      <c r="K149" s="42">
        <f>'GT workings 18-19'!K210+'GT workings 18-19'!K209</f>
        <v>31.149349303455111</v>
      </c>
    </row>
    <row r="150" spans="3:11">
      <c r="C150" s="11" t="s">
        <v>104</v>
      </c>
      <c r="D150" s="43">
        <f>'GT workings 18-19'!D213</f>
        <v>8.3082796001737652E-2</v>
      </c>
      <c r="E150" s="43">
        <f>'GT workings 18-19'!E213</f>
        <v>7.976923323919452E-2</v>
      </c>
      <c r="F150" s="43">
        <f>'GT workings 18-19'!F213</f>
        <v>0.75266180631023005</v>
      </c>
      <c r="G150" s="43">
        <f>'GT workings 18-19'!G213</f>
        <v>0.74924415240021436</v>
      </c>
      <c r="H150" s="43">
        <f>'GT workings 18-19'!H213</f>
        <v>0.74577657614235293</v>
      </c>
      <c r="I150" s="43">
        <f>'GT workings 18-19'!I213</f>
        <v>1.3289523341871334</v>
      </c>
      <c r="J150" s="43">
        <f>'GT workings 18-19'!J213</f>
        <v>1.3253234363350497</v>
      </c>
      <c r="K150" s="43">
        <f>'GT workings 18-19'!K213</f>
        <v>1.3215559599462396</v>
      </c>
    </row>
    <row r="151" spans="3:11">
      <c r="C151" s="12" t="s">
        <v>105</v>
      </c>
      <c r="D151" s="50">
        <f>SUM(D144:D150)</f>
        <v>61.700796457816764</v>
      </c>
      <c r="E151" s="50">
        <f t="shared" ref="E151:K151" si="34">SUM(E144:E150)</f>
        <v>64.664700302156106</v>
      </c>
      <c r="F151" s="50">
        <f t="shared" si="34"/>
        <v>71.188832943008734</v>
      </c>
      <c r="G151" s="50">
        <f t="shared" si="34"/>
        <v>71.82030202524102</v>
      </c>
      <c r="H151" s="50">
        <f t="shared" si="34"/>
        <v>69.395845960375354</v>
      </c>
      <c r="I151" s="50">
        <f t="shared" si="34"/>
        <v>72.825139528207629</v>
      </c>
      <c r="J151" s="50">
        <f t="shared" si="34"/>
        <v>77.228979422381826</v>
      </c>
      <c r="K151" s="50">
        <f t="shared" si="34"/>
        <v>75.080497038060713</v>
      </c>
    </row>
    <row r="152" spans="3:11">
      <c r="C152" s="11" t="s">
        <v>126</v>
      </c>
      <c r="D152" s="43">
        <f>'GT workings 18-19'!D220</f>
        <v>94.224999999999994</v>
      </c>
      <c r="E152" s="43">
        <f>'GT workings 18-19'!E220</f>
        <v>87.484999999999999</v>
      </c>
      <c r="F152" s="43">
        <f>'GT workings 18-19'!F220</f>
        <v>79.322999999999993</v>
      </c>
      <c r="G152" s="43">
        <f>'GT workings 18-19'!G220</f>
        <v>58.722999999999999</v>
      </c>
      <c r="H152" s="43">
        <f>'GT workings 18-19'!H220</f>
        <v>3.3000000000000002E-2</v>
      </c>
      <c r="I152" s="43">
        <f>'GT workings 18-19'!I220</f>
        <v>3.3000000000000002E-2</v>
      </c>
      <c r="J152" s="43">
        <f>'GT workings 18-19'!J220</f>
        <v>0</v>
      </c>
      <c r="K152" s="43">
        <f>'GT workings 18-19'!K220</f>
        <v>0</v>
      </c>
    </row>
    <row r="153" spans="3:11" ht="13.8" thickBot="1">
      <c r="C153" s="13" t="s">
        <v>107</v>
      </c>
      <c r="D153" s="52">
        <f>D151+D152</f>
        <v>155.92579645781677</v>
      </c>
      <c r="E153" s="52">
        <f t="shared" ref="E153:K153" si="35">E151+E152</f>
        <v>152.14970030215611</v>
      </c>
      <c r="F153" s="52">
        <f t="shared" si="35"/>
        <v>150.51183294300873</v>
      </c>
      <c r="G153" s="52">
        <f t="shared" si="35"/>
        <v>130.54330202524102</v>
      </c>
      <c r="H153" s="52">
        <f t="shared" si="35"/>
        <v>69.428845960375355</v>
      </c>
      <c r="I153" s="52">
        <f t="shared" si="35"/>
        <v>72.85813952820763</v>
      </c>
      <c r="J153" s="52">
        <f t="shared" si="35"/>
        <v>77.228979422381826</v>
      </c>
      <c r="K153" s="52">
        <f t="shared" si="35"/>
        <v>75.080497038060713</v>
      </c>
    </row>
    <row r="155" spans="3:11">
      <c r="D155" s="53">
        <f>'GT workings 18-19'!D229-D151</f>
        <v>-5.6285589312234592</v>
      </c>
      <c r="E155" s="53">
        <f>'GT workings 18-19'!E229-E151</f>
        <v>1.2148212662516755</v>
      </c>
      <c r="F155" s="53">
        <f>'GT workings 18-19'!F229-F151</f>
        <v>-3.5380086517083527</v>
      </c>
      <c r="G155" s="53">
        <f>'GT workings 18-19'!G229-G151</f>
        <v>-0.16675926679555175</v>
      </c>
      <c r="H155" s="53">
        <f>'GT workings 18-19'!H229-H151</f>
        <v>3.1090067305413527</v>
      </c>
      <c r="I155" s="53">
        <f>'GT workings 18-19'!I229-I151</f>
        <v>-1.1839818062116336</v>
      </c>
      <c r="J155" s="53">
        <f>'GT workings 18-19'!J229-J151</f>
        <v>-3.4420279844858044</v>
      </c>
      <c r="K155" s="53">
        <f>'GT workings 18-19'!K229-K151</f>
        <v>-1.7165522975386693</v>
      </c>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AG216"/>
  <sheetViews>
    <sheetView showGridLines="0" tabSelected="1" zoomScaleNormal="100" workbookViewId="0">
      <selection sqref="A1:XFD1048576"/>
    </sheetView>
  </sheetViews>
  <sheetFormatPr defaultColWidth="9.109375" defaultRowHeight="13.2"/>
  <cols>
    <col min="1" max="1" width="2.5546875" style="372" customWidth="1"/>
    <col min="2" max="2" width="3.109375" style="372" customWidth="1"/>
    <col min="3" max="3" width="42.5546875" style="372" customWidth="1"/>
    <col min="4" max="4" width="11.88671875" style="372" customWidth="1"/>
    <col min="5" max="5" width="12.44140625" style="372" customWidth="1"/>
    <col min="6" max="6" width="10.6640625" style="372" customWidth="1"/>
    <col min="7" max="7" width="12.44140625" style="372" customWidth="1"/>
    <col min="8" max="11" width="10.6640625" style="372" customWidth="1"/>
    <col min="12" max="12" width="10.6640625" style="373" customWidth="1"/>
    <col min="13" max="13" width="9.109375" style="372"/>
    <col min="14" max="14" width="10.5546875" style="372" customWidth="1"/>
    <col min="15" max="18" width="9.109375" style="372"/>
    <col min="19" max="20" width="9.109375" style="372" customWidth="1"/>
    <col min="21" max="16384" width="9.109375" style="372"/>
  </cols>
  <sheetData>
    <row r="1" spans="2:9" ht="15.6">
      <c r="B1" s="399"/>
      <c r="C1" s="399"/>
    </row>
    <row r="2" spans="2:9" ht="23.4">
      <c r="B2" s="400">
        <v>1</v>
      </c>
      <c r="C2" s="400" t="s">
        <v>18</v>
      </c>
      <c r="D2" s="401"/>
      <c r="E2" s="402"/>
    </row>
    <row r="3" spans="2:9" ht="30.75" customHeight="1">
      <c r="B3" s="400"/>
      <c r="C3" s="531" t="s">
        <v>144</v>
      </c>
      <c r="D3" s="528"/>
      <c r="E3" s="528"/>
      <c r="I3" s="523"/>
    </row>
    <row r="4" spans="2:9">
      <c r="B4" s="402"/>
      <c r="C4" s="402"/>
      <c r="D4" s="402"/>
      <c r="E4" s="402"/>
    </row>
    <row r="5" spans="2:9" ht="31.8" thickBot="1">
      <c r="B5" s="402"/>
      <c r="C5" s="415" t="s">
        <v>145</v>
      </c>
      <c r="D5" s="416" t="s">
        <v>21</v>
      </c>
      <c r="E5" s="402"/>
    </row>
    <row r="6" spans="2:9" ht="15.6">
      <c r="B6" s="402"/>
      <c r="C6" s="431" t="s">
        <v>22</v>
      </c>
      <c r="D6" s="433" t="s">
        <v>146</v>
      </c>
      <c r="E6" s="402"/>
    </row>
    <row r="7" spans="2:9" ht="15.6">
      <c r="B7" s="402"/>
      <c r="C7" s="432" t="s">
        <v>24</v>
      </c>
      <c r="D7" s="434" t="s">
        <v>25</v>
      </c>
      <c r="E7" s="402"/>
    </row>
    <row r="8" spans="2:9" ht="15.6">
      <c r="B8" s="402"/>
      <c r="C8" s="432" t="s">
        <v>26</v>
      </c>
      <c r="D8" s="434" t="s">
        <v>147</v>
      </c>
      <c r="E8" s="402"/>
    </row>
    <row r="9" spans="2:9" ht="15.6">
      <c r="B9" s="402"/>
      <c r="C9" s="432" t="s">
        <v>30</v>
      </c>
      <c r="D9" s="434" t="s">
        <v>148</v>
      </c>
      <c r="E9" s="402"/>
    </row>
    <row r="10" spans="2:9" ht="15.6">
      <c r="B10" s="402"/>
      <c r="C10" s="432" t="s">
        <v>34</v>
      </c>
      <c r="D10" s="434" t="s">
        <v>149</v>
      </c>
      <c r="E10" s="402"/>
    </row>
    <row r="11" spans="2:9" ht="15.6">
      <c r="B11" s="402"/>
      <c r="C11" s="432" t="s">
        <v>35</v>
      </c>
      <c r="D11" s="434" t="s">
        <v>150</v>
      </c>
      <c r="E11" s="402"/>
    </row>
    <row r="12" spans="2:9">
      <c r="B12" s="402"/>
      <c r="C12" s="402"/>
      <c r="D12" s="402"/>
      <c r="E12" s="402"/>
    </row>
    <row r="14" spans="2:9" ht="23.4">
      <c r="B14" s="400">
        <v>2</v>
      </c>
      <c r="C14" s="430" t="s">
        <v>37</v>
      </c>
      <c r="D14" s="402"/>
      <c r="E14" s="402"/>
      <c r="F14" s="402"/>
    </row>
    <row r="15" spans="2:9" ht="69.75" customHeight="1">
      <c r="B15" s="400"/>
      <c r="C15" s="531" t="s">
        <v>151</v>
      </c>
      <c r="D15" s="528"/>
      <c r="E15" s="528"/>
      <c r="F15" s="402"/>
    </row>
    <row r="16" spans="2:9" ht="6" customHeight="1">
      <c r="B16" s="402"/>
      <c r="C16" s="402"/>
      <c r="D16" s="402"/>
      <c r="E16" s="402"/>
      <c r="F16" s="402"/>
    </row>
    <row r="17" spans="2:24" ht="28.2" thickBot="1">
      <c r="B17" s="402"/>
      <c r="C17" s="517" t="s">
        <v>152</v>
      </c>
      <c r="D17" s="518" t="s">
        <v>40</v>
      </c>
      <c r="E17" s="518" t="s">
        <v>41</v>
      </c>
      <c r="F17" s="402"/>
      <c r="S17" s="374"/>
      <c r="T17" s="375"/>
      <c r="U17" s="375"/>
    </row>
    <row r="18" spans="2:24" ht="12.75" customHeight="1">
      <c r="B18" s="402"/>
      <c r="C18" s="511" t="s">
        <v>42</v>
      </c>
      <c r="D18" s="512">
        <v>1.1995730551067034</v>
      </c>
      <c r="E18" s="512">
        <v>0.99074235280407696</v>
      </c>
      <c r="F18" s="402"/>
      <c r="S18" s="376"/>
      <c r="T18" s="377"/>
      <c r="U18" s="377"/>
      <c r="W18" s="378"/>
      <c r="X18" s="378"/>
    </row>
    <row r="19" spans="2:24" ht="12.75" customHeight="1">
      <c r="B19" s="402"/>
      <c r="C19" s="513" t="s">
        <v>43</v>
      </c>
      <c r="D19" s="514">
        <v>5.6579024763378332</v>
      </c>
      <c r="E19" s="514">
        <v>4.4564174806639745</v>
      </c>
      <c r="F19" s="402"/>
      <c r="S19" s="376"/>
      <c r="T19" s="377"/>
      <c r="U19" s="377"/>
      <c r="W19" s="378"/>
      <c r="X19" s="378"/>
    </row>
    <row r="20" spans="2:24" ht="12.75" customHeight="1">
      <c r="B20" s="402"/>
      <c r="C20" s="513" t="s">
        <v>44</v>
      </c>
      <c r="D20" s="514">
        <v>2.9518656164485582</v>
      </c>
      <c r="E20" s="514">
        <v>2.3691108274862209</v>
      </c>
      <c r="F20" s="402"/>
      <c r="S20" s="376"/>
      <c r="T20" s="377"/>
      <c r="U20" s="377"/>
      <c r="W20" s="378"/>
      <c r="X20" s="378"/>
    </row>
    <row r="21" spans="2:24" ht="12.75" customHeight="1">
      <c r="B21" s="402"/>
      <c r="C21" s="513" t="s">
        <v>45</v>
      </c>
      <c r="D21" s="514">
        <v>0.15149204159064233</v>
      </c>
      <c r="E21" s="514">
        <v>0.11780517721423507</v>
      </c>
      <c r="F21" s="402"/>
      <c r="S21" s="376"/>
      <c r="T21" s="377"/>
      <c r="U21" s="377"/>
      <c r="W21" s="378"/>
      <c r="X21" s="378"/>
    </row>
    <row r="22" spans="2:24" ht="12.75" customHeight="1">
      <c r="B22" s="402"/>
      <c r="C22" s="513" t="s">
        <v>46</v>
      </c>
      <c r="D22" s="514">
        <v>2.0550636343973276</v>
      </c>
      <c r="E22" s="514">
        <v>1.623853135909078</v>
      </c>
      <c r="F22" s="402"/>
      <c r="S22" s="376"/>
      <c r="T22" s="377"/>
      <c r="U22" s="377"/>
      <c r="W22" s="378"/>
      <c r="X22" s="378"/>
    </row>
    <row r="23" spans="2:24" ht="12.75" customHeight="1">
      <c r="B23" s="402"/>
      <c r="C23" s="513" t="s">
        <v>47</v>
      </c>
      <c r="D23" s="514">
        <v>-1.1851566844941039</v>
      </c>
      <c r="E23" s="514">
        <v>-0.96058724282478758</v>
      </c>
      <c r="F23" s="402"/>
      <c r="S23" s="376"/>
      <c r="T23" s="377"/>
      <c r="U23" s="377"/>
      <c r="W23" s="378"/>
      <c r="X23" s="378"/>
    </row>
    <row r="24" spans="2:24" ht="12.75" customHeight="1">
      <c r="B24" s="402"/>
      <c r="C24" s="515" t="s">
        <v>48</v>
      </c>
      <c r="D24" s="516">
        <v>10.830740139386963</v>
      </c>
      <c r="E24" s="516">
        <v>8.5973417312527971</v>
      </c>
      <c r="F24" s="402"/>
      <c r="S24" s="379"/>
      <c r="T24" s="380"/>
      <c r="U24" s="380"/>
      <c r="W24" s="378"/>
      <c r="X24" s="378"/>
    </row>
    <row r="25" spans="2:24" ht="12.75" customHeight="1">
      <c r="B25" s="402"/>
      <c r="C25" s="513"/>
      <c r="D25" s="514"/>
      <c r="E25" s="514"/>
      <c r="F25" s="402"/>
      <c r="S25" s="381"/>
      <c r="T25" s="382"/>
      <c r="U25" s="382"/>
      <c r="W25" s="378"/>
      <c r="X25" s="378"/>
    </row>
    <row r="26" spans="2:24" ht="12.75" customHeight="1">
      <c r="B26" s="402"/>
      <c r="C26" s="513" t="s">
        <v>49</v>
      </c>
      <c r="D26" s="514">
        <v>0.42035248462785701</v>
      </c>
      <c r="E26" s="514">
        <v>0.33255679575593849</v>
      </c>
      <c r="F26" s="402"/>
      <c r="S26" s="376"/>
      <c r="T26" s="377"/>
      <c r="U26" s="377"/>
      <c r="W26" s="378"/>
      <c r="X26" s="378"/>
    </row>
    <row r="27" spans="2:24" ht="12.75" customHeight="1">
      <c r="B27" s="402"/>
      <c r="C27" s="513" t="s">
        <v>46</v>
      </c>
      <c r="D27" s="514">
        <v>0.92573050356342734</v>
      </c>
      <c r="E27" s="514">
        <v>0.72821733397269872</v>
      </c>
      <c r="F27" s="402"/>
      <c r="S27" s="376"/>
      <c r="T27" s="377"/>
      <c r="U27" s="377"/>
      <c r="W27" s="378"/>
      <c r="X27" s="378"/>
    </row>
    <row r="28" spans="2:24" ht="12.75" customHeight="1">
      <c r="B28" s="402"/>
      <c r="C28" s="513" t="s">
        <v>47</v>
      </c>
      <c r="D28" s="514">
        <v>-1.5231359547045908E-5</v>
      </c>
      <c r="E28" s="514">
        <v>-6.6376452165644651E-4</v>
      </c>
      <c r="F28" s="402"/>
      <c r="S28" s="376"/>
      <c r="T28" s="377"/>
      <c r="U28" s="377"/>
      <c r="W28" s="378"/>
      <c r="X28" s="378"/>
    </row>
    <row r="29" spans="2:24" ht="12.75" customHeight="1">
      <c r="B29" s="402"/>
      <c r="C29" s="515" t="s">
        <v>50</v>
      </c>
      <c r="D29" s="516">
        <v>1.3460677568317374</v>
      </c>
      <c r="E29" s="516">
        <v>1.0601103652069808</v>
      </c>
      <c r="F29" s="402"/>
      <c r="S29" s="379"/>
      <c r="T29" s="380"/>
      <c r="U29" s="380"/>
      <c r="W29" s="378"/>
      <c r="X29" s="378"/>
    </row>
    <row r="30" spans="2:24" ht="12.75" customHeight="1">
      <c r="B30" s="402"/>
      <c r="C30" s="513"/>
      <c r="D30" s="514"/>
      <c r="E30" s="514"/>
      <c r="F30" s="402"/>
      <c r="S30" s="383"/>
      <c r="T30" s="382"/>
      <c r="U30" s="382"/>
      <c r="W30" s="378"/>
      <c r="X30" s="378"/>
    </row>
    <row r="31" spans="2:24" ht="12.75" customHeight="1">
      <c r="B31" s="402"/>
      <c r="C31" s="515" t="s">
        <v>153</v>
      </c>
      <c r="D31" s="516">
        <v>12.176807896218701</v>
      </c>
      <c r="E31" s="516">
        <v>9.6574520964597781</v>
      </c>
      <c r="F31" s="402"/>
      <c r="S31" s="379"/>
      <c r="T31" s="380"/>
      <c r="U31" s="380"/>
      <c r="W31" s="378"/>
      <c r="X31" s="378"/>
    </row>
    <row r="32" spans="2:24" ht="12.75" customHeight="1">
      <c r="B32" s="402"/>
      <c r="C32" s="513"/>
      <c r="D32" s="514"/>
      <c r="E32" s="514"/>
      <c r="F32" s="402"/>
      <c r="S32" s="383"/>
      <c r="T32" s="382"/>
      <c r="U32" s="382"/>
      <c r="W32" s="378"/>
      <c r="X32" s="378"/>
    </row>
    <row r="33" spans="2:24" ht="12.75" customHeight="1">
      <c r="B33" s="402"/>
      <c r="C33" s="513" t="s">
        <v>52</v>
      </c>
      <c r="D33" s="514">
        <v>0.89416672601474101</v>
      </c>
      <c r="E33" s="514">
        <v>0.70798416071864323</v>
      </c>
      <c r="F33" s="402"/>
      <c r="S33" s="376"/>
      <c r="T33" s="377"/>
      <c r="U33" s="377"/>
      <c r="W33" s="378"/>
      <c r="X33" s="378"/>
    </row>
    <row r="34" spans="2:24" ht="12.75" customHeight="1">
      <c r="B34" s="402"/>
      <c r="C34" s="513"/>
      <c r="D34" s="514"/>
      <c r="E34" s="514"/>
      <c r="F34" s="402"/>
      <c r="S34" s="376"/>
      <c r="T34" s="377"/>
      <c r="U34" s="377"/>
      <c r="W34" s="378"/>
      <c r="X34" s="378"/>
    </row>
    <row r="35" spans="2:24" ht="12.75" customHeight="1">
      <c r="B35" s="402"/>
      <c r="C35" s="515" t="s">
        <v>53</v>
      </c>
      <c r="D35" s="516">
        <v>10.190343073497942</v>
      </c>
      <c r="E35" s="516">
        <v>8.8650145032674477</v>
      </c>
      <c r="F35" s="402"/>
      <c r="S35" s="379"/>
      <c r="T35" s="380"/>
      <c r="U35" s="380"/>
      <c r="W35" s="378"/>
      <c r="X35" s="378"/>
    </row>
    <row r="36" spans="2:24" ht="12.75" customHeight="1">
      <c r="B36" s="402"/>
      <c r="C36" s="515" t="s">
        <v>54</v>
      </c>
      <c r="D36" s="516">
        <v>15.481660101468645</v>
      </c>
      <c r="E36" s="516">
        <v>11.042731221686669</v>
      </c>
      <c r="F36" s="402"/>
      <c r="G36" s="384"/>
      <c r="I36" s="384"/>
      <c r="S36" s="379"/>
      <c r="T36" s="380"/>
      <c r="U36" s="380"/>
      <c r="W36" s="378"/>
      <c r="X36" s="378"/>
    </row>
    <row r="37" spans="2:24">
      <c r="B37" s="402"/>
      <c r="C37" s="402"/>
      <c r="D37" s="402"/>
      <c r="E37" s="402"/>
      <c r="F37" s="402"/>
      <c r="H37" s="384"/>
      <c r="I37" s="385"/>
    </row>
    <row r="38" spans="2:24">
      <c r="H38" s="384"/>
      <c r="I38" s="385"/>
    </row>
    <row r="39" spans="2:24" ht="23.4">
      <c r="B39" s="400">
        <v>3</v>
      </c>
      <c r="C39" s="430" t="s">
        <v>154</v>
      </c>
      <c r="D39" s="402"/>
      <c r="E39" s="402"/>
      <c r="F39" s="402"/>
      <c r="G39" s="402"/>
      <c r="H39" s="470"/>
      <c r="I39" s="488"/>
      <c r="J39" s="402"/>
      <c r="K39" s="402"/>
      <c r="L39" s="466"/>
      <c r="M39" s="402"/>
    </row>
    <row r="40" spans="2:24" ht="116.25" customHeight="1">
      <c r="B40" s="400"/>
      <c r="C40" s="528" t="s">
        <v>155</v>
      </c>
      <c r="D40" s="529"/>
      <c r="E40" s="529"/>
      <c r="F40" s="529"/>
      <c r="G40" s="529"/>
      <c r="H40" s="529"/>
      <c r="I40" s="529"/>
      <c r="J40" s="529"/>
      <c r="K40" s="529"/>
      <c r="L40" s="529"/>
      <c r="M40" s="402"/>
    </row>
    <row r="41" spans="2:24">
      <c r="B41" s="402"/>
      <c r="C41" s="402"/>
      <c r="D41" s="402"/>
      <c r="E41" s="402"/>
      <c r="F41" s="402"/>
      <c r="G41" s="402"/>
      <c r="H41" s="402"/>
      <c r="I41" s="402"/>
      <c r="J41" s="402"/>
      <c r="K41" s="402"/>
      <c r="L41" s="466"/>
      <c r="M41" s="402"/>
    </row>
    <row r="42" spans="2:24" ht="13.8" thickBot="1">
      <c r="B42" s="402"/>
      <c r="C42" s="448" t="s">
        <v>156</v>
      </c>
      <c r="D42" s="449"/>
      <c r="E42" s="530"/>
      <c r="F42" s="530"/>
      <c r="G42" s="450"/>
      <c r="H42" s="451"/>
      <c r="I42" s="451"/>
      <c r="J42" s="451"/>
      <c r="K42" s="402"/>
      <c r="L42" s="402"/>
      <c r="M42" s="402"/>
      <c r="N42" s="386"/>
      <c r="O42" s="386"/>
    </row>
    <row r="43" spans="2:24" ht="13.8" thickBot="1">
      <c r="B43" s="402"/>
      <c r="C43" s="448" t="s">
        <v>58</v>
      </c>
      <c r="D43" s="452" t="s">
        <v>59</v>
      </c>
      <c r="E43" s="452" t="s">
        <v>60</v>
      </c>
      <c r="F43" s="453" t="s">
        <v>61</v>
      </c>
      <c r="G43" s="453" t="s">
        <v>62</v>
      </c>
      <c r="H43" s="453" t="s">
        <v>63</v>
      </c>
      <c r="I43" s="453" t="s">
        <v>64</v>
      </c>
      <c r="J43" s="453" t="s">
        <v>65</v>
      </c>
      <c r="K43" s="453" t="s">
        <v>66</v>
      </c>
      <c r="L43" s="453" t="s">
        <v>118</v>
      </c>
      <c r="M43" s="402"/>
    </row>
    <row r="44" spans="2:24">
      <c r="B44" s="402"/>
      <c r="C44" s="454"/>
      <c r="D44" s="455"/>
      <c r="E44" s="455"/>
      <c r="F44" s="455"/>
      <c r="G44" s="455"/>
      <c r="H44" s="455"/>
      <c r="I44" s="455"/>
      <c r="J44" s="455"/>
      <c r="K44" s="455"/>
      <c r="L44" s="454"/>
      <c r="M44" s="402"/>
    </row>
    <row r="45" spans="2:24">
      <c r="B45" s="402"/>
      <c r="C45" s="454" t="s">
        <v>157</v>
      </c>
      <c r="D45" s="455">
        <v>1390.4952308352754</v>
      </c>
      <c r="E45" s="455">
        <v>1528.8674895584477</v>
      </c>
      <c r="F45" s="455">
        <v>1447.2834725272048</v>
      </c>
      <c r="G45" s="455">
        <v>1365.8631230980088</v>
      </c>
      <c r="H45" s="455">
        <v>1141.9096981529601</v>
      </c>
      <c r="I45" s="455">
        <v>1088.8097022275799</v>
      </c>
      <c r="J45" s="455">
        <v>938.07112341239144</v>
      </c>
      <c r="K45" s="455">
        <v>766.03445815756584</v>
      </c>
      <c r="L45" s="479">
        <v>9667.3342979694353</v>
      </c>
      <c r="M45" s="402"/>
    </row>
    <row r="46" spans="2:24">
      <c r="B46" s="402"/>
      <c r="C46" s="454" t="s">
        <v>70</v>
      </c>
      <c r="D46" s="455">
        <v>192.21282629439594</v>
      </c>
      <c r="E46" s="455">
        <v>196.41204072355288</v>
      </c>
      <c r="F46" s="455">
        <v>203.04710659109347</v>
      </c>
      <c r="G46" s="455">
        <v>204.35171680440774</v>
      </c>
      <c r="H46" s="455">
        <v>205.72203973741003</v>
      </c>
      <c r="I46" s="455">
        <v>206.0644404839947</v>
      </c>
      <c r="J46" s="455">
        <v>207.83890997781467</v>
      </c>
      <c r="K46" s="455">
        <v>208.20405529640865</v>
      </c>
      <c r="L46" s="479">
        <v>1623.853135909078</v>
      </c>
      <c r="M46" s="402"/>
    </row>
    <row r="47" spans="2:24">
      <c r="B47" s="402"/>
      <c r="C47" s="454" t="s">
        <v>158</v>
      </c>
      <c r="D47" s="455">
        <v>1582.7080571296713</v>
      </c>
      <c r="E47" s="455">
        <v>1725.2795302820005</v>
      </c>
      <c r="F47" s="455">
        <v>1650.3305791182984</v>
      </c>
      <c r="G47" s="455">
        <v>1570.2148399024165</v>
      </c>
      <c r="H47" s="455">
        <v>1347.6317378903702</v>
      </c>
      <c r="I47" s="455">
        <v>1294.8741427115747</v>
      </c>
      <c r="J47" s="455">
        <v>1145.9100333902061</v>
      </c>
      <c r="K47" s="455">
        <v>974.23851345397497</v>
      </c>
      <c r="L47" s="479">
        <v>11291.187433878511</v>
      </c>
      <c r="M47" s="402"/>
    </row>
    <row r="48" spans="2:24">
      <c r="B48" s="402"/>
      <c r="C48" s="457" t="s">
        <v>72</v>
      </c>
      <c r="D48" s="458">
        <v>-45.561643016173093</v>
      </c>
      <c r="E48" s="458">
        <v>-373.43638392895832</v>
      </c>
      <c r="F48" s="458">
        <v>-512.84223272471422</v>
      </c>
      <c r="G48" s="458">
        <v>-511.75598280254871</v>
      </c>
      <c r="H48" s="458">
        <v>-279.04739178916634</v>
      </c>
      <c r="I48" s="458">
        <v>-3.1182787008524429</v>
      </c>
      <c r="J48" s="458">
        <v>-30.327038002719746</v>
      </c>
      <c r="K48" s="458">
        <v>22.83049116420591</v>
      </c>
      <c r="L48" s="456">
        <v>-1733.2584598009271</v>
      </c>
      <c r="M48" s="402"/>
    </row>
    <row r="49" spans="2:15">
      <c r="B49" s="402"/>
      <c r="C49" s="454" t="s">
        <v>73</v>
      </c>
      <c r="D49" s="455">
        <v>1537.1464141134982</v>
      </c>
      <c r="E49" s="455">
        <v>1351.8431463530421</v>
      </c>
      <c r="F49" s="455">
        <v>1137.4883463935842</v>
      </c>
      <c r="G49" s="455">
        <v>1058.4588570998678</v>
      </c>
      <c r="H49" s="455">
        <v>1068.5843461012039</v>
      </c>
      <c r="I49" s="455">
        <v>1291.7558640107222</v>
      </c>
      <c r="J49" s="455">
        <v>1115.5829953874863</v>
      </c>
      <c r="K49" s="455">
        <v>997.06900461818088</v>
      </c>
      <c r="L49" s="479">
        <v>9557.9289740775857</v>
      </c>
      <c r="M49" s="402"/>
    </row>
    <row r="50" spans="2:15">
      <c r="B50" s="402"/>
      <c r="C50" s="459"/>
      <c r="D50" s="460"/>
      <c r="E50" s="460"/>
      <c r="F50" s="460"/>
      <c r="G50" s="460"/>
      <c r="H50" s="460"/>
      <c r="I50" s="460"/>
      <c r="J50" s="460"/>
      <c r="K50" s="460"/>
      <c r="L50" s="460"/>
      <c r="M50" s="402"/>
    </row>
    <row r="51" spans="2:15">
      <c r="B51" s="402"/>
      <c r="C51" s="454" t="s">
        <v>121</v>
      </c>
      <c r="D51" s="455">
        <v>998.91466310321562</v>
      </c>
      <c r="E51" s="455">
        <v>678.97502740292248</v>
      </c>
      <c r="F51" s="455">
        <v>742.45299811948519</v>
      </c>
      <c r="G51" s="455">
        <v>699.21400368222703</v>
      </c>
      <c r="H51" s="455">
        <v>620.4895563716359</v>
      </c>
      <c r="I51" s="455">
        <v>573.66237061419542</v>
      </c>
      <c r="J51" s="455">
        <v>892.64042691616123</v>
      </c>
      <c r="K51" s="455">
        <v>782.83342759266611</v>
      </c>
      <c r="L51" s="479">
        <v>5989.1824738025098</v>
      </c>
      <c r="M51" s="402"/>
    </row>
    <row r="52" spans="2:15">
      <c r="B52" s="402"/>
      <c r="C52" s="454" t="s">
        <v>76</v>
      </c>
      <c r="D52" s="455">
        <v>205.79764574271053</v>
      </c>
      <c r="E52" s="455">
        <v>225.57798057867012</v>
      </c>
      <c r="F52" s="455">
        <v>229.53296594785181</v>
      </c>
      <c r="G52" s="455">
        <v>210.576624426726</v>
      </c>
      <c r="H52" s="455">
        <v>216.9500736914016</v>
      </c>
      <c r="I52" s="455">
        <v>230.7043043441075</v>
      </c>
      <c r="J52" s="455">
        <v>222.9425684713251</v>
      </c>
      <c r="K52" s="455">
        <v>214.2355770255148</v>
      </c>
      <c r="L52" s="479">
        <v>1756.3177402283075</v>
      </c>
      <c r="M52" s="402"/>
    </row>
    <row r="53" spans="2:15">
      <c r="B53" s="402"/>
      <c r="C53" s="457" t="s">
        <v>77</v>
      </c>
      <c r="D53" s="458">
        <v>1204.7123088459261</v>
      </c>
      <c r="E53" s="458">
        <v>904.5530079815926</v>
      </c>
      <c r="F53" s="458">
        <v>971.98596406733702</v>
      </c>
      <c r="G53" s="458">
        <v>909.790628108953</v>
      </c>
      <c r="H53" s="458">
        <v>837.4396300630375</v>
      </c>
      <c r="I53" s="458">
        <v>804.36667495830295</v>
      </c>
      <c r="J53" s="458">
        <v>1115.5829953874863</v>
      </c>
      <c r="K53" s="458">
        <v>997.06900461818088</v>
      </c>
      <c r="L53" s="456">
        <v>7745.5002140308161</v>
      </c>
      <c r="M53" s="402"/>
    </row>
    <row r="54" spans="2:15">
      <c r="B54" s="402"/>
      <c r="C54" s="459"/>
      <c r="D54" s="460"/>
      <c r="E54" s="460"/>
      <c r="F54" s="460"/>
      <c r="G54" s="460"/>
      <c r="H54" s="460"/>
      <c r="I54" s="460"/>
      <c r="J54" s="460"/>
      <c r="K54" s="460"/>
      <c r="L54" s="460"/>
      <c r="M54" s="402"/>
    </row>
    <row r="55" spans="2:15">
      <c r="B55" s="402"/>
      <c r="C55" s="457" t="s">
        <v>159</v>
      </c>
      <c r="D55" s="458">
        <v>1360.9563383216851</v>
      </c>
      <c r="E55" s="458">
        <v>1114.7793730161738</v>
      </c>
      <c r="F55" s="458">
        <v>1049.7720837606732</v>
      </c>
      <c r="G55" s="458">
        <v>979.66469573468294</v>
      </c>
      <c r="H55" s="458">
        <v>946.07764660097564</v>
      </c>
      <c r="I55" s="458">
        <v>1033.4395938129401</v>
      </c>
      <c r="J55" s="458">
        <v>1115.5829953874863</v>
      </c>
      <c r="K55" s="458">
        <v>997.06900461818088</v>
      </c>
      <c r="L55" s="456">
        <v>8597.3417312527981</v>
      </c>
      <c r="M55" s="456"/>
    </row>
    <row r="56" spans="2:15">
      <c r="B56" s="402"/>
      <c r="C56" s="454" t="s">
        <v>79</v>
      </c>
      <c r="D56" s="455">
        <v>204.14345074825277</v>
      </c>
      <c r="E56" s="455">
        <v>167.21690595242609</v>
      </c>
      <c r="F56" s="455">
        <v>157.46581256410101</v>
      </c>
      <c r="G56" s="455">
        <v>146.94970436020247</v>
      </c>
      <c r="H56" s="455">
        <v>141.91164699014638</v>
      </c>
      <c r="I56" s="455">
        <v>155.01593907194103</v>
      </c>
      <c r="J56" s="455">
        <v>167.33744930812298</v>
      </c>
      <c r="K56" s="455">
        <v>149.56035069272716</v>
      </c>
      <c r="L56" s="479">
        <v>1289.6012596879198</v>
      </c>
      <c r="M56" s="402"/>
    </row>
    <row r="57" spans="2:15" ht="13.8" thickBot="1">
      <c r="B57" s="402"/>
      <c r="C57" s="463" t="s">
        <v>80</v>
      </c>
      <c r="D57" s="464">
        <v>1156.8128875734324</v>
      </c>
      <c r="E57" s="464">
        <v>947.5624670637477</v>
      </c>
      <c r="F57" s="464">
        <v>892.3062711965722</v>
      </c>
      <c r="G57" s="464">
        <v>832.71499137448052</v>
      </c>
      <c r="H57" s="464">
        <v>804.16599961082932</v>
      </c>
      <c r="I57" s="464">
        <v>878.42365474099904</v>
      </c>
      <c r="J57" s="464">
        <v>948.24554607936341</v>
      </c>
      <c r="K57" s="464">
        <v>847.5086539254537</v>
      </c>
      <c r="L57" s="510">
        <v>7307.7404715648781</v>
      </c>
      <c r="M57" s="402"/>
    </row>
    <row r="58" spans="2:15">
      <c r="B58" s="402"/>
      <c r="C58" s="402"/>
      <c r="D58" s="470"/>
      <c r="E58" s="470"/>
      <c r="F58" s="470"/>
      <c r="G58" s="470"/>
      <c r="H58" s="470"/>
      <c r="I58" s="470"/>
      <c r="J58" s="470"/>
      <c r="K58" s="470"/>
      <c r="L58" s="489"/>
      <c r="M58" s="470"/>
      <c r="N58" s="384"/>
      <c r="O58" s="384"/>
    </row>
    <row r="59" spans="2:15" ht="66" customHeight="1">
      <c r="B59" s="402"/>
      <c r="C59" s="528" t="s">
        <v>81</v>
      </c>
      <c r="D59" s="529"/>
      <c r="E59" s="529"/>
      <c r="F59" s="529"/>
      <c r="G59" s="529"/>
      <c r="H59" s="529"/>
      <c r="I59" s="529"/>
      <c r="J59" s="529"/>
      <c r="K59" s="529"/>
      <c r="L59" s="529"/>
      <c r="M59" s="470"/>
      <c r="N59" s="384"/>
      <c r="O59" s="384"/>
    </row>
    <row r="60" spans="2:15" ht="13.8" thickBot="1">
      <c r="B60" s="402"/>
      <c r="C60" s="448" t="s">
        <v>160</v>
      </c>
      <c r="D60" s="449"/>
      <c r="E60" s="530"/>
      <c r="F60" s="530"/>
      <c r="G60" s="450"/>
      <c r="H60" s="451"/>
      <c r="I60" s="402"/>
      <c r="J60" s="402"/>
      <c r="K60" s="402"/>
      <c r="L60" s="466"/>
      <c r="M60" s="470"/>
      <c r="N60" s="384"/>
      <c r="O60" s="384"/>
    </row>
    <row r="61" spans="2:15" ht="13.8" thickBot="1">
      <c r="B61" s="402"/>
      <c r="C61" s="448" t="s">
        <v>58</v>
      </c>
      <c r="D61" s="452" t="s">
        <v>59</v>
      </c>
      <c r="E61" s="452" t="s">
        <v>60</v>
      </c>
      <c r="F61" s="453" t="s">
        <v>61</v>
      </c>
      <c r="G61" s="453" t="s">
        <v>62</v>
      </c>
      <c r="H61" s="453" t="s">
        <v>63</v>
      </c>
      <c r="I61" s="453" t="s">
        <v>64</v>
      </c>
      <c r="J61" s="453" t="s">
        <v>65</v>
      </c>
      <c r="K61" s="453" t="s">
        <v>66</v>
      </c>
      <c r="L61" s="466"/>
      <c r="M61" s="470"/>
      <c r="N61" s="384"/>
      <c r="O61" s="384"/>
    </row>
    <row r="62" spans="2:15">
      <c r="B62" s="402"/>
      <c r="C62" s="454" t="s">
        <v>161</v>
      </c>
      <c r="D62" s="455">
        <v>8691.0913006079008</v>
      </c>
      <c r="E62" s="455">
        <v>9107.0798269710467</v>
      </c>
      <c r="F62" s="455">
        <v>9468.0884627756895</v>
      </c>
      <c r="G62" s="455">
        <v>9751.0340048836915</v>
      </c>
      <c r="H62" s="455">
        <v>10034.081942552006</v>
      </c>
      <c r="I62" s="455">
        <v>10193.237060710235</v>
      </c>
      <c r="J62" s="455">
        <v>10415.113914509911</v>
      </c>
      <c r="K62" s="455">
        <v>10704.13946354331</v>
      </c>
      <c r="L62" s="466"/>
      <c r="M62" s="470"/>
      <c r="N62" s="384"/>
      <c r="O62" s="384"/>
    </row>
    <row r="63" spans="2:15">
      <c r="B63" s="402"/>
      <c r="C63" s="454" t="s">
        <v>84</v>
      </c>
      <c r="D63" s="455">
        <v>-176.76646979458337</v>
      </c>
      <c r="E63" s="455">
        <v>0</v>
      </c>
      <c r="F63" s="455">
        <v>0</v>
      </c>
      <c r="G63" s="455">
        <v>0</v>
      </c>
      <c r="H63" s="455">
        <v>0</v>
      </c>
      <c r="I63" s="455">
        <v>0</v>
      </c>
      <c r="J63" s="455">
        <v>0</v>
      </c>
      <c r="K63" s="455">
        <v>0</v>
      </c>
      <c r="L63" s="466"/>
      <c r="M63" s="470"/>
      <c r="N63" s="384"/>
      <c r="O63" s="384"/>
    </row>
    <row r="64" spans="2:15">
      <c r="B64" s="402"/>
      <c r="C64" s="454" t="s">
        <v>85</v>
      </c>
      <c r="D64" s="455">
        <v>0</v>
      </c>
      <c r="E64" s="455">
        <v>0</v>
      </c>
      <c r="F64" s="455">
        <v>0</v>
      </c>
      <c r="G64" s="455">
        <v>82.388628473992952</v>
      </c>
      <c r="H64" s="455">
        <v>0</v>
      </c>
      <c r="I64" s="455">
        <v>0</v>
      </c>
      <c r="J64" s="455">
        <v>0</v>
      </c>
      <c r="K64" s="455">
        <v>0</v>
      </c>
      <c r="L64" s="466"/>
      <c r="M64" s="470"/>
      <c r="N64" s="384"/>
      <c r="O64" s="384"/>
    </row>
    <row r="65" spans="2:16">
      <c r="B65" s="402"/>
      <c r="C65" s="454" t="s">
        <v>86</v>
      </c>
      <c r="D65" s="455">
        <v>1156.5020616850072</v>
      </c>
      <c r="E65" s="455">
        <v>947.14425078437068</v>
      </c>
      <c r="F65" s="455">
        <v>892.15152646909701</v>
      </c>
      <c r="G65" s="455">
        <v>832.57598658037398</v>
      </c>
      <c r="H65" s="455">
        <v>803.94987930133368</v>
      </c>
      <c r="I65" s="455">
        <v>877.96794584923498</v>
      </c>
      <c r="J65" s="455">
        <v>948.24554607936352</v>
      </c>
      <c r="K65" s="455">
        <v>847.5086539254537</v>
      </c>
      <c r="L65" s="466"/>
      <c r="M65" s="470"/>
      <c r="N65" s="384"/>
      <c r="O65" s="384"/>
    </row>
    <row r="66" spans="2:16">
      <c r="B66" s="402"/>
      <c r="C66" s="454" t="s">
        <v>87</v>
      </c>
      <c r="D66" s="455">
        <v>-563.74706552727753</v>
      </c>
      <c r="E66" s="455">
        <v>-586.13561497972955</v>
      </c>
      <c r="F66" s="455">
        <v>-609.2059843610939</v>
      </c>
      <c r="G66" s="455">
        <v>-631.91667738605349</v>
      </c>
      <c r="H66" s="455">
        <v>-644.7947611431033</v>
      </c>
      <c r="I66" s="455">
        <v>-656.09109204955996</v>
      </c>
      <c r="J66" s="455">
        <v>-659.21999704596612</v>
      </c>
      <c r="K66" s="455">
        <v>-664.51645043175597</v>
      </c>
      <c r="L66" s="466"/>
      <c r="M66" s="470"/>
      <c r="N66" s="384"/>
      <c r="O66" s="384"/>
    </row>
    <row r="67" spans="2:16">
      <c r="B67" s="402"/>
      <c r="C67" s="457" t="s">
        <v>162</v>
      </c>
      <c r="D67" s="458">
        <v>9107.0798269710467</v>
      </c>
      <c r="E67" s="458">
        <v>9468.0884627756877</v>
      </c>
      <c r="F67" s="458">
        <v>9751.0340048836933</v>
      </c>
      <c r="G67" s="458">
        <v>10034.081942552004</v>
      </c>
      <c r="H67" s="458">
        <v>10193.237060710237</v>
      </c>
      <c r="I67" s="458">
        <v>10415.11391450991</v>
      </c>
      <c r="J67" s="458">
        <v>10704.13946354331</v>
      </c>
      <c r="K67" s="458">
        <v>10887.131667037007</v>
      </c>
      <c r="L67" s="466"/>
      <c r="M67" s="470"/>
      <c r="N67" s="384"/>
      <c r="O67" s="384"/>
    </row>
    <row r="68" spans="2:16" ht="13.8" thickBot="1">
      <c r="B68" s="402"/>
      <c r="C68" s="448" t="s">
        <v>163</v>
      </c>
      <c r="D68" s="461">
        <v>94.650524816115961</v>
      </c>
      <c r="E68" s="461">
        <v>88.519576645054457</v>
      </c>
      <c r="F68" s="461">
        <v>82.388628473992952</v>
      </c>
      <c r="G68" s="461">
        <v>0</v>
      </c>
      <c r="H68" s="461">
        <v>0</v>
      </c>
      <c r="I68" s="461">
        <v>0</v>
      </c>
      <c r="J68" s="461">
        <v>0</v>
      </c>
      <c r="K68" s="461">
        <v>0</v>
      </c>
      <c r="L68" s="466"/>
      <c r="M68" s="470"/>
      <c r="N68" s="384"/>
      <c r="O68" s="384"/>
    </row>
    <row r="69" spans="2:16">
      <c r="B69" s="402"/>
      <c r="C69" s="402"/>
      <c r="D69" s="470"/>
      <c r="E69" s="470"/>
      <c r="F69" s="470"/>
      <c r="G69" s="470"/>
      <c r="H69" s="470"/>
      <c r="I69" s="470"/>
      <c r="J69" s="470"/>
      <c r="K69" s="470"/>
      <c r="L69" s="489"/>
      <c r="M69" s="470"/>
      <c r="N69" s="384"/>
      <c r="O69" s="384"/>
    </row>
    <row r="70" spans="2:16" ht="13.8" thickBot="1">
      <c r="B70" s="402"/>
      <c r="C70" s="448" t="s">
        <v>164</v>
      </c>
      <c r="D70" s="449"/>
      <c r="E70" s="530"/>
      <c r="F70" s="530"/>
      <c r="G70" s="450"/>
      <c r="H70" s="451"/>
      <c r="I70" s="402"/>
      <c r="J70" s="402"/>
      <c r="K70" s="402"/>
      <c r="L70" s="466"/>
      <c r="M70" s="402"/>
      <c r="N70" s="386"/>
      <c r="O70" s="386"/>
    </row>
    <row r="71" spans="2:16" ht="13.8" thickBot="1">
      <c r="B71" s="402"/>
      <c r="C71" s="448" t="s">
        <v>58</v>
      </c>
      <c r="D71" s="452" t="s">
        <v>59</v>
      </c>
      <c r="E71" s="452" t="s">
        <v>60</v>
      </c>
      <c r="F71" s="453" t="s">
        <v>61</v>
      </c>
      <c r="G71" s="453" t="s">
        <v>62</v>
      </c>
      <c r="H71" s="453" t="s">
        <v>63</v>
      </c>
      <c r="I71" s="453" t="s">
        <v>64</v>
      </c>
      <c r="J71" s="453" t="s">
        <v>65</v>
      </c>
      <c r="K71" s="453" t="s">
        <v>66</v>
      </c>
      <c r="L71" s="490"/>
      <c r="M71" s="402"/>
    </row>
    <row r="72" spans="2:16">
      <c r="B72" s="402"/>
      <c r="C72" s="454" t="s">
        <v>91</v>
      </c>
      <c r="D72" s="455">
        <v>8790.8537557518612</v>
      </c>
      <c r="E72" s="455">
        <v>9201.7303517871624</v>
      </c>
      <c r="F72" s="455">
        <v>9556.6080394207438</v>
      </c>
      <c r="G72" s="455">
        <v>9833.4226333576844</v>
      </c>
      <c r="H72" s="455">
        <v>10034.081942552006</v>
      </c>
      <c r="I72" s="455">
        <v>10193.237060710235</v>
      </c>
      <c r="J72" s="455">
        <v>10415.113914509911</v>
      </c>
      <c r="K72" s="455">
        <v>10704.13946354331</v>
      </c>
      <c r="L72" s="466"/>
      <c r="M72" s="402"/>
    </row>
    <row r="73" spans="2:16">
      <c r="B73" s="402"/>
      <c r="C73" s="454" t="s">
        <v>84</v>
      </c>
      <c r="D73" s="455">
        <v>-176.76646979458337</v>
      </c>
      <c r="E73" s="455">
        <v>0</v>
      </c>
      <c r="F73" s="455">
        <v>0</v>
      </c>
      <c r="G73" s="455">
        <v>0</v>
      </c>
      <c r="H73" s="455">
        <v>0</v>
      </c>
      <c r="I73" s="455">
        <v>0</v>
      </c>
      <c r="J73" s="455">
        <v>0</v>
      </c>
      <c r="K73" s="455">
        <v>0</v>
      </c>
      <c r="L73" s="466"/>
      <c r="M73" s="402"/>
    </row>
    <row r="74" spans="2:16">
      <c r="B74" s="402"/>
      <c r="C74" s="454" t="s">
        <v>165</v>
      </c>
      <c r="D74" s="455">
        <v>1156.8128875734324</v>
      </c>
      <c r="E74" s="455">
        <v>947.5624670637477</v>
      </c>
      <c r="F74" s="455">
        <v>892.3062711965722</v>
      </c>
      <c r="G74" s="455">
        <v>832.71499137448052</v>
      </c>
      <c r="H74" s="455">
        <v>804.16599961082932</v>
      </c>
      <c r="I74" s="455">
        <v>878.42365474099904</v>
      </c>
      <c r="J74" s="455">
        <v>948.24554607936341</v>
      </c>
      <c r="K74" s="455">
        <v>847.5086539254537</v>
      </c>
      <c r="L74" s="478"/>
      <c r="M74" s="402"/>
    </row>
    <row r="75" spans="2:16">
      <c r="B75" s="402"/>
      <c r="C75" s="454" t="s">
        <v>92</v>
      </c>
      <c r="D75" s="455">
        <v>-568.85899585512277</v>
      </c>
      <c r="E75" s="455">
        <v>-549.89961863661051</v>
      </c>
      <c r="F75" s="455">
        <v>-536.88830227380845</v>
      </c>
      <c r="G75" s="455">
        <v>-523.0969313330138</v>
      </c>
      <c r="H75" s="455">
        <v>-510.35729242605214</v>
      </c>
      <c r="I75" s="455">
        <v>-499.08660917668192</v>
      </c>
      <c r="J75" s="455">
        <v>-479.55827686084979</v>
      </c>
      <c r="K75" s="455">
        <v>-462.21006048952052</v>
      </c>
      <c r="L75" s="466"/>
      <c r="M75" s="402"/>
    </row>
    <row r="76" spans="2:16">
      <c r="B76" s="402"/>
      <c r="C76" s="454" t="s">
        <v>93</v>
      </c>
      <c r="D76" s="455">
        <v>0</v>
      </c>
      <c r="E76" s="455">
        <v>-42.366944514180489</v>
      </c>
      <c r="F76" s="455">
        <v>-78.448630258346981</v>
      </c>
      <c r="G76" s="455">
        <v>-108.81974605303964</v>
      </c>
      <c r="H76" s="455">
        <v>-134.43746871705113</v>
      </c>
      <c r="I76" s="455">
        <v>-157.00448287287804</v>
      </c>
      <c r="J76" s="455">
        <v>-179.66172018511637</v>
      </c>
      <c r="K76" s="455">
        <v>-202.30638994223548</v>
      </c>
      <c r="L76" s="466"/>
      <c r="M76" s="402"/>
      <c r="P76" s="387"/>
    </row>
    <row r="77" spans="2:16" ht="13.8" thickBot="1">
      <c r="B77" s="402"/>
      <c r="C77" s="448" t="s">
        <v>94</v>
      </c>
      <c r="D77" s="461">
        <v>9202.0411776755882</v>
      </c>
      <c r="E77" s="461">
        <v>9557.0262557001188</v>
      </c>
      <c r="F77" s="461">
        <v>9833.5773780851614</v>
      </c>
      <c r="G77" s="461">
        <v>10034.220947346112</v>
      </c>
      <c r="H77" s="461">
        <v>10193.453181019733</v>
      </c>
      <c r="I77" s="461">
        <v>10415.569623401672</v>
      </c>
      <c r="J77" s="461">
        <v>10704.139463543308</v>
      </c>
      <c r="K77" s="461">
        <v>10887.131667037007</v>
      </c>
      <c r="L77" s="466"/>
      <c r="M77" s="402"/>
      <c r="P77" s="388"/>
    </row>
    <row r="78" spans="2:16">
      <c r="B78" s="402"/>
      <c r="C78" s="402"/>
      <c r="D78" s="462"/>
      <c r="E78" s="462"/>
      <c r="F78" s="462"/>
      <c r="G78" s="462"/>
      <c r="H78" s="462"/>
      <c r="I78" s="462"/>
      <c r="J78" s="462"/>
      <c r="K78" s="462"/>
      <c r="L78" s="491"/>
      <c r="M78" s="462"/>
    </row>
    <row r="79" spans="2:16">
      <c r="D79" s="378"/>
      <c r="E79" s="378"/>
      <c r="F79" s="378"/>
      <c r="G79" s="378"/>
      <c r="H79" s="378"/>
      <c r="I79" s="378"/>
      <c r="J79" s="378"/>
      <c r="K79" s="378"/>
      <c r="L79" s="492"/>
      <c r="M79" s="378"/>
    </row>
    <row r="80" spans="2:16" ht="23.4">
      <c r="B80" s="400">
        <v>4</v>
      </c>
      <c r="C80" s="430" t="s">
        <v>95</v>
      </c>
      <c r="D80" s="462"/>
      <c r="E80" s="462"/>
      <c r="F80" s="462"/>
      <c r="G80" s="462"/>
      <c r="H80" s="462"/>
      <c r="I80" s="462"/>
      <c r="J80" s="462"/>
      <c r="K80" s="462"/>
      <c r="L80" s="491"/>
      <c r="M80" s="462"/>
    </row>
    <row r="81" spans="2:33" ht="65.25" customHeight="1">
      <c r="B81" s="400"/>
      <c r="C81" s="528" t="s">
        <v>166</v>
      </c>
      <c r="D81" s="528"/>
      <c r="E81" s="528"/>
      <c r="F81" s="528"/>
      <c r="G81" s="528"/>
      <c r="H81" s="528"/>
      <c r="I81" s="528"/>
      <c r="J81" s="528"/>
      <c r="K81" s="528"/>
      <c r="L81" s="528"/>
      <c r="M81" s="462"/>
    </row>
    <row r="82" spans="2:33">
      <c r="B82" s="402"/>
      <c r="C82" s="402"/>
      <c r="D82" s="402"/>
      <c r="E82" s="470"/>
      <c r="F82" s="402"/>
      <c r="G82" s="402"/>
      <c r="H82" s="402"/>
      <c r="I82" s="402"/>
      <c r="J82" s="402"/>
      <c r="K82" s="402"/>
      <c r="L82" s="466"/>
      <c r="M82" s="402"/>
    </row>
    <row r="83" spans="2:33" ht="13.8" thickBot="1">
      <c r="B83" s="402"/>
      <c r="C83" s="448" t="s">
        <v>167</v>
      </c>
      <c r="D83" s="449"/>
      <c r="E83" s="530"/>
      <c r="F83" s="530"/>
      <c r="G83" s="450"/>
      <c r="H83" s="451"/>
      <c r="I83" s="402"/>
      <c r="J83" s="402"/>
      <c r="K83" s="402"/>
      <c r="L83" s="448"/>
      <c r="M83" s="402"/>
      <c r="N83" s="386"/>
      <c r="O83" s="386"/>
      <c r="S83" s="392"/>
    </row>
    <row r="84" spans="2:33" ht="12.75" customHeight="1" thickBot="1">
      <c r="B84" s="402"/>
      <c r="C84" s="448" t="s">
        <v>58</v>
      </c>
      <c r="D84" s="452" t="s">
        <v>59</v>
      </c>
      <c r="E84" s="452" t="s">
        <v>60</v>
      </c>
      <c r="F84" s="453" t="s">
        <v>61</v>
      </c>
      <c r="G84" s="453" t="s">
        <v>62</v>
      </c>
      <c r="H84" s="453" t="s">
        <v>63</v>
      </c>
      <c r="I84" s="453" t="s">
        <v>64</v>
      </c>
      <c r="J84" s="453" t="s">
        <v>65</v>
      </c>
      <c r="K84" s="453" t="s">
        <v>66</v>
      </c>
      <c r="L84" s="448" t="s">
        <v>118</v>
      </c>
      <c r="M84" s="402"/>
      <c r="S84" s="389"/>
      <c r="V84" s="393"/>
      <c r="W84" s="389"/>
      <c r="X84" s="389"/>
      <c r="Y84" s="389"/>
      <c r="Z84" s="389"/>
      <c r="AA84" s="389"/>
      <c r="AB84" s="389"/>
      <c r="AC84" s="389"/>
      <c r="AD84" s="389"/>
    </row>
    <row r="85" spans="2:33" ht="12.75" customHeight="1">
      <c r="B85" s="402"/>
      <c r="C85" s="454" t="s">
        <v>79</v>
      </c>
      <c r="D85" s="455">
        <v>204.08859912088366</v>
      </c>
      <c r="E85" s="455">
        <v>167.14310307959485</v>
      </c>
      <c r="F85" s="455">
        <v>157.43850467101714</v>
      </c>
      <c r="G85" s="455">
        <v>146.92517410241885</v>
      </c>
      <c r="H85" s="455">
        <v>141.87350811200008</v>
      </c>
      <c r="I85" s="455">
        <v>154.93551985574737</v>
      </c>
      <c r="J85" s="455">
        <v>167.33744930812301</v>
      </c>
      <c r="K85" s="455">
        <v>149.56035069272716</v>
      </c>
      <c r="L85" s="478">
        <v>1289.3022089425119</v>
      </c>
      <c r="M85" s="402"/>
      <c r="S85" s="390"/>
      <c r="V85" s="394"/>
      <c r="W85" s="390"/>
      <c r="X85" s="390"/>
      <c r="Y85" s="390"/>
      <c r="Z85" s="390"/>
      <c r="AA85" s="390"/>
      <c r="AB85" s="390"/>
      <c r="AC85" s="390"/>
      <c r="AD85" s="390"/>
      <c r="AE85" s="384"/>
      <c r="AF85" s="384"/>
      <c r="AG85" s="384"/>
    </row>
    <row r="86" spans="2:33" ht="12.75" customHeight="1">
      <c r="B86" s="402"/>
      <c r="C86" s="454" t="s">
        <v>98</v>
      </c>
      <c r="D86" s="455">
        <v>94.24723304227993</v>
      </c>
      <c r="E86" s="455">
        <v>87.678224204681584</v>
      </c>
      <c r="F86" s="455">
        <v>87.676243763178761</v>
      </c>
      <c r="G86" s="455">
        <v>87.677481779017953</v>
      </c>
      <c r="H86" s="455">
        <v>87.676244486345595</v>
      </c>
      <c r="I86" s="455">
        <v>87.676244488148086</v>
      </c>
      <c r="J86" s="455">
        <v>87.676244492723825</v>
      </c>
      <c r="K86" s="455">
        <v>87.676244462267519</v>
      </c>
      <c r="L86" s="478">
        <v>707.98416071864324</v>
      </c>
      <c r="M86" s="402"/>
      <c r="S86" s="390"/>
      <c r="V86" s="394"/>
      <c r="W86" s="390"/>
      <c r="X86" s="390"/>
      <c r="Y86" s="390"/>
      <c r="Z86" s="390"/>
      <c r="AA86" s="390"/>
      <c r="AB86" s="390"/>
      <c r="AC86" s="390"/>
      <c r="AD86" s="390"/>
      <c r="AE86" s="384"/>
      <c r="AF86" s="384"/>
      <c r="AG86" s="384"/>
    </row>
    <row r="87" spans="2:33" ht="12.75" customHeight="1">
      <c r="B87" s="402"/>
      <c r="C87" s="454" t="s">
        <v>99</v>
      </c>
      <c r="D87" s="455">
        <v>32.057225303006618</v>
      </c>
      <c r="E87" s="455">
        <v>31.92938591920073</v>
      </c>
      <c r="F87" s="455">
        <v>35.659710857037616</v>
      </c>
      <c r="G87" s="455">
        <v>35.934713792776314</v>
      </c>
      <c r="H87" s="455">
        <v>35.811112850332755</v>
      </c>
      <c r="I87" s="455">
        <v>31.151354095252621</v>
      </c>
      <c r="J87" s="455">
        <v>31.426364111923757</v>
      </c>
      <c r="K87" s="455">
        <v>31.298081051171216</v>
      </c>
      <c r="L87" s="478">
        <v>265.26794798070165</v>
      </c>
      <c r="M87" s="402"/>
      <c r="S87" s="390"/>
      <c r="V87" s="394"/>
      <c r="W87" s="390"/>
      <c r="X87" s="390"/>
      <c r="Y87" s="390"/>
      <c r="Z87" s="390"/>
      <c r="AA87" s="390"/>
      <c r="AB87" s="390"/>
      <c r="AC87" s="390"/>
      <c r="AD87" s="390"/>
      <c r="AE87" s="384"/>
      <c r="AF87" s="384"/>
      <c r="AG87" s="384"/>
    </row>
    <row r="88" spans="2:33" ht="12.75" customHeight="1">
      <c r="B88" s="402"/>
      <c r="C88" s="454" t="s">
        <v>100</v>
      </c>
      <c r="D88" s="455">
        <v>0</v>
      </c>
      <c r="E88" s="455">
        <v>0</v>
      </c>
      <c r="F88" s="455">
        <v>0</v>
      </c>
      <c r="G88" s="455">
        <v>0</v>
      </c>
      <c r="H88" s="455">
        <v>0</v>
      </c>
      <c r="I88" s="455">
        <v>0</v>
      </c>
      <c r="J88" s="455">
        <v>0</v>
      </c>
      <c r="K88" s="455">
        <v>0</v>
      </c>
      <c r="L88" s="478">
        <v>0</v>
      </c>
      <c r="M88" s="402"/>
      <c r="S88" s="390"/>
      <c r="V88" s="394"/>
      <c r="W88" s="390"/>
      <c r="X88" s="390"/>
      <c r="Y88" s="390"/>
      <c r="Z88" s="390"/>
      <c r="AA88" s="390"/>
      <c r="AB88" s="390"/>
      <c r="AC88" s="390"/>
      <c r="AD88" s="390"/>
      <c r="AE88" s="384"/>
      <c r="AF88" s="384"/>
      <c r="AG88" s="384"/>
    </row>
    <row r="89" spans="2:33" ht="12.75" customHeight="1">
      <c r="B89" s="402"/>
      <c r="C89" s="454" t="s">
        <v>101</v>
      </c>
      <c r="D89" s="455">
        <v>15.168246288518162</v>
      </c>
      <c r="E89" s="455">
        <v>16.275110005972994</v>
      </c>
      <c r="F89" s="455">
        <v>15.614702904478012</v>
      </c>
      <c r="G89" s="455">
        <v>14.911674359737152</v>
      </c>
      <c r="H89" s="455">
        <v>13.033415757853545</v>
      </c>
      <c r="I89" s="455">
        <v>12.556067765830047</v>
      </c>
      <c r="J89" s="455">
        <v>11.285100906339711</v>
      </c>
      <c r="K89" s="455">
        <v>9.8268179419485548</v>
      </c>
      <c r="L89" s="478">
        <v>108.67113593067819</v>
      </c>
      <c r="M89" s="402"/>
      <c r="S89" s="390"/>
      <c r="V89" s="394"/>
      <c r="W89" s="390"/>
      <c r="X89" s="390"/>
      <c r="Y89" s="390"/>
      <c r="Z89" s="390"/>
      <c r="AA89" s="390"/>
      <c r="AB89" s="390"/>
      <c r="AC89" s="390"/>
      <c r="AD89" s="390"/>
      <c r="AE89" s="384"/>
      <c r="AF89" s="384"/>
      <c r="AG89" s="384"/>
    </row>
    <row r="90" spans="2:33" ht="12.75" customHeight="1">
      <c r="B90" s="402"/>
      <c r="C90" s="454" t="s">
        <v>102</v>
      </c>
      <c r="D90" s="455">
        <v>82.264011770871065</v>
      </c>
      <c r="E90" s="455">
        <v>64.806428228901396</v>
      </c>
      <c r="F90" s="455">
        <v>67.809125400968739</v>
      </c>
      <c r="G90" s="455">
        <v>76.244523273100185</v>
      </c>
      <c r="H90" s="455">
        <v>76.196719205149606</v>
      </c>
      <c r="I90" s="455">
        <v>82.818622071104187</v>
      </c>
      <c r="J90" s="455">
        <v>93.18782296837513</v>
      </c>
      <c r="K90" s="455">
        <v>89.053828907896246</v>
      </c>
      <c r="L90" s="478">
        <v>632.38108182636654</v>
      </c>
      <c r="M90" s="402"/>
      <c r="S90" s="390"/>
      <c r="V90" s="394"/>
      <c r="W90" s="390"/>
      <c r="X90" s="390"/>
      <c r="Y90" s="390"/>
      <c r="Z90" s="390"/>
      <c r="AA90" s="390"/>
      <c r="AB90" s="390"/>
      <c r="AC90" s="390"/>
      <c r="AD90" s="390"/>
      <c r="AE90" s="384"/>
      <c r="AF90" s="384"/>
      <c r="AG90" s="384"/>
    </row>
    <row r="91" spans="2:33" ht="12.75" customHeight="1">
      <c r="B91" s="402"/>
      <c r="C91" s="454" t="s">
        <v>103</v>
      </c>
      <c r="D91" s="455">
        <v>959.80897862080087</v>
      </c>
      <c r="E91" s="455">
        <v>988.85707635148003</v>
      </c>
      <c r="F91" s="455">
        <v>1016.538308346345</v>
      </c>
      <c r="G91" s="455">
        <v>1043.3110743021298</v>
      </c>
      <c r="H91" s="455">
        <v>1054.3347847479458</v>
      </c>
      <c r="I91" s="455">
        <v>1054.8930340609061</v>
      </c>
      <c r="J91" s="455">
        <v>1047.7480901402369</v>
      </c>
      <c r="K91" s="455">
        <v>1031.1202875952629</v>
      </c>
      <c r="L91" s="478">
        <v>8196.6116341651068</v>
      </c>
      <c r="M91" s="402"/>
      <c r="S91" s="390"/>
      <c r="V91" s="394"/>
      <c r="W91" s="390"/>
      <c r="X91" s="390"/>
      <c r="Y91" s="390"/>
      <c r="Z91" s="390"/>
      <c r="AA91" s="390"/>
      <c r="AB91" s="390"/>
      <c r="AC91" s="390"/>
      <c r="AD91" s="390"/>
      <c r="AE91" s="384"/>
      <c r="AF91" s="384"/>
      <c r="AG91" s="384"/>
    </row>
    <row r="92" spans="2:33" ht="12.75" customHeight="1">
      <c r="B92" s="402"/>
      <c r="C92" s="454" t="s">
        <v>168</v>
      </c>
      <c r="D92" s="455">
        <v>13.751034124367685</v>
      </c>
      <c r="E92" s="455">
        <v>13.274690050778315</v>
      </c>
      <c r="F92" s="455">
        <v>12.798257977175346</v>
      </c>
      <c r="G92" s="455">
        <v>0</v>
      </c>
      <c r="H92" s="455">
        <v>0</v>
      </c>
      <c r="I92" s="455">
        <v>0</v>
      </c>
      <c r="J92" s="455">
        <v>0</v>
      </c>
      <c r="K92" s="455">
        <v>0</v>
      </c>
      <c r="L92" s="478">
        <v>39.823982152321349</v>
      </c>
      <c r="M92" s="402"/>
      <c r="S92" s="390"/>
      <c r="V92" s="394"/>
      <c r="W92" s="390"/>
      <c r="X92" s="390"/>
      <c r="Y92" s="390"/>
      <c r="Z92" s="390"/>
      <c r="AA92" s="390"/>
      <c r="AB92" s="390"/>
      <c r="AC92" s="390"/>
      <c r="AD92" s="390"/>
      <c r="AE92" s="384"/>
      <c r="AF92" s="384"/>
      <c r="AG92" s="384"/>
    </row>
    <row r="93" spans="2:33" ht="12.75" customHeight="1">
      <c r="B93" s="402"/>
      <c r="C93" s="454" t="s">
        <v>169</v>
      </c>
      <c r="D93" s="455">
        <v>45.227617148338076</v>
      </c>
      <c r="E93" s="455">
        <v>45.772599700352416</v>
      </c>
      <c r="F93" s="455">
        <v>46.828621067377668</v>
      </c>
      <c r="G93" s="455">
        <v>46.363697326106404</v>
      </c>
      <c r="H93" s="455">
        <v>48.13923821962112</v>
      </c>
      <c r="I93" s="455">
        <v>49.69991127976737</v>
      </c>
      <c r="J93" s="455">
        <v>51.376152194533056</v>
      </c>
      <c r="K93" s="455">
        <v>52.976817731332225</v>
      </c>
      <c r="L93" s="478">
        <v>386.38465466742832</v>
      </c>
      <c r="M93" s="402"/>
      <c r="S93" s="390"/>
      <c r="V93" s="395"/>
      <c r="W93" s="390"/>
      <c r="X93" s="390"/>
      <c r="Y93" s="390"/>
      <c r="Z93" s="390"/>
      <c r="AA93" s="390"/>
      <c r="AB93" s="390"/>
      <c r="AC93" s="390"/>
      <c r="AD93" s="390"/>
      <c r="AE93" s="384"/>
      <c r="AF93" s="384"/>
      <c r="AG93" s="384"/>
    </row>
    <row r="94" spans="2:33" ht="12.75" customHeight="1" thickBot="1">
      <c r="B94" s="402"/>
      <c r="C94" s="448" t="s">
        <v>107</v>
      </c>
      <c r="D94" s="461">
        <v>1446.6129454190661</v>
      </c>
      <c r="E94" s="461">
        <v>1415.7366175409625</v>
      </c>
      <c r="F94" s="461">
        <v>1440.3634749875785</v>
      </c>
      <c r="G94" s="461">
        <v>1451.3683389352866</v>
      </c>
      <c r="H94" s="461">
        <v>1457.0650233792485</v>
      </c>
      <c r="I94" s="461">
        <v>1473.7307536167557</v>
      </c>
      <c r="J94" s="461">
        <v>1490.0372241222553</v>
      </c>
      <c r="K94" s="461">
        <v>1451.5124283826058</v>
      </c>
      <c r="L94" s="507">
        <v>11626.426806383759</v>
      </c>
      <c r="M94" s="402"/>
      <c r="S94" s="391"/>
      <c r="V94" s="395"/>
      <c r="W94" s="390"/>
      <c r="X94" s="390"/>
      <c r="Y94" s="390"/>
      <c r="Z94" s="390"/>
      <c r="AA94" s="390"/>
      <c r="AB94" s="390"/>
      <c r="AC94" s="390"/>
      <c r="AD94" s="390"/>
      <c r="AE94" s="384"/>
      <c r="AF94" s="384"/>
      <c r="AG94" s="384"/>
    </row>
    <row r="95" spans="2:33" ht="12.75" customHeight="1">
      <c r="B95" s="402"/>
      <c r="C95" s="475"/>
      <c r="D95" s="470"/>
      <c r="E95" s="402"/>
      <c r="F95" s="402"/>
      <c r="G95" s="402"/>
      <c r="H95" s="402"/>
      <c r="I95" s="402"/>
      <c r="J95" s="402"/>
      <c r="K95" s="402"/>
      <c r="L95" s="494"/>
      <c r="M95" s="402"/>
      <c r="S95" s="391"/>
      <c r="V95" s="395"/>
      <c r="W95" s="390"/>
      <c r="X95" s="390"/>
      <c r="Y95" s="390"/>
      <c r="Z95" s="390"/>
      <c r="AA95" s="390"/>
      <c r="AB95" s="390"/>
      <c r="AC95" s="390"/>
      <c r="AD95" s="390"/>
      <c r="AE95" s="384"/>
      <c r="AF95" s="384"/>
      <c r="AG95" s="384"/>
    </row>
    <row r="96" spans="2:33" ht="18" customHeight="1">
      <c r="B96" s="402"/>
      <c r="C96" s="528" t="s">
        <v>170</v>
      </c>
      <c r="D96" s="528"/>
      <c r="E96" s="528"/>
      <c r="F96" s="528"/>
      <c r="G96" s="528"/>
      <c r="H96" s="528"/>
      <c r="I96" s="528"/>
      <c r="J96" s="528"/>
      <c r="K96" s="528"/>
      <c r="L96" s="528"/>
      <c r="M96" s="402"/>
      <c r="S96" s="391"/>
      <c r="V96" s="395"/>
      <c r="W96" s="390"/>
      <c r="X96" s="390"/>
      <c r="Y96" s="390"/>
      <c r="Z96" s="390"/>
      <c r="AA96" s="390"/>
      <c r="AB96" s="390"/>
      <c r="AC96" s="390"/>
      <c r="AD96" s="390"/>
      <c r="AE96" s="384"/>
      <c r="AF96" s="384"/>
      <c r="AG96" s="384"/>
    </row>
    <row r="97" spans="2:33" ht="5.25" customHeight="1">
      <c r="B97" s="402"/>
      <c r="C97" s="475"/>
      <c r="D97" s="470"/>
      <c r="E97" s="402"/>
      <c r="F97" s="402"/>
      <c r="G97" s="402"/>
      <c r="H97" s="402"/>
      <c r="I97" s="402"/>
      <c r="J97" s="402"/>
      <c r="K97" s="402"/>
      <c r="L97" s="494"/>
      <c r="M97" s="402"/>
      <c r="S97" s="391"/>
      <c r="V97" s="395"/>
      <c r="W97" s="390"/>
      <c r="X97" s="390"/>
      <c r="Y97" s="390"/>
      <c r="Z97" s="390"/>
      <c r="AA97" s="390"/>
      <c r="AB97" s="390"/>
      <c r="AC97" s="390"/>
      <c r="AD97" s="390"/>
      <c r="AE97" s="384"/>
      <c r="AF97" s="384"/>
      <c r="AG97" s="384"/>
    </row>
    <row r="98" spans="2:33" ht="12.75" customHeight="1" thickBot="1">
      <c r="B98" s="402"/>
      <c r="C98" s="448" t="s">
        <v>171</v>
      </c>
      <c r="D98" s="462"/>
      <c r="E98" s="462"/>
      <c r="F98" s="448"/>
      <c r="G98" s="448"/>
      <c r="H98" s="448"/>
      <c r="I98" s="448"/>
      <c r="J98" s="448"/>
      <c r="K98" s="402"/>
      <c r="L98" s="494"/>
      <c r="M98" s="402"/>
      <c r="S98" s="391"/>
      <c r="V98" s="395"/>
      <c r="W98" s="390"/>
      <c r="X98" s="390"/>
      <c r="Y98" s="390"/>
      <c r="Z98" s="390"/>
      <c r="AA98" s="390"/>
      <c r="AB98" s="390"/>
      <c r="AC98" s="390"/>
      <c r="AD98" s="390"/>
      <c r="AE98" s="384"/>
      <c r="AF98" s="384"/>
      <c r="AG98" s="384"/>
    </row>
    <row r="99" spans="2:33" ht="12.75" customHeight="1" thickBot="1">
      <c r="B99" s="402"/>
      <c r="C99" s="467" t="s">
        <v>58</v>
      </c>
      <c r="D99" s="453" t="s">
        <v>59</v>
      </c>
      <c r="E99" s="453" t="s">
        <v>60</v>
      </c>
      <c r="F99" s="453" t="s">
        <v>61</v>
      </c>
      <c r="G99" s="453" t="s">
        <v>62</v>
      </c>
      <c r="H99" s="453" t="s">
        <v>63</v>
      </c>
      <c r="I99" s="453" t="s">
        <v>64</v>
      </c>
      <c r="J99" s="453" t="s">
        <v>65</v>
      </c>
      <c r="K99" s="453" t="s">
        <v>66</v>
      </c>
      <c r="L99" s="494"/>
      <c r="M99" s="402"/>
      <c r="S99" s="391"/>
      <c r="V99" s="395"/>
      <c r="W99" s="390"/>
      <c r="X99" s="390"/>
      <c r="Y99" s="390"/>
      <c r="Z99" s="390"/>
      <c r="AA99" s="390"/>
      <c r="AB99" s="390"/>
      <c r="AC99" s="390"/>
      <c r="AD99" s="390"/>
      <c r="AE99" s="384"/>
      <c r="AF99" s="384"/>
      <c r="AG99" s="384"/>
    </row>
    <row r="100" spans="2:33" ht="12.75" customHeight="1">
      <c r="B100" s="402"/>
      <c r="C100" s="454" t="s">
        <v>172</v>
      </c>
      <c r="D100" s="455">
        <v>1446.6129454190661</v>
      </c>
      <c r="E100" s="455">
        <v>1415.7366175409625</v>
      </c>
      <c r="F100" s="455">
        <v>1440.3634749875785</v>
      </c>
      <c r="G100" s="455">
        <v>1451.3683389352866</v>
      </c>
      <c r="H100" s="455">
        <v>1457.0650233792485</v>
      </c>
      <c r="I100" s="455">
        <v>1473.7307536167557</v>
      </c>
      <c r="J100" s="455">
        <v>1490.0372241222553</v>
      </c>
      <c r="K100" s="455">
        <v>1451.5124283826058</v>
      </c>
      <c r="L100" s="494"/>
      <c r="M100" s="402"/>
      <c r="S100" s="391"/>
      <c r="V100" s="395"/>
      <c r="W100" s="390"/>
      <c r="X100" s="390"/>
      <c r="Y100" s="390"/>
      <c r="Z100" s="390"/>
      <c r="AA100" s="390"/>
      <c r="AB100" s="390"/>
      <c r="AC100" s="390"/>
      <c r="AD100" s="390"/>
      <c r="AE100" s="384"/>
      <c r="AF100" s="384"/>
      <c r="AG100" s="384"/>
    </row>
    <row r="101" spans="2:33" ht="12.75" customHeight="1">
      <c r="B101" s="402"/>
      <c r="C101" s="457" t="s">
        <v>173</v>
      </c>
      <c r="D101" s="460"/>
      <c r="E101" s="460"/>
      <c r="F101" s="460"/>
      <c r="G101" s="460"/>
      <c r="H101" s="460"/>
      <c r="I101" s="483"/>
      <c r="J101" s="483"/>
      <c r="K101" s="483"/>
      <c r="L101" s="494"/>
      <c r="M101" s="402"/>
      <c r="S101" s="391"/>
      <c r="V101" s="395"/>
      <c r="W101" s="390"/>
      <c r="X101" s="390"/>
      <c r="Y101" s="390"/>
      <c r="Z101" s="390"/>
      <c r="AA101" s="390"/>
      <c r="AB101" s="390"/>
      <c r="AC101" s="390"/>
      <c r="AD101" s="390"/>
      <c r="AE101" s="384"/>
      <c r="AF101" s="384"/>
      <c r="AG101" s="384"/>
    </row>
    <row r="102" spans="2:33" ht="12.75" customHeight="1">
      <c r="B102" s="402"/>
      <c r="C102" s="454" t="s">
        <v>174</v>
      </c>
      <c r="D102" s="455">
        <v>13.751034124367685</v>
      </c>
      <c r="E102" s="455">
        <v>13.274690050778315</v>
      </c>
      <c r="F102" s="455">
        <v>12.798257977175346</v>
      </c>
      <c r="G102" s="455">
        <v>0</v>
      </c>
      <c r="H102" s="455">
        <v>0</v>
      </c>
      <c r="I102" s="455">
        <v>0</v>
      </c>
      <c r="J102" s="455">
        <v>0</v>
      </c>
      <c r="K102" s="455">
        <v>0</v>
      </c>
      <c r="L102" s="494"/>
      <c r="M102" s="402"/>
      <c r="S102" s="391"/>
      <c r="V102" s="395"/>
      <c r="W102" s="390"/>
      <c r="X102" s="390"/>
      <c r="Y102" s="390"/>
      <c r="Z102" s="390"/>
      <c r="AA102" s="390"/>
      <c r="AB102" s="390"/>
      <c r="AC102" s="390"/>
      <c r="AD102" s="390"/>
      <c r="AE102" s="384"/>
      <c r="AF102" s="384"/>
      <c r="AG102" s="384"/>
    </row>
    <row r="103" spans="2:33" ht="12.75" customHeight="1">
      <c r="B103" s="402"/>
      <c r="C103" s="454" t="s">
        <v>175</v>
      </c>
      <c r="D103" s="455">
        <v>123</v>
      </c>
      <c r="E103" s="455">
        <v>122.8</v>
      </c>
      <c r="F103" s="455">
        <v>129.80000000000001</v>
      </c>
      <c r="G103" s="455">
        <v>125.6</v>
      </c>
      <c r="H103" s="455">
        <v>127.3</v>
      </c>
      <c r="I103" s="455">
        <v>128.6</v>
      </c>
      <c r="J103" s="455">
        <v>130.19999999999999</v>
      </c>
      <c r="K103" s="455">
        <v>131.69999999999999</v>
      </c>
      <c r="L103" s="494"/>
      <c r="M103" s="402"/>
      <c r="S103" s="391"/>
      <c r="V103" s="395"/>
      <c r="W103" s="390"/>
      <c r="X103" s="390"/>
      <c r="Y103" s="390"/>
      <c r="Z103" s="390"/>
      <c r="AA103" s="390"/>
      <c r="AB103" s="390"/>
      <c r="AC103" s="390"/>
      <c r="AD103" s="390"/>
      <c r="AE103" s="384"/>
      <c r="AF103" s="384"/>
      <c r="AG103" s="384"/>
    </row>
    <row r="104" spans="2:33" ht="12.75" customHeight="1" thickBot="1">
      <c r="B104" s="402"/>
      <c r="C104" s="448" t="s">
        <v>176</v>
      </c>
      <c r="D104" s="461">
        <v>1309.8619112946985</v>
      </c>
      <c r="E104" s="461">
        <v>1279.6619274901841</v>
      </c>
      <c r="F104" s="461">
        <v>1297.7652170104031</v>
      </c>
      <c r="G104" s="461">
        <v>1325.7683389352867</v>
      </c>
      <c r="H104" s="461">
        <v>1329.7650233792485</v>
      </c>
      <c r="I104" s="461">
        <v>1345.1307536167558</v>
      </c>
      <c r="J104" s="461">
        <v>1359.8372241222553</v>
      </c>
      <c r="K104" s="461">
        <v>1319.8124283826057</v>
      </c>
      <c r="L104" s="494"/>
      <c r="M104" s="462"/>
      <c r="S104" s="391"/>
      <c r="V104" s="395"/>
      <c r="W104" s="390"/>
      <c r="X104" s="390"/>
      <c r="Y104" s="390"/>
      <c r="Z104" s="390"/>
      <c r="AA104" s="390"/>
      <c r="AB104" s="390"/>
      <c r="AC104" s="390"/>
      <c r="AD104" s="390"/>
      <c r="AE104" s="384"/>
      <c r="AF104" s="384"/>
      <c r="AG104" s="384"/>
    </row>
    <row r="105" spans="2:33" ht="12.75" customHeight="1">
      <c r="B105" s="402"/>
      <c r="C105" s="457"/>
      <c r="D105" s="458"/>
      <c r="E105" s="458"/>
      <c r="F105" s="458"/>
      <c r="G105" s="458"/>
      <c r="H105" s="458"/>
      <c r="I105" s="458"/>
      <c r="J105" s="458"/>
      <c r="K105" s="458"/>
      <c r="L105" s="494"/>
      <c r="M105" s="462"/>
      <c r="S105" s="391"/>
      <c r="V105" s="395"/>
      <c r="W105" s="390"/>
      <c r="X105" s="390"/>
      <c r="Y105" s="390"/>
      <c r="Z105" s="390"/>
      <c r="AA105" s="390"/>
      <c r="AB105" s="390"/>
      <c r="AC105" s="390"/>
      <c r="AD105" s="390"/>
      <c r="AE105" s="384"/>
      <c r="AF105" s="384"/>
      <c r="AG105" s="384"/>
    </row>
    <row r="106" spans="2:33" ht="39.75" customHeight="1">
      <c r="B106" s="402"/>
      <c r="C106" s="528" t="s">
        <v>177</v>
      </c>
      <c r="D106" s="528"/>
      <c r="E106" s="528"/>
      <c r="F106" s="528"/>
      <c r="G106" s="528"/>
      <c r="H106" s="528"/>
      <c r="I106" s="528"/>
      <c r="J106" s="528"/>
      <c r="K106" s="528"/>
      <c r="L106" s="528"/>
      <c r="M106" s="462"/>
      <c r="S106" s="391"/>
      <c r="V106" s="395"/>
      <c r="W106" s="390"/>
      <c r="X106" s="390"/>
      <c r="Y106" s="390"/>
      <c r="Z106" s="390"/>
      <c r="AA106" s="390"/>
      <c r="AB106" s="390"/>
      <c r="AC106" s="390"/>
      <c r="AD106" s="390"/>
      <c r="AE106" s="384"/>
      <c r="AF106" s="384"/>
      <c r="AG106" s="384"/>
    </row>
    <row r="107" spans="2:33" ht="4.5" customHeight="1">
      <c r="B107" s="402"/>
      <c r="C107" s="506"/>
      <c r="D107" s="506"/>
      <c r="E107" s="506"/>
      <c r="F107" s="506"/>
      <c r="G107" s="506"/>
      <c r="H107" s="506"/>
      <c r="I107" s="506"/>
      <c r="J107" s="506"/>
      <c r="K107" s="506"/>
      <c r="L107" s="506"/>
      <c r="M107" s="462"/>
      <c r="S107" s="391"/>
      <c r="V107" s="395"/>
      <c r="W107" s="390"/>
      <c r="X107" s="390"/>
      <c r="Y107" s="390"/>
      <c r="Z107" s="390"/>
      <c r="AA107" s="390"/>
      <c r="AB107" s="390"/>
      <c r="AC107" s="390"/>
      <c r="AD107" s="390"/>
      <c r="AE107" s="384"/>
      <c r="AF107" s="384"/>
      <c r="AG107" s="384"/>
    </row>
    <row r="108" spans="2:33" ht="12.75" customHeight="1" thickBot="1">
      <c r="B108" s="402"/>
      <c r="C108" s="448" t="s">
        <v>178</v>
      </c>
      <c r="D108" s="462"/>
      <c r="E108" s="462"/>
      <c r="F108" s="448"/>
      <c r="G108" s="448"/>
      <c r="H108" s="448"/>
      <c r="I108" s="448"/>
      <c r="J108" s="448"/>
      <c r="K108" s="402"/>
      <c r="L108" s="466"/>
      <c r="M108" s="462"/>
      <c r="S108" s="391"/>
      <c r="V108" s="395"/>
      <c r="W108" s="390"/>
      <c r="X108" s="390"/>
      <c r="Y108" s="390"/>
      <c r="Z108" s="390"/>
      <c r="AA108" s="390"/>
      <c r="AB108" s="390"/>
      <c r="AC108" s="390"/>
      <c r="AD108" s="390"/>
      <c r="AE108" s="384"/>
      <c r="AF108" s="384"/>
      <c r="AG108" s="384"/>
    </row>
    <row r="109" spans="2:33" ht="12.75" customHeight="1" thickBot="1">
      <c r="B109" s="402"/>
      <c r="C109" s="467" t="s">
        <v>58</v>
      </c>
      <c r="D109" s="453" t="s">
        <v>59</v>
      </c>
      <c r="E109" s="453" t="s">
        <v>60</v>
      </c>
      <c r="F109" s="453" t="s">
        <v>61</v>
      </c>
      <c r="G109" s="453" t="s">
        <v>62</v>
      </c>
      <c r="H109" s="453" t="s">
        <v>63</v>
      </c>
      <c r="I109" s="453" t="s">
        <v>64</v>
      </c>
      <c r="J109" s="453" t="s">
        <v>65</v>
      </c>
      <c r="K109" s="453" t="s">
        <v>66</v>
      </c>
      <c r="L109" s="466"/>
      <c r="M109" s="462"/>
      <c r="S109" s="391"/>
      <c r="V109" s="395"/>
      <c r="W109" s="390"/>
      <c r="X109" s="390"/>
      <c r="Y109" s="390"/>
      <c r="Z109" s="390"/>
      <c r="AA109" s="390"/>
      <c r="AB109" s="390"/>
      <c r="AC109" s="390"/>
      <c r="AD109" s="390"/>
      <c r="AE109" s="384"/>
      <c r="AF109" s="384"/>
      <c r="AG109" s="384"/>
    </row>
    <row r="110" spans="2:33" ht="12.75" customHeight="1">
      <c r="B110" s="402"/>
      <c r="C110" s="454" t="s">
        <v>110</v>
      </c>
      <c r="D110" s="455">
        <v>1342.2812908140818</v>
      </c>
      <c r="E110" s="455">
        <v>1443.8294617348479</v>
      </c>
      <c r="F110" s="455">
        <v>1475.5925732296025</v>
      </c>
      <c r="G110" s="455">
        <v>1571.3868096928732</v>
      </c>
      <c r="H110" s="455">
        <v>1554.9421422395981</v>
      </c>
      <c r="I110" s="455">
        <v>1587.6274208238708</v>
      </c>
      <c r="J110" s="455">
        <v>1585.2291170685558</v>
      </c>
      <c r="K110" s="455">
        <v>1571.5849296331837</v>
      </c>
      <c r="L110" s="466"/>
      <c r="M110" s="462"/>
      <c r="S110" s="391"/>
      <c r="V110" s="395"/>
      <c r="W110" s="390"/>
      <c r="X110" s="390"/>
      <c r="Y110" s="390"/>
      <c r="Z110" s="390"/>
      <c r="AA110" s="390"/>
      <c r="AB110" s="390"/>
      <c r="AC110" s="390"/>
      <c r="AD110" s="390"/>
      <c r="AE110" s="384"/>
      <c r="AF110" s="384"/>
      <c r="AG110" s="384"/>
    </row>
    <row r="111" spans="2:33" ht="12.75" customHeight="1">
      <c r="B111" s="402"/>
      <c r="C111" s="457" t="s">
        <v>111</v>
      </c>
      <c r="D111" s="458">
        <v>0</v>
      </c>
      <c r="E111" s="458">
        <v>-5.4472436134815325</v>
      </c>
      <c r="F111" s="458">
        <v>-114.38240781754212</v>
      </c>
      <c r="G111" s="458">
        <v>-185.40168515778055</v>
      </c>
      <c r="H111" s="458">
        <v>-253.26047854710714</v>
      </c>
      <c r="I111" s="458">
        <v>-310.24084085461686</v>
      </c>
      <c r="J111" s="458">
        <v>-378.00470840034291</v>
      </c>
      <c r="K111" s="458">
        <v>-382.4355080858702</v>
      </c>
      <c r="L111" s="466"/>
      <c r="M111" s="462"/>
      <c r="S111" s="391"/>
      <c r="V111" s="395"/>
      <c r="W111" s="390"/>
      <c r="X111" s="390"/>
      <c r="Y111" s="390"/>
      <c r="Z111" s="390"/>
      <c r="AA111" s="390"/>
      <c r="AB111" s="390"/>
      <c r="AC111" s="390"/>
      <c r="AD111" s="390"/>
      <c r="AE111" s="384"/>
      <c r="AF111" s="384"/>
      <c r="AG111" s="384"/>
    </row>
    <row r="112" spans="2:33" ht="12.75" customHeight="1">
      <c r="B112" s="402"/>
      <c r="C112" s="454" t="s">
        <v>112</v>
      </c>
      <c r="D112" s="455">
        <v>1342.2812908140818</v>
      </c>
      <c r="E112" s="455">
        <v>1438.3822181213663</v>
      </c>
      <c r="F112" s="455">
        <v>1361.2101654120604</v>
      </c>
      <c r="G112" s="455">
        <v>1385.9851245350926</v>
      </c>
      <c r="H112" s="455">
        <v>1301.6816636924909</v>
      </c>
      <c r="I112" s="455">
        <v>1277.3865799692539</v>
      </c>
      <c r="J112" s="455">
        <v>1207.2244086682128</v>
      </c>
      <c r="K112" s="455">
        <v>1189.1494215473135</v>
      </c>
      <c r="L112" s="466"/>
      <c r="M112" s="462"/>
      <c r="S112" s="391"/>
      <c r="V112" s="395"/>
      <c r="W112" s="390"/>
      <c r="X112" s="390"/>
      <c r="Y112" s="390"/>
      <c r="Z112" s="390"/>
      <c r="AA112" s="390"/>
      <c r="AB112" s="390"/>
      <c r="AC112" s="390"/>
      <c r="AD112" s="390"/>
      <c r="AE112" s="384"/>
      <c r="AF112" s="384"/>
      <c r="AG112" s="384"/>
    </row>
    <row r="113" spans="2:33" ht="12.75" customHeight="1">
      <c r="B113" s="402"/>
      <c r="C113" s="468" t="s">
        <v>113</v>
      </c>
      <c r="D113" s="455"/>
      <c r="E113" s="455"/>
      <c r="F113" s="455"/>
      <c r="G113" s="470"/>
      <c r="H113" s="470"/>
      <c r="I113" s="470"/>
      <c r="J113" s="460"/>
      <c r="K113" s="458">
        <v>12137.10107472546</v>
      </c>
      <c r="L113" s="466"/>
      <c r="M113" s="462"/>
      <c r="S113" s="391"/>
      <c r="V113" s="395"/>
      <c r="W113" s="390"/>
      <c r="X113" s="390"/>
      <c r="Y113" s="390"/>
      <c r="Z113" s="390"/>
      <c r="AA113" s="390"/>
      <c r="AB113" s="390"/>
      <c r="AC113" s="390"/>
      <c r="AD113" s="390"/>
      <c r="AE113" s="384"/>
      <c r="AF113" s="384"/>
      <c r="AG113" s="384"/>
    </row>
    <row r="114" spans="2:33" ht="12.75" customHeight="1">
      <c r="B114" s="402"/>
      <c r="C114" s="454" t="s">
        <v>114</v>
      </c>
      <c r="D114" s="455">
        <v>1309.8619112946985</v>
      </c>
      <c r="E114" s="455">
        <v>1279.6619274901841</v>
      </c>
      <c r="F114" s="455">
        <v>1297.7652170104031</v>
      </c>
      <c r="G114" s="455">
        <v>1325.7683389352867</v>
      </c>
      <c r="H114" s="455">
        <v>1329.7650233792485</v>
      </c>
      <c r="I114" s="455">
        <v>1345.1307536167558</v>
      </c>
      <c r="J114" s="455">
        <v>1359.8372241222553</v>
      </c>
      <c r="K114" s="455">
        <v>1319.8124283826057</v>
      </c>
      <c r="L114" s="466"/>
      <c r="M114" s="402"/>
      <c r="S114" s="391"/>
      <c r="V114" s="395"/>
      <c r="W114" s="390"/>
      <c r="X114" s="390"/>
      <c r="Y114" s="390"/>
      <c r="Z114" s="390"/>
      <c r="AA114" s="390"/>
      <c r="AB114" s="390"/>
      <c r="AC114" s="390"/>
      <c r="AD114" s="390"/>
      <c r="AE114" s="384"/>
      <c r="AF114" s="384"/>
      <c r="AG114" s="384"/>
    </row>
    <row r="115" spans="2:33" ht="12.75" customHeight="1" thickBot="1">
      <c r="B115" s="402"/>
      <c r="C115" s="468" t="s">
        <v>113</v>
      </c>
      <c r="D115" s="461"/>
      <c r="E115" s="461"/>
      <c r="F115" s="461"/>
      <c r="G115" s="461"/>
      <c r="H115" s="461"/>
      <c r="I115" s="461"/>
      <c r="J115" s="461"/>
      <c r="K115" s="461">
        <v>12134.325846199754</v>
      </c>
      <c r="L115" s="466"/>
      <c r="M115" s="402"/>
      <c r="S115" s="391"/>
      <c r="V115" s="395"/>
      <c r="W115" s="390"/>
      <c r="X115" s="390"/>
      <c r="Y115" s="390"/>
      <c r="Z115" s="390"/>
      <c r="AA115" s="390"/>
      <c r="AB115" s="390"/>
      <c r="AC115" s="390"/>
      <c r="AD115" s="390"/>
      <c r="AE115" s="384"/>
      <c r="AF115" s="384"/>
      <c r="AG115" s="384"/>
    </row>
    <row r="116" spans="2:33" ht="12.75" customHeight="1">
      <c r="B116" s="402"/>
      <c r="C116" s="457"/>
      <c r="D116" s="458"/>
      <c r="E116" s="458"/>
      <c r="F116" s="458"/>
      <c r="G116" s="458"/>
      <c r="H116" s="458"/>
      <c r="I116" s="458"/>
      <c r="J116" s="458"/>
      <c r="K116" s="458"/>
      <c r="L116" s="466"/>
      <c r="M116" s="402"/>
      <c r="S116" s="391"/>
      <c r="V116" s="395"/>
      <c r="W116" s="390"/>
      <c r="X116" s="390"/>
      <c r="Y116" s="390"/>
      <c r="Z116" s="390"/>
      <c r="AA116" s="390"/>
      <c r="AB116" s="390"/>
      <c r="AC116" s="390"/>
      <c r="AD116" s="390"/>
      <c r="AE116" s="384"/>
      <c r="AF116" s="384"/>
      <c r="AG116" s="384"/>
    </row>
    <row r="117" spans="2:33" ht="12.75" customHeight="1">
      <c r="B117" s="402"/>
      <c r="C117" s="459"/>
      <c r="D117" s="460"/>
      <c r="E117" s="460"/>
      <c r="F117" s="460"/>
      <c r="G117" s="460"/>
      <c r="H117" s="460"/>
      <c r="I117" s="483"/>
      <c r="J117" s="483"/>
      <c r="K117" s="483"/>
      <c r="L117" s="483"/>
      <c r="M117" s="402"/>
      <c r="S117" s="391"/>
      <c r="V117" s="395"/>
      <c r="W117" s="390"/>
      <c r="X117" s="390"/>
      <c r="Y117" s="390"/>
      <c r="Z117" s="390"/>
      <c r="AA117" s="390"/>
      <c r="AB117" s="390"/>
      <c r="AC117" s="390"/>
      <c r="AD117" s="390"/>
      <c r="AE117" s="384"/>
      <c r="AF117" s="384"/>
      <c r="AG117" s="384"/>
    </row>
    <row r="118" spans="2:33" ht="12.75" customHeight="1">
      <c r="B118" s="402"/>
      <c r="C118" s="459"/>
      <c r="D118" s="460"/>
      <c r="E118" s="460"/>
      <c r="F118" s="460"/>
      <c r="G118" s="460"/>
      <c r="H118" s="460"/>
      <c r="I118" s="483"/>
      <c r="J118" s="483"/>
      <c r="K118" s="483"/>
      <c r="L118" s="483"/>
      <c r="M118" s="402"/>
      <c r="S118" s="391"/>
      <c r="V118" s="395"/>
      <c r="W118" s="390"/>
      <c r="X118" s="390"/>
      <c r="Y118" s="390"/>
      <c r="Z118" s="390"/>
      <c r="AA118" s="390"/>
      <c r="AB118" s="390"/>
      <c r="AC118" s="390"/>
      <c r="AD118" s="390"/>
      <c r="AE118" s="384"/>
      <c r="AF118" s="384"/>
      <c r="AG118" s="384"/>
    </row>
    <row r="119" spans="2:33" ht="12.75" customHeight="1">
      <c r="B119" s="402"/>
      <c r="C119" s="402"/>
      <c r="D119" s="462"/>
      <c r="E119" s="462"/>
      <c r="F119" s="462"/>
      <c r="G119" s="462"/>
      <c r="H119" s="462"/>
      <c r="I119" s="462"/>
      <c r="J119" s="462"/>
      <c r="K119" s="462"/>
      <c r="L119" s="491"/>
      <c r="M119" s="462"/>
      <c r="N119" s="378"/>
      <c r="O119" s="378"/>
      <c r="S119" s="391"/>
      <c r="V119" s="395"/>
      <c r="W119" s="390"/>
      <c r="X119" s="390"/>
      <c r="Y119" s="390"/>
      <c r="Z119" s="390"/>
      <c r="AA119" s="390"/>
      <c r="AB119" s="390"/>
      <c r="AC119" s="390"/>
      <c r="AD119" s="390"/>
      <c r="AE119" s="384"/>
      <c r="AF119" s="384"/>
      <c r="AG119" s="384"/>
    </row>
    <row r="120" spans="2:33" ht="12.75" customHeight="1" thickBot="1">
      <c r="B120" s="402"/>
      <c r="C120" s="475" t="s">
        <v>179</v>
      </c>
      <c r="D120" s="462"/>
      <c r="E120" s="462"/>
      <c r="F120" s="462"/>
      <c r="G120" s="462"/>
      <c r="H120" s="462"/>
      <c r="I120" s="462"/>
      <c r="J120" s="462"/>
      <c r="K120" s="462"/>
      <c r="L120" s="493"/>
      <c r="M120" s="402"/>
      <c r="N120" s="386"/>
      <c r="S120" s="391"/>
      <c r="V120" s="395"/>
      <c r="W120" s="390"/>
      <c r="X120" s="390"/>
      <c r="Y120" s="390"/>
      <c r="Z120" s="390"/>
      <c r="AA120" s="390"/>
      <c r="AB120" s="390"/>
      <c r="AC120" s="390"/>
      <c r="AD120" s="390"/>
      <c r="AE120" s="384"/>
      <c r="AF120" s="384"/>
      <c r="AG120" s="384"/>
    </row>
    <row r="121" spans="2:33" ht="12.75" customHeight="1" thickBot="1">
      <c r="B121" s="402"/>
      <c r="C121" s="467" t="s">
        <v>58</v>
      </c>
      <c r="D121" s="453" t="s">
        <v>59</v>
      </c>
      <c r="E121" s="453" t="s">
        <v>60</v>
      </c>
      <c r="F121" s="453" t="s">
        <v>61</v>
      </c>
      <c r="G121" s="453" t="s">
        <v>62</v>
      </c>
      <c r="H121" s="453" t="s">
        <v>63</v>
      </c>
      <c r="I121" s="453" t="s">
        <v>64</v>
      </c>
      <c r="J121" s="453" t="s">
        <v>65</v>
      </c>
      <c r="K121" s="453" t="s">
        <v>66</v>
      </c>
      <c r="L121" s="466"/>
      <c r="M121" s="402"/>
      <c r="O121" s="378"/>
      <c r="S121" s="391"/>
      <c r="V121" s="395"/>
      <c r="W121" s="390"/>
      <c r="X121" s="390"/>
      <c r="Y121" s="390"/>
      <c r="Z121" s="390"/>
      <c r="AA121" s="390"/>
      <c r="AB121" s="390"/>
      <c r="AC121" s="390"/>
      <c r="AD121" s="390"/>
      <c r="AE121" s="384"/>
      <c r="AF121" s="384"/>
      <c r="AG121" s="384"/>
    </row>
    <row r="122" spans="2:33" ht="12.75" customHeight="1">
      <c r="B122" s="402"/>
      <c r="C122" s="454" t="s">
        <v>180</v>
      </c>
      <c r="D122" s="455">
        <v>19.092223163426969</v>
      </c>
      <c r="E122" s="455">
        <v>19.938390494030049</v>
      </c>
      <c r="F122" s="455">
        <v>20.801722802421548</v>
      </c>
      <c r="G122" s="455">
        <v>21.681219642507934</v>
      </c>
      <c r="H122" s="455">
        <v>22.577087638136362</v>
      </c>
      <c r="I122" s="455">
        <v>23.467979516337223</v>
      </c>
      <c r="J122" s="455">
        <v>24.347559388609543</v>
      </c>
      <c r="K122" s="455">
        <v>25.188524089892116</v>
      </c>
      <c r="L122" s="466"/>
      <c r="M122" s="402"/>
      <c r="O122" s="378"/>
      <c r="S122" s="391"/>
      <c r="V122" s="395"/>
      <c r="W122" s="390"/>
      <c r="X122" s="390"/>
      <c r="Y122" s="390"/>
      <c r="Z122" s="390"/>
      <c r="AA122" s="390"/>
      <c r="AB122" s="390"/>
      <c r="AC122" s="390"/>
      <c r="AD122" s="390"/>
      <c r="AE122" s="384"/>
      <c r="AF122" s="384"/>
      <c r="AG122" s="384"/>
    </row>
    <row r="123" spans="2:33" ht="12.75" customHeight="1">
      <c r="B123" s="402"/>
      <c r="C123" s="454" t="s">
        <v>181</v>
      </c>
      <c r="D123" s="455">
        <v>18.768393984911107</v>
      </c>
      <c r="E123" s="455">
        <v>19.600209206322365</v>
      </c>
      <c r="F123" s="455">
        <v>20.448898264956121</v>
      </c>
      <c r="G123" s="455">
        <v>21.313477683598467</v>
      </c>
      <c r="H123" s="455">
        <v>22.194150581484756</v>
      </c>
      <c r="I123" s="455">
        <v>23.069931763430148</v>
      </c>
      <c r="J123" s="455">
        <v>23.934592805923508</v>
      </c>
      <c r="K123" s="455">
        <v>24.761293641440108</v>
      </c>
      <c r="L123" s="466"/>
      <c r="M123" s="402"/>
      <c r="O123" s="378"/>
      <c r="S123" s="391"/>
      <c r="V123" s="395"/>
      <c r="W123" s="390"/>
      <c r="X123" s="390"/>
      <c r="Y123" s="390"/>
      <c r="Z123" s="390"/>
      <c r="AA123" s="390"/>
      <c r="AB123" s="390"/>
      <c r="AC123" s="390"/>
      <c r="AD123" s="390"/>
      <c r="AE123" s="384"/>
      <c r="AF123" s="384"/>
      <c r="AG123" s="384"/>
    </row>
    <row r="124" spans="2:33" ht="12.75" customHeight="1">
      <c r="B124" s="402"/>
      <c r="C124" s="454" t="s">
        <v>182</v>
      </c>
      <c r="D124" s="455">
        <v>7.367</v>
      </c>
      <c r="E124" s="455">
        <v>6.234</v>
      </c>
      <c r="F124" s="455">
        <v>5.5780000000000003</v>
      </c>
      <c r="G124" s="455">
        <v>3.3689999999999998</v>
      </c>
      <c r="H124" s="455">
        <v>3.3680000000000003</v>
      </c>
      <c r="I124" s="455">
        <v>3.1619999999999999</v>
      </c>
      <c r="J124" s="455">
        <v>3.0940000000000003</v>
      </c>
      <c r="K124" s="455">
        <v>3.0270000000000001</v>
      </c>
      <c r="L124" s="466"/>
      <c r="M124" s="402"/>
      <c r="O124" s="378"/>
      <c r="S124" s="391"/>
      <c r="V124" s="395"/>
      <c r="W124" s="390"/>
      <c r="X124" s="390"/>
      <c r="Y124" s="390"/>
      <c r="Z124" s="390"/>
      <c r="AA124" s="390"/>
      <c r="AB124" s="390"/>
      <c r="AC124" s="390"/>
      <c r="AD124" s="390"/>
      <c r="AE124" s="384"/>
      <c r="AF124" s="384"/>
      <c r="AG124" s="384"/>
    </row>
    <row r="125" spans="2:33" ht="12.75" customHeight="1" thickBot="1">
      <c r="B125" s="402"/>
      <c r="C125" s="448" t="s">
        <v>169</v>
      </c>
      <c r="D125" s="461">
        <v>45.227617148338076</v>
      </c>
      <c r="E125" s="461">
        <v>45.772599700352416</v>
      </c>
      <c r="F125" s="461">
        <v>46.828621067377668</v>
      </c>
      <c r="G125" s="461">
        <v>46.363697326106404</v>
      </c>
      <c r="H125" s="461">
        <v>48.13923821962112</v>
      </c>
      <c r="I125" s="461">
        <v>49.69991127976737</v>
      </c>
      <c r="J125" s="461">
        <v>51.376152194533056</v>
      </c>
      <c r="K125" s="461">
        <v>52.976817731332225</v>
      </c>
      <c r="L125" s="466"/>
      <c r="M125" s="402"/>
      <c r="O125" s="378"/>
      <c r="S125" s="391"/>
      <c r="V125" s="395"/>
      <c r="W125" s="390"/>
      <c r="X125" s="390"/>
      <c r="Y125" s="390"/>
      <c r="Z125" s="390"/>
      <c r="AA125" s="390"/>
      <c r="AB125" s="390"/>
      <c r="AC125" s="390"/>
      <c r="AD125" s="390"/>
      <c r="AE125" s="384"/>
      <c r="AF125" s="384"/>
      <c r="AG125" s="384"/>
    </row>
    <row r="126" spans="2:33">
      <c r="B126" s="402"/>
      <c r="C126" s="402"/>
      <c r="D126" s="402"/>
      <c r="E126" s="402"/>
      <c r="F126" s="402"/>
      <c r="G126" s="402"/>
      <c r="H126" s="402"/>
      <c r="I126" s="402"/>
      <c r="J126" s="402"/>
      <c r="K126" s="402"/>
      <c r="L126" s="494"/>
      <c r="M126" s="402"/>
      <c r="V126" s="395"/>
      <c r="W126" s="390"/>
      <c r="X126" s="390"/>
      <c r="Y126" s="390"/>
      <c r="Z126" s="390"/>
      <c r="AA126" s="390"/>
      <c r="AB126" s="390"/>
      <c r="AC126" s="390"/>
      <c r="AD126" s="390"/>
      <c r="AE126" s="384"/>
      <c r="AF126" s="384"/>
      <c r="AG126" s="384"/>
    </row>
    <row r="127" spans="2:33">
      <c r="L127" s="397"/>
      <c r="V127" s="395"/>
      <c r="W127" s="390"/>
      <c r="X127" s="390"/>
      <c r="Y127" s="390"/>
      <c r="Z127" s="390"/>
      <c r="AA127" s="390"/>
      <c r="AB127" s="390"/>
      <c r="AC127" s="390"/>
      <c r="AD127" s="390"/>
      <c r="AE127" s="384"/>
      <c r="AF127" s="384"/>
      <c r="AG127" s="384"/>
    </row>
    <row r="128" spans="2:33" ht="23.4">
      <c r="B128" s="400">
        <v>5</v>
      </c>
      <c r="C128" s="430" t="s">
        <v>115</v>
      </c>
      <c r="D128" s="402"/>
      <c r="E128" s="402"/>
      <c r="F128" s="402"/>
      <c r="G128" s="402"/>
      <c r="H128" s="402"/>
      <c r="I128" s="402"/>
      <c r="J128" s="402"/>
      <c r="K128" s="402"/>
      <c r="L128" s="466"/>
      <c r="M128" s="402"/>
    </row>
    <row r="129" spans="2:15" ht="126" customHeight="1">
      <c r="B129" s="400"/>
      <c r="C129" s="528" t="s">
        <v>183</v>
      </c>
      <c r="D129" s="529"/>
      <c r="E129" s="529"/>
      <c r="F129" s="529"/>
      <c r="G129" s="529"/>
      <c r="H129" s="529"/>
      <c r="I129" s="529"/>
      <c r="J129" s="529"/>
      <c r="K129" s="529"/>
      <c r="L129" s="529"/>
      <c r="M129" s="402"/>
    </row>
    <row r="130" spans="2:15" ht="6.75" customHeight="1">
      <c r="B130" s="402"/>
      <c r="C130" s="402"/>
      <c r="D130" s="402"/>
      <c r="E130" s="402"/>
      <c r="F130" s="402"/>
      <c r="G130" s="402"/>
      <c r="H130" s="402"/>
      <c r="I130" s="402"/>
      <c r="J130" s="402"/>
      <c r="K130" s="402"/>
      <c r="L130" s="466"/>
      <c r="M130" s="402"/>
    </row>
    <row r="131" spans="2:15" ht="13.8" thickBot="1">
      <c r="B131" s="402"/>
      <c r="C131" s="448" t="s">
        <v>184</v>
      </c>
      <c r="D131" s="462"/>
      <c r="E131" s="462"/>
      <c r="F131" s="448"/>
      <c r="G131" s="448"/>
      <c r="H131" s="448"/>
      <c r="I131" s="448"/>
      <c r="J131" s="448"/>
      <c r="K131" s="402"/>
      <c r="L131" s="448"/>
      <c r="M131" s="402"/>
      <c r="N131" s="386"/>
      <c r="O131" s="386"/>
    </row>
    <row r="132" spans="2:15" ht="13.8" thickBot="1">
      <c r="B132" s="402"/>
      <c r="C132" s="467" t="s">
        <v>58</v>
      </c>
      <c r="D132" s="453" t="s">
        <v>59</v>
      </c>
      <c r="E132" s="453" t="s">
        <v>60</v>
      </c>
      <c r="F132" s="453" t="s">
        <v>61</v>
      </c>
      <c r="G132" s="453" t="s">
        <v>62</v>
      </c>
      <c r="H132" s="453" t="s">
        <v>63</v>
      </c>
      <c r="I132" s="453" t="s">
        <v>64</v>
      </c>
      <c r="J132" s="453" t="s">
        <v>65</v>
      </c>
      <c r="K132" s="453" t="s">
        <v>66</v>
      </c>
      <c r="L132" s="453" t="s">
        <v>118</v>
      </c>
      <c r="M132" s="402"/>
    </row>
    <row r="133" spans="2:15">
      <c r="B133" s="402"/>
      <c r="C133" s="454"/>
      <c r="D133" s="455"/>
      <c r="E133" s="455"/>
      <c r="F133" s="455"/>
      <c r="G133" s="455"/>
      <c r="H133" s="455"/>
      <c r="I133" s="455"/>
      <c r="J133" s="455"/>
      <c r="K133" s="455"/>
      <c r="L133" s="478"/>
      <c r="M133" s="402"/>
    </row>
    <row r="134" spans="2:15">
      <c r="B134" s="402"/>
      <c r="C134" s="454" t="s">
        <v>157</v>
      </c>
      <c r="D134" s="496">
        <v>39.230261993822481</v>
      </c>
      <c r="E134" s="496">
        <v>34.208586772300464</v>
      </c>
      <c r="F134" s="496">
        <v>30.894900022849214</v>
      </c>
      <c r="G134" s="496">
        <v>28.301072099524138</v>
      </c>
      <c r="H134" s="496">
        <v>30.672102023183324</v>
      </c>
      <c r="I134" s="496">
        <v>21.438897958036218</v>
      </c>
      <c r="J134" s="496">
        <v>26.487810428292697</v>
      </c>
      <c r="K134" s="496">
        <v>26.426824166461682</v>
      </c>
      <c r="L134" s="497">
        <v>237.66045546447023</v>
      </c>
      <c r="M134" s="402"/>
      <c r="N134" s="378"/>
    </row>
    <row r="135" spans="2:15">
      <c r="B135" s="402"/>
      <c r="C135" s="454" t="s">
        <v>70</v>
      </c>
      <c r="D135" s="496">
        <v>73.775027711210655</v>
      </c>
      <c r="E135" s="496">
        <v>74.857370793520886</v>
      </c>
      <c r="F135" s="496">
        <v>83.380513630549061</v>
      </c>
      <c r="G135" s="496">
        <v>83.456770329445604</v>
      </c>
      <c r="H135" s="496">
        <v>83.996521544219092</v>
      </c>
      <c r="I135" s="496">
        <v>84.553084139559033</v>
      </c>
      <c r="J135" s="496">
        <v>86.295296789691179</v>
      </c>
      <c r="K135" s="496">
        <v>88.042998764159549</v>
      </c>
      <c r="L135" s="497">
        <v>658.35758370235499</v>
      </c>
      <c r="M135" s="402"/>
      <c r="N135" s="378"/>
    </row>
    <row r="136" spans="2:15">
      <c r="B136" s="402"/>
      <c r="C136" s="457" t="s">
        <v>158</v>
      </c>
      <c r="D136" s="509">
        <v>113.00528970503314</v>
      </c>
      <c r="E136" s="509">
        <v>109.06595756582135</v>
      </c>
      <c r="F136" s="509">
        <v>106.41534028985718</v>
      </c>
      <c r="G136" s="509">
        <v>105.7471980921442</v>
      </c>
      <c r="H136" s="509">
        <v>108.95220657573617</v>
      </c>
      <c r="I136" s="509">
        <v>100.37644305284076</v>
      </c>
      <c r="J136" s="509">
        <v>107.18438116438134</v>
      </c>
      <c r="K136" s="509">
        <v>109.0812592664182</v>
      </c>
      <c r="L136" s="509">
        <v>859.82807571223236</v>
      </c>
      <c r="M136" s="402"/>
    </row>
    <row r="137" spans="2:15">
      <c r="B137" s="402"/>
      <c r="C137" s="454" t="s">
        <v>72</v>
      </c>
      <c r="D137" s="496">
        <v>13.118423307626387</v>
      </c>
      <c r="E137" s="496">
        <v>5.4593776986255023</v>
      </c>
      <c r="F137" s="496">
        <v>13.669662381843921</v>
      </c>
      <c r="G137" s="496">
        <v>20.491728985957153</v>
      </c>
      <c r="H137" s="496">
        <v>28.431121951190761</v>
      </c>
      <c r="I137" s="496">
        <v>61.467940197688222</v>
      </c>
      <c r="J137" s="496">
        <v>30.971513415462198</v>
      </c>
      <c r="K137" s="496">
        <v>27.33628607801073</v>
      </c>
      <c r="L137" s="497">
        <v>200.9460540164049</v>
      </c>
      <c r="M137" s="402"/>
      <c r="N137" s="378"/>
    </row>
    <row r="138" spans="2:15">
      <c r="B138" s="402"/>
      <c r="C138" s="457" t="s">
        <v>73</v>
      </c>
      <c r="D138" s="509">
        <v>126.12371301265952</v>
      </c>
      <c r="E138" s="509">
        <v>114.52533526444685</v>
      </c>
      <c r="F138" s="509">
        <v>120.0850026717011</v>
      </c>
      <c r="G138" s="509">
        <v>126.23892707810136</v>
      </c>
      <c r="H138" s="509">
        <v>137.38332852692693</v>
      </c>
      <c r="I138" s="509">
        <v>161.84438325052898</v>
      </c>
      <c r="J138" s="509">
        <v>138.15589457984353</v>
      </c>
      <c r="K138" s="509">
        <v>136.41754534442893</v>
      </c>
      <c r="L138" s="509">
        <v>1060.7741297286373</v>
      </c>
      <c r="M138" s="402"/>
      <c r="N138" s="378"/>
    </row>
    <row r="139" spans="2:15">
      <c r="B139" s="402"/>
      <c r="C139" s="459"/>
      <c r="D139" s="498"/>
      <c r="E139" s="498"/>
      <c r="F139" s="498"/>
      <c r="G139" s="498"/>
      <c r="H139" s="498"/>
      <c r="I139" s="498"/>
      <c r="J139" s="498"/>
      <c r="K139" s="498"/>
      <c r="L139" s="498"/>
      <c r="M139" s="402"/>
    </row>
    <row r="140" spans="2:15">
      <c r="B140" s="402"/>
      <c r="C140" s="454" t="s">
        <v>121</v>
      </c>
      <c r="D140" s="496">
        <v>32.211047115864659</v>
      </c>
      <c r="E140" s="496">
        <v>34.412038344731393</v>
      </c>
      <c r="F140" s="496">
        <v>33.431784730351907</v>
      </c>
      <c r="G140" s="496">
        <v>45.046194512275676</v>
      </c>
      <c r="H140" s="496">
        <v>48.724532627252877</v>
      </c>
      <c r="I140" s="496">
        <v>59.278336906445745</v>
      </c>
      <c r="J140" s="496">
        <v>40.725464207110875</v>
      </c>
      <c r="K140" s="496">
        <v>37.500589670098051</v>
      </c>
      <c r="L140" s="497">
        <v>331.3299881141312</v>
      </c>
      <c r="M140" s="402"/>
      <c r="N140" s="378"/>
    </row>
    <row r="141" spans="2:15">
      <c r="B141" s="402"/>
      <c r="C141" s="454" t="s">
        <v>76</v>
      </c>
      <c r="D141" s="496">
        <v>81.990982577070014</v>
      </c>
      <c r="E141" s="496">
        <v>79.325370564392955</v>
      </c>
      <c r="F141" s="496">
        <v>82.444959949703602</v>
      </c>
      <c r="G141" s="496">
        <v>87.244218866382454</v>
      </c>
      <c r="H141" s="496">
        <v>93.13512278909549</v>
      </c>
      <c r="I141" s="496">
        <v>107.70371493088014</v>
      </c>
      <c r="J141" s="496">
        <v>97.43043037273263</v>
      </c>
      <c r="K141" s="496">
        <v>98.916955674330865</v>
      </c>
      <c r="L141" s="497">
        <v>728.19175572458812</v>
      </c>
      <c r="M141" s="402"/>
      <c r="N141" s="378"/>
    </row>
    <row r="142" spans="2:15">
      <c r="B142" s="402"/>
      <c r="C142" s="457" t="s">
        <v>77</v>
      </c>
      <c r="D142" s="509">
        <v>114.20202969293467</v>
      </c>
      <c r="E142" s="509">
        <v>113.73740890912435</v>
      </c>
      <c r="F142" s="509">
        <v>115.87674468005551</v>
      </c>
      <c r="G142" s="509">
        <v>132.29041337865812</v>
      </c>
      <c r="H142" s="509">
        <v>141.85965541634837</v>
      </c>
      <c r="I142" s="509">
        <v>166.98205183732588</v>
      </c>
      <c r="J142" s="509">
        <v>138.1558945798435</v>
      </c>
      <c r="K142" s="509">
        <v>136.4175453444289</v>
      </c>
      <c r="L142" s="509">
        <v>1059.5217438387192</v>
      </c>
      <c r="M142" s="402"/>
    </row>
    <row r="143" spans="2:15">
      <c r="B143" s="402"/>
      <c r="C143" s="459"/>
      <c r="D143" s="499"/>
      <c r="E143" s="498"/>
      <c r="F143" s="498"/>
      <c r="G143" s="498"/>
      <c r="H143" s="498"/>
      <c r="I143" s="498"/>
      <c r="J143" s="498"/>
      <c r="K143" s="498"/>
      <c r="L143" s="498"/>
      <c r="M143" s="402"/>
    </row>
    <row r="144" spans="2:15">
      <c r="B144" s="402"/>
      <c r="C144" s="457" t="s">
        <v>159</v>
      </c>
      <c r="D144" s="509">
        <v>119.80522085320536</v>
      </c>
      <c r="E144" s="509">
        <v>114.10773429612593</v>
      </c>
      <c r="F144" s="509">
        <v>117.85462593612894</v>
      </c>
      <c r="G144" s="509">
        <v>129.44621481739645</v>
      </c>
      <c r="H144" s="509">
        <v>139.75578177832028</v>
      </c>
      <c r="I144" s="509">
        <v>164.56734760153134</v>
      </c>
      <c r="J144" s="509">
        <v>138.1558945798435</v>
      </c>
      <c r="K144" s="509">
        <v>136.4175453444289</v>
      </c>
      <c r="L144" s="509">
        <v>1060.1103652069805</v>
      </c>
      <c r="M144" s="402"/>
    </row>
    <row r="145" spans="2:13">
      <c r="B145" s="402"/>
      <c r="C145" s="454" t="s">
        <v>79</v>
      </c>
      <c r="D145" s="496">
        <v>86.379564235161055</v>
      </c>
      <c r="E145" s="496">
        <v>82.27167642750679</v>
      </c>
      <c r="F145" s="496">
        <v>84.973185299948966</v>
      </c>
      <c r="G145" s="496">
        <v>93.330720883342835</v>
      </c>
      <c r="H145" s="496">
        <v>100.76391866216892</v>
      </c>
      <c r="I145" s="496">
        <v>118.65305762070409</v>
      </c>
      <c r="J145" s="496">
        <v>99.610399992067158</v>
      </c>
      <c r="K145" s="496">
        <v>98.357050193333237</v>
      </c>
      <c r="L145" s="497">
        <v>764.33957331423312</v>
      </c>
      <c r="M145" s="402"/>
    </row>
    <row r="146" spans="2:13" ht="13.8" thickBot="1">
      <c r="B146" s="402"/>
      <c r="C146" s="463" t="s">
        <v>80</v>
      </c>
      <c r="D146" s="464">
        <v>33.4256566180443</v>
      </c>
      <c r="E146" s="464">
        <v>31.836057868619136</v>
      </c>
      <c r="F146" s="464">
        <v>32.881440636179974</v>
      </c>
      <c r="G146" s="464">
        <v>36.11549393405361</v>
      </c>
      <c r="H146" s="464">
        <v>38.991863116151364</v>
      </c>
      <c r="I146" s="464">
        <v>45.914289980827249</v>
      </c>
      <c r="J146" s="464">
        <v>38.545494587776339</v>
      </c>
      <c r="K146" s="464">
        <v>38.060495151095665</v>
      </c>
      <c r="L146" s="510">
        <v>295.77079189274764</v>
      </c>
      <c r="M146" s="402"/>
    </row>
    <row r="147" spans="2:13">
      <c r="B147" s="402"/>
      <c r="C147" s="454"/>
      <c r="D147" s="496"/>
      <c r="E147" s="496"/>
      <c r="F147" s="496"/>
      <c r="G147" s="496"/>
      <c r="H147" s="496"/>
      <c r="I147" s="496"/>
      <c r="J147" s="496"/>
      <c r="K147" s="496"/>
      <c r="L147" s="497"/>
      <c r="M147" s="402"/>
    </row>
    <row r="148" spans="2:13" ht="38.25" customHeight="1">
      <c r="B148" s="402"/>
      <c r="C148" s="528" t="s">
        <v>81</v>
      </c>
      <c r="D148" s="529"/>
      <c r="E148" s="529"/>
      <c r="F148" s="529"/>
      <c r="G148" s="529"/>
      <c r="H148" s="529"/>
      <c r="I148" s="529"/>
      <c r="J148" s="529"/>
      <c r="K148" s="529"/>
      <c r="L148" s="529"/>
      <c r="M148" s="402"/>
    </row>
    <row r="149" spans="2:13" ht="7.5" customHeight="1">
      <c r="B149" s="402"/>
      <c r="C149" s="454"/>
      <c r="D149" s="496"/>
      <c r="E149" s="496"/>
      <c r="F149" s="496"/>
      <c r="G149" s="496"/>
      <c r="H149" s="496"/>
      <c r="I149" s="496"/>
      <c r="J149" s="496"/>
      <c r="K149" s="496"/>
      <c r="L149" s="497"/>
      <c r="M149" s="402"/>
    </row>
    <row r="150" spans="2:13" ht="13.8" thickBot="1">
      <c r="B150" s="402"/>
      <c r="C150" s="448" t="s">
        <v>185</v>
      </c>
      <c r="D150" s="462"/>
      <c r="E150" s="462"/>
      <c r="F150" s="448"/>
      <c r="G150" s="448"/>
      <c r="H150" s="448"/>
      <c r="I150" s="448"/>
      <c r="J150" s="448"/>
      <c r="K150" s="402"/>
      <c r="L150" s="497"/>
      <c r="M150" s="402"/>
    </row>
    <row r="151" spans="2:13" ht="13.8" thickBot="1">
      <c r="B151" s="402"/>
      <c r="C151" s="467" t="s">
        <v>58</v>
      </c>
      <c r="D151" s="453" t="s">
        <v>59</v>
      </c>
      <c r="E151" s="453" t="s">
        <v>60</v>
      </c>
      <c r="F151" s="453" t="s">
        <v>61</v>
      </c>
      <c r="G151" s="453" t="s">
        <v>62</v>
      </c>
      <c r="H151" s="453" t="s">
        <v>63</v>
      </c>
      <c r="I151" s="453" t="s">
        <v>64</v>
      </c>
      <c r="J151" s="453" t="s">
        <v>65</v>
      </c>
      <c r="K151" s="453" t="s">
        <v>66</v>
      </c>
      <c r="L151" s="497"/>
      <c r="M151" s="402"/>
    </row>
    <row r="152" spans="2:13">
      <c r="B152" s="402"/>
      <c r="C152" s="454" t="s">
        <v>91</v>
      </c>
      <c r="D152" s="455">
        <v>74.160747515587701</v>
      </c>
      <c r="E152" s="455">
        <v>94.867572674081416</v>
      </c>
      <c r="F152" s="455">
        <v>107.32395023965394</v>
      </c>
      <c r="G152" s="455">
        <v>117.68156233117602</v>
      </c>
      <c r="H152" s="455">
        <v>128.4084006791667</v>
      </c>
      <c r="I152" s="455">
        <v>138.31724479594911</v>
      </c>
      <c r="J152" s="455">
        <v>152.08614270900932</v>
      </c>
      <c r="K152" s="455">
        <v>154.77335393325794</v>
      </c>
      <c r="L152" s="497"/>
      <c r="M152" s="402"/>
    </row>
    <row r="153" spans="2:13">
      <c r="B153" s="402"/>
      <c r="C153" s="454" t="s">
        <v>84</v>
      </c>
      <c r="D153" s="455">
        <v>2.9301486584244367</v>
      </c>
      <c r="E153" s="455">
        <v>0</v>
      </c>
      <c r="F153" s="455">
        <v>0</v>
      </c>
      <c r="G153" s="455">
        <v>0</v>
      </c>
      <c r="H153" s="455">
        <v>0</v>
      </c>
      <c r="I153" s="455">
        <v>0</v>
      </c>
      <c r="J153" s="455">
        <v>0</v>
      </c>
      <c r="K153" s="455">
        <v>0</v>
      </c>
      <c r="L153" s="497"/>
      <c r="M153" s="402"/>
    </row>
    <row r="154" spans="2:13">
      <c r="B154" s="402"/>
      <c r="C154" s="454" t="s">
        <v>86</v>
      </c>
      <c r="D154" s="455">
        <v>33.421997853433474</v>
      </c>
      <c r="E154" s="455">
        <v>31.83581605402069</v>
      </c>
      <c r="F154" s="455">
        <v>32.88014912180234</v>
      </c>
      <c r="G154" s="455">
        <v>36.11735113519925</v>
      </c>
      <c r="H154" s="455">
        <v>38.993236900873733</v>
      </c>
      <c r="I154" s="455">
        <v>45.915866731316541</v>
      </c>
      <c r="J154" s="455">
        <v>38.545494587776346</v>
      </c>
      <c r="K154" s="455">
        <v>38.060495151095672</v>
      </c>
      <c r="L154" s="497"/>
      <c r="M154" s="402"/>
    </row>
    <row r="155" spans="2:13">
      <c r="B155" s="402"/>
      <c r="C155" s="454" t="s">
        <v>87</v>
      </c>
      <c r="D155" s="455">
        <v>-15.645321353364194</v>
      </c>
      <c r="E155" s="455">
        <v>-19.379438488448173</v>
      </c>
      <c r="F155" s="455">
        <v>-22.522537030280255</v>
      </c>
      <c r="G155" s="455">
        <v>-25.390512787208571</v>
      </c>
      <c r="H155" s="455">
        <v>-29.084392784091335</v>
      </c>
      <c r="I155" s="455">
        <v>-32.146968818256298</v>
      </c>
      <c r="J155" s="455">
        <v>-35.85828336352774</v>
      </c>
      <c r="K155" s="455">
        <v>-37.234294434692401</v>
      </c>
      <c r="L155" s="497"/>
      <c r="M155" s="402"/>
    </row>
    <row r="156" spans="2:13" ht="13.8" thickBot="1">
      <c r="B156" s="402"/>
      <c r="C156" s="448" t="s">
        <v>94</v>
      </c>
      <c r="D156" s="461">
        <v>94.867572674081416</v>
      </c>
      <c r="E156" s="461">
        <v>107.32395023965394</v>
      </c>
      <c r="F156" s="461">
        <v>117.68156233117602</v>
      </c>
      <c r="G156" s="461">
        <v>128.4084006791667</v>
      </c>
      <c r="H156" s="461">
        <v>138.31724479594911</v>
      </c>
      <c r="I156" s="461">
        <v>152.08614270900932</v>
      </c>
      <c r="J156" s="461">
        <v>154.77335393325794</v>
      </c>
      <c r="K156" s="461">
        <v>155.5995546496612</v>
      </c>
      <c r="L156" s="466"/>
      <c r="M156" s="402"/>
    </row>
    <row r="157" spans="2:13">
      <c r="B157" s="402"/>
      <c r="C157" s="457"/>
      <c r="D157" s="458"/>
      <c r="E157" s="458"/>
      <c r="F157" s="458"/>
      <c r="G157" s="458"/>
      <c r="H157" s="458"/>
      <c r="I157" s="458"/>
      <c r="J157" s="458"/>
      <c r="K157" s="458"/>
      <c r="L157" s="466"/>
      <c r="M157" s="402"/>
    </row>
    <row r="158" spans="2:13">
      <c r="B158" s="402"/>
      <c r="C158" s="457"/>
      <c r="D158" s="458"/>
      <c r="E158" s="458"/>
      <c r="F158" s="458"/>
      <c r="G158" s="458"/>
      <c r="H158" s="458"/>
      <c r="I158" s="458"/>
      <c r="J158" s="458"/>
      <c r="K158" s="458"/>
      <c r="L158" s="466"/>
      <c r="M158" s="402"/>
    </row>
    <row r="160" spans="2:13" ht="23.4">
      <c r="B160" s="400">
        <v>6</v>
      </c>
      <c r="C160" s="430" t="s">
        <v>123</v>
      </c>
      <c r="D160" s="402"/>
      <c r="E160" s="402"/>
      <c r="F160" s="402"/>
      <c r="G160" s="402"/>
      <c r="H160" s="402"/>
      <c r="I160" s="402"/>
      <c r="J160" s="402"/>
      <c r="K160" s="402"/>
      <c r="L160" s="466"/>
      <c r="M160" s="402"/>
    </row>
    <row r="161" spans="2:13" ht="56.25" customHeight="1">
      <c r="B161" s="400"/>
      <c r="C161" s="528" t="s">
        <v>186</v>
      </c>
      <c r="D161" s="528"/>
      <c r="E161" s="528"/>
      <c r="F161" s="528"/>
      <c r="G161" s="528"/>
      <c r="H161" s="528"/>
      <c r="I161" s="528"/>
      <c r="J161" s="528"/>
      <c r="K161" s="528"/>
      <c r="L161" s="528"/>
      <c r="M161" s="402"/>
    </row>
    <row r="162" spans="2:13">
      <c r="B162" s="402"/>
      <c r="C162" s="402"/>
      <c r="D162" s="402"/>
      <c r="E162" s="402"/>
      <c r="F162" s="402"/>
      <c r="G162" s="402"/>
      <c r="H162" s="402"/>
      <c r="I162" s="402"/>
      <c r="J162" s="402"/>
      <c r="K162" s="402"/>
      <c r="L162" s="466"/>
      <c r="M162" s="402"/>
    </row>
    <row r="163" spans="2:13" ht="13.8" thickBot="1">
      <c r="B163" s="402"/>
      <c r="C163" s="448" t="s">
        <v>187</v>
      </c>
      <c r="D163" s="462"/>
      <c r="E163" s="462"/>
      <c r="F163" s="448"/>
      <c r="G163" s="448"/>
      <c r="H163" s="448"/>
      <c r="I163" s="448"/>
      <c r="J163" s="448"/>
      <c r="K163" s="402"/>
      <c r="L163" s="466"/>
      <c r="M163" s="402"/>
    </row>
    <row r="164" spans="2:13" ht="13.8" thickBot="1">
      <c r="B164" s="402"/>
      <c r="C164" s="467" t="s">
        <v>58</v>
      </c>
      <c r="D164" s="453" t="s">
        <v>59</v>
      </c>
      <c r="E164" s="453" t="s">
        <v>60</v>
      </c>
      <c r="F164" s="453" t="s">
        <v>61</v>
      </c>
      <c r="G164" s="453" t="s">
        <v>62</v>
      </c>
      <c r="H164" s="453" t="s">
        <v>63</v>
      </c>
      <c r="I164" s="453" t="s">
        <v>64</v>
      </c>
      <c r="J164" s="453" t="s">
        <v>65</v>
      </c>
      <c r="K164" s="453" t="s">
        <v>66</v>
      </c>
      <c r="L164" s="490"/>
      <c r="M164" s="402"/>
    </row>
    <row r="165" spans="2:13">
      <c r="B165" s="402"/>
      <c r="C165" s="454" t="s">
        <v>79</v>
      </c>
      <c r="D165" s="455">
        <v>86.370109148120193</v>
      </c>
      <c r="E165" s="455">
        <v>82.271051523114394</v>
      </c>
      <c r="F165" s="455">
        <v>84.96984773053579</v>
      </c>
      <c r="G165" s="455">
        <v>93.335520317127802</v>
      </c>
      <c r="H165" s="455">
        <v>100.76746883702494</v>
      </c>
      <c r="I165" s="455">
        <v>118.65713230566028</v>
      </c>
      <c r="J165" s="455">
        <v>99.610399992067187</v>
      </c>
      <c r="K165" s="455">
        <v>98.357050193333251</v>
      </c>
      <c r="L165" s="478"/>
      <c r="M165" s="402"/>
    </row>
    <row r="166" spans="2:13">
      <c r="B166" s="402"/>
      <c r="C166" s="454" t="s">
        <v>98</v>
      </c>
      <c r="D166" s="455">
        <v>0</v>
      </c>
      <c r="E166" s="455">
        <v>0</v>
      </c>
      <c r="F166" s="455">
        <v>0</v>
      </c>
      <c r="G166" s="455">
        <v>0</v>
      </c>
      <c r="H166" s="455">
        <v>0</v>
      </c>
      <c r="I166" s="455">
        <v>0</v>
      </c>
      <c r="J166" s="455">
        <v>0</v>
      </c>
      <c r="K166" s="455">
        <v>0</v>
      </c>
      <c r="L166" s="478"/>
      <c r="M166" s="402"/>
    </row>
    <row r="167" spans="2:13">
      <c r="B167" s="402"/>
      <c r="C167" s="454" t="s">
        <v>99</v>
      </c>
      <c r="D167" s="455">
        <v>10.271521977223172</v>
      </c>
      <c r="E167" s="455">
        <v>10.214748985437437</v>
      </c>
      <c r="F167" s="455">
        <v>11.357789408220997</v>
      </c>
      <c r="G167" s="455">
        <v>11.50271907609619</v>
      </c>
      <c r="H167" s="455">
        <v>11.448485075095853</v>
      </c>
      <c r="I167" s="455">
        <v>10.073255471065824</v>
      </c>
      <c r="J167" s="455">
        <v>10.218189380694216</v>
      </c>
      <c r="K167" s="455">
        <v>10.161150609207187</v>
      </c>
      <c r="L167" s="478"/>
      <c r="M167" s="402"/>
    </row>
    <row r="168" spans="2:13">
      <c r="B168" s="402"/>
      <c r="C168" s="454" t="s">
        <v>100</v>
      </c>
      <c r="D168" s="455">
        <v>0</v>
      </c>
      <c r="E168" s="455">
        <v>0</v>
      </c>
      <c r="F168" s="455">
        <v>0</v>
      </c>
      <c r="G168" s="455">
        <v>0</v>
      </c>
      <c r="H168" s="455">
        <v>0</v>
      </c>
      <c r="I168" s="455">
        <v>0</v>
      </c>
      <c r="J168" s="455">
        <v>0</v>
      </c>
      <c r="K168" s="455">
        <v>0</v>
      </c>
      <c r="L168" s="478"/>
      <c r="M168" s="402"/>
    </row>
    <row r="169" spans="2:13">
      <c r="B169" s="402"/>
      <c r="C169" s="454" t="s">
        <v>101</v>
      </c>
      <c r="D169" s="455">
        <v>0.93219394583370063</v>
      </c>
      <c r="E169" s="455">
        <v>0.89969793099769957</v>
      </c>
      <c r="F169" s="455">
        <v>0.87783267686821997</v>
      </c>
      <c r="G169" s="455">
        <v>0.87232109317784756</v>
      </c>
      <c r="H169" s="455">
        <v>0.89875958568159287</v>
      </c>
      <c r="I169" s="455">
        <v>0.82801710222961222</v>
      </c>
      <c r="J169" s="455">
        <v>0.88417658562860901</v>
      </c>
      <c r="K169" s="455">
        <v>0.89982415652833247</v>
      </c>
      <c r="L169" s="494"/>
      <c r="M169" s="402"/>
    </row>
    <row r="170" spans="2:13">
      <c r="B170" s="402"/>
      <c r="C170" s="454" t="s">
        <v>102</v>
      </c>
      <c r="D170" s="455">
        <v>1.4521935428001387</v>
      </c>
      <c r="E170" s="455">
        <v>1.1040587177529837</v>
      </c>
      <c r="F170" s="455">
        <v>1.2701251520307342</v>
      </c>
      <c r="G170" s="455">
        <v>2.0000233568591961</v>
      </c>
      <c r="H170" s="455">
        <v>2.4500877169084161</v>
      </c>
      <c r="I170" s="455">
        <v>2.9326183892249467</v>
      </c>
      <c r="J170" s="455">
        <v>1.4521025504911933</v>
      </c>
      <c r="K170" s="455">
        <v>1.1326370867901303</v>
      </c>
      <c r="L170" s="494"/>
      <c r="M170" s="402"/>
    </row>
    <row r="171" spans="2:13">
      <c r="B171" s="402"/>
      <c r="C171" s="454" t="s">
        <v>103</v>
      </c>
      <c r="D171" s="455">
        <v>19.398398972540615</v>
      </c>
      <c r="E171" s="455">
        <v>23.759069780350902</v>
      </c>
      <c r="F171" s="455">
        <v>27.288164987426697</v>
      </c>
      <c r="G171" s="455">
        <v>30.482738968565791</v>
      </c>
      <c r="H171" s="455">
        <v>34.481552532308747</v>
      </c>
      <c r="I171" s="455">
        <v>37.762716557925252</v>
      </c>
      <c r="J171" s="455">
        <v>41.504048585005322</v>
      </c>
      <c r="K171" s="455">
        <v>42.504717361339658</v>
      </c>
      <c r="L171" s="494"/>
      <c r="M171" s="402"/>
    </row>
    <row r="172" spans="2:13">
      <c r="B172" s="402"/>
      <c r="C172" s="454" t="s">
        <v>169</v>
      </c>
      <c r="D172" s="455">
        <v>1.9673768800481106</v>
      </c>
      <c r="E172" s="455">
        <v>2.0545710233718428</v>
      </c>
      <c r="F172" s="455">
        <v>2.1435339486838436</v>
      </c>
      <c r="G172" s="455">
        <v>2.2341625640341967</v>
      </c>
      <c r="H172" s="455">
        <v>2.3264781611800895</v>
      </c>
      <c r="I172" s="455">
        <v>2.4182809894202562</v>
      </c>
      <c r="J172" s="455">
        <v>2.5089181609037272</v>
      </c>
      <c r="K172" s="455">
        <v>2.595576194181342</v>
      </c>
      <c r="L172" s="494"/>
      <c r="M172" s="402"/>
    </row>
    <row r="173" spans="2:13" ht="13.8" thickBot="1">
      <c r="B173" s="402"/>
      <c r="C173" s="448" t="s">
        <v>107</v>
      </c>
      <c r="D173" s="461">
        <v>120.39179446656594</v>
      </c>
      <c r="E173" s="461">
        <v>120.30319796102526</v>
      </c>
      <c r="F173" s="461">
        <v>127.90729390376627</v>
      </c>
      <c r="G173" s="461">
        <v>140.42748537586101</v>
      </c>
      <c r="H173" s="461">
        <v>152.37283190819963</v>
      </c>
      <c r="I173" s="461">
        <v>172.67202081552617</v>
      </c>
      <c r="J173" s="461">
        <v>156.17783525479027</v>
      </c>
      <c r="K173" s="461">
        <v>155.65095560137991</v>
      </c>
      <c r="L173" s="494"/>
      <c r="M173" s="402"/>
    </row>
    <row r="174" spans="2:13">
      <c r="B174" s="402"/>
      <c r="C174" s="459"/>
      <c r="D174" s="460"/>
      <c r="E174" s="460"/>
      <c r="F174" s="460"/>
      <c r="G174" s="460"/>
      <c r="H174" s="460"/>
      <c r="I174" s="483"/>
      <c r="J174" s="483"/>
      <c r="K174" s="483"/>
      <c r="L174" s="494"/>
      <c r="M174" s="402"/>
    </row>
    <row r="175" spans="2:13" ht="39.75" customHeight="1">
      <c r="B175" s="402"/>
      <c r="C175" s="528" t="s">
        <v>177</v>
      </c>
      <c r="D175" s="528"/>
      <c r="E175" s="528"/>
      <c r="F175" s="528"/>
      <c r="G175" s="528"/>
      <c r="H175" s="528"/>
      <c r="I175" s="528"/>
      <c r="J175" s="528"/>
      <c r="K175" s="528"/>
      <c r="L175" s="528"/>
      <c r="M175" s="402"/>
    </row>
    <row r="176" spans="2:13" ht="13.8" thickBot="1">
      <c r="B176" s="402"/>
      <c r="C176" s="448" t="s">
        <v>188</v>
      </c>
      <c r="D176" s="462"/>
      <c r="E176" s="462"/>
      <c r="F176" s="448"/>
      <c r="G176" s="448"/>
      <c r="H176" s="448"/>
      <c r="I176" s="448"/>
      <c r="J176" s="448"/>
      <c r="K176" s="402"/>
      <c r="L176" s="494"/>
      <c r="M176" s="402"/>
    </row>
    <row r="177" spans="2:22" ht="13.8" thickBot="1">
      <c r="B177" s="402"/>
      <c r="C177" s="467" t="s">
        <v>58</v>
      </c>
      <c r="D177" s="453" t="s">
        <v>59</v>
      </c>
      <c r="E177" s="453" t="s">
        <v>60</v>
      </c>
      <c r="F177" s="453" t="s">
        <v>61</v>
      </c>
      <c r="G177" s="453" t="s">
        <v>62</v>
      </c>
      <c r="H177" s="453" t="s">
        <v>63</v>
      </c>
      <c r="I177" s="453" t="s">
        <v>64</v>
      </c>
      <c r="J177" s="453" t="s">
        <v>65</v>
      </c>
      <c r="K177" s="453" t="s">
        <v>66</v>
      </c>
      <c r="L177" s="466"/>
      <c r="M177" s="462"/>
      <c r="N177" s="378"/>
      <c r="O177" s="378"/>
      <c r="V177" s="396"/>
    </row>
    <row r="178" spans="2:22">
      <c r="B178" s="402"/>
      <c r="C178" s="454" t="s">
        <v>110</v>
      </c>
      <c r="D178" s="455">
        <v>113.97553115199239</v>
      </c>
      <c r="E178" s="455">
        <v>113.53286514020465</v>
      </c>
      <c r="F178" s="455">
        <v>114.35655675002086</v>
      </c>
      <c r="G178" s="455">
        <v>116.7054339196653</v>
      </c>
      <c r="H178" s="455">
        <v>122.83308772040758</v>
      </c>
      <c r="I178" s="455">
        <v>117.52358286418433</v>
      </c>
      <c r="J178" s="455">
        <v>124.79574213500736</v>
      </c>
      <c r="K178" s="455">
        <v>126.19116022714998</v>
      </c>
      <c r="L178" s="478"/>
      <c r="M178" s="462"/>
      <c r="N178" s="378"/>
      <c r="O178" s="378"/>
      <c r="V178" s="396"/>
    </row>
    <row r="179" spans="2:22">
      <c r="B179" s="402"/>
      <c r="C179" s="457" t="s">
        <v>111</v>
      </c>
      <c r="D179" s="458">
        <v>0</v>
      </c>
      <c r="E179" s="458">
        <v>3.7106038241035293</v>
      </c>
      <c r="F179" s="458">
        <v>6.0364438354306174</v>
      </c>
      <c r="G179" s="458">
        <v>20.850581449170846</v>
      </c>
      <c r="H179" s="458">
        <v>9.1750949396110855</v>
      </c>
      <c r="I179" s="458">
        <v>30.084347672795616</v>
      </c>
      <c r="J179" s="458">
        <v>97.037318863457813</v>
      </c>
      <c r="K179" s="458">
        <v>36.303791621058082</v>
      </c>
      <c r="L179" s="483"/>
      <c r="M179" s="462"/>
      <c r="N179" s="378"/>
      <c r="O179" s="378"/>
      <c r="V179" s="396"/>
    </row>
    <row r="180" spans="2:22">
      <c r="B180" s="402"/>
      <c r="C180" s="454" t="s">
        <v>112</v>
      </c>
      <c r="D180" s="455">
        <v>113.97553115199239</v>
      </c>
      <c r="E180" s="455">
        <v>117.24346896430818</v>
      </c>
      <c r="F180" s="455">
        <v>120.39300058545147</v>
      </c>
      <c r="G180" s="455">
        <v>137.55601536883614</v>
      </c>
      <c r="H180" s="455">
        <v>132.00818266001866</v>
      </c>
      <c r="I180" s="455">
        <v>147.60793053697995</v>
      </c>
      <c r="J180" s="455">
        <v>221.83306099846516</v>
      </c>
      <c r="K180" s="455">
        <v>162.49495184820807</v>
      </c>
      <c r="L180" s="478"/>
      <c r="M180" s="462"/>
      <c r="N180" s="378"/>
      <c r="O180" s="378"/>
      <c r="V180" s="396"/>
    </row>
    <row r="181" spans="2:22">
      <c r="B181" s="402"/>
      <c r="C181" s="468" t="s">
        <v>113</v>
      </c>
      <c r="D181" s="455"/>
      <c r="E181" s="455"/>
      <c r="F181" s="455"/>
      <c r="G181" s="455"/>
      <c r="H181" s="402"/>
      <c r="I181" s="460"/>
      <c r="J181" s="460"/>
      <c r="K181" s="458">
        <v>1303.5260926199639</v>
      </c>
      <c r="L181" s="478"/>
      <c r="M181" s="462"/>
      <c r="N181" s="378"/>
      <c r="O181" s="378"/>
      <c r="V181" s="396"/>
    </row>
    <row r="182" spans="2:22">
      <c r="B182" s="402"/>
      <c r="C182" s="454" t="s">
        <v>114</v>
      </c>
      <c r="D182" s="455">
        <v>120.39179446656594</v>
      </c>
      <c r="E182" s="455">
        <v>120.30319796102526</v>
      </c>
      <c r="F182" s="455">
        <v>127.90729390376627</v>
      </c>
      <c r="G182" s="455">
        <v>140.42748537586101</v>
      </c>
      <c r="H182" s="455">
        <v>152.37283190819963</v>
      </c>
      <c r="I182" s="455">
        <v>172.67202081552617</v>
      </c>
      <c r="J182" s="455">
        <v>156.17783525479027</v>
      </c>
      <c r="K182" s="455">
        <v>155.65095560137991</v>
      </c>
      <c r="L182" s="478"/>
      <c r="M182" s="402"/>
      <c r="V182" s="396"/>
    </row>
    <row r="183" spans="2:22" ht="13.8" thickBot="1">
      <c r="B183" s="402"/>
      <c r="C183" s="508" t="s">
        <v>113</v>
      </c>
      <c r="D183" s="461"/>
      <c r="E183" s="461"/>
      <c r="F183" s="461"/>
      <c r="G183" s="461"/>
      <c r="H183" s="461"/>
      <c r="I183" s="461"/>
      <c r="J183" s="461"/>
      <c r="K183" s="461">
        <v>1302.4324447865004</v>
      </c>
      <c r="L183" s="478"/>
      <c r="M183" s="402"/>
      <c r="V183" s="396"/>
    </row>
    <row r="184" spans="2:22">
      <c r="B184" s="402"/>
      <c r="C184" s="495"/>
      <c r="D184" s="460"/>
      <c r="E184" s="460"/>
      <c r="F184" s="460"/>
      <c r="G184" s="460"/>
      <c r="H184" s="460"/>
      <c r="I184" s="483"/>
      <c r="J184" s="483"/>
      <c r="K184" s="483"/>
      <c r="L184" s="494"/>
      <c r="M184" s="402"/>
    </row>
    <row r="185" spans="2:22">
      <c r="B185" s="402"/>
      <c r="C185" s="459"/>
      <c r="D185" s="460"/>
      <c r="E185" s="460"/>
      <c r="F185" s="460"/>
      <c r="G185" s="460"/>
      <c r="H185" s="460"/>
      <c r="I185" s="483"/>
      <c r="J185" s="483"/>
      <c r="K185" s="483"/>
      <c r="L185" s="494"/>
      <c r="M185" s="402"/>
    </row>
    <row r="186" spans="2:22">
      <c r="F186" s="378"/>
      <c r="J186" s="398"/>
    </row>
    <row r="187" spans="2:22" ht="23.4">
      <c r="B187" s="400">
        <v>7</v>
      </c>
      <c r="C187" s="430" t="s">
        <v>129</v>
      </c>
      <c r="D187" s="402"/>
      <c r="E187" s="402"/>
      <c r="F187" s="402"/>
      <c r="G187" s="402"/>
      <c r="H187" s="402"/>
      <c r="I187" s="402"/>
      <c r="J187" s="402"/>
      <c r="K187" s="402"/>
      <c r="L187" s="466"/>
      <c r="M187" s="402"/>
    </row>
    <row r="188" spans="2:22" ht="43.5" customHeight="1">
      <c r="B188" s="400"/>
      <c r="C188" s="528" t="s">
        <v>189</v>
      </c>
      <c r="D188" s="528"/>
      <c r="E188" s="528"/>
      <c r="F188" s="528"/>
      <c r="G188" s="528"/>
      <c r="H188" s="528"/>
      <c r="I188" s="528"/>
      <c r="J188" s="528"/>
      <c r="K188" s="528"/>
      <c r="L188" s="528"/>
      <c r="M188" s="402"/>
    </row>
    <row r="189" spans="2:22">
      <c r="B189" s="402"/>
      <c r="C189" s="402"/>
      <c r="D189" s="500"/>
      <c r="E189" s="500"/>
      <c r="F189" s="500"/>
      <c r="G189" s="500"/>
      <c r="H189" s="500"/>
      <c r="I189" s="402"/>
      <c r="J189" s="402"/>
      <c r="K189" s="402"/>
      <c r="L189" s="466"/>
      <c r="M189" s="402"/>
    </row>
    <row r="190" spans="2:22" ht="13.8" thickBot="1">
      <c r="B190" s="402"/>
      <c r="C190" s="448" t="s">
        <v>190</v>
      </c>
      <c r="D190" s="462"/>
      <c r="E190" s="462"/>
      <c r="F190" s="448"/>
      <c r="G190" s="448"/>
      <c r="H190" s="448"/>
      <c r="I190" s="448"/>
      <c r="J190" s="448"/>
      <c r="K190" s="402"/>
      <c r="L190" s="448"/>
      <c r="M190" s="402"/>
    </row>
    <row r="191" spans="2:22" ht="13.8" thickBot="1">
      <c r="B191" s="402"/>
      <c r="C191" s="467" t="s">
        <v>58</v>
      </c>
      <c r="D191" s="453" t="s">
        <v>59</v>
      </c>
      <c r="E191" s="453" t="s">
        <v>60</v>
      </c>
      <c r="F191" s="453" t="s">
        <v>61</v>
      </c>
      <c r="G191" s="453" t="s">
        <v>62</v>
      </c>
      <c r="H191" s="453" t="s">
        <v>63</v>
      </c>
      <c r="I191" s="453" t="s">
        <v>64</v>
      </c>
      <c r="J191" s="453" t="s">
        <v>65</v>
      </c>
      <c r="K191" s="453" t="s">
        <v>66</v>
      </c>
      <c r="L191" s="453" t="s">
        <v>118</v>
      </c>
      <c r="M191" s="402"/>
    </row>
    <row r="192" spans="2:22">
      <c r="B192" s="402"/>
      <c r="C192" s="454" t="s">
        <v>42</v>
      </c>
      <c r="D192" s="455">
        <v>226.54482674025229</v>
      </c>
      <c r="E192" s="455">
        <v>189.76583863604765</v>
      </c>
      <c r="F192" s="455">
        <v>179.38344990371465</v>
      </c>
      <c r="G192" s="455">
        <v>186.89947200056383</v>
      </c>
      <c r="H192" s="455">
        <v>142.34099424420381</v>
      </c>
      <c r="I192" s="455">
        <v>123.51757213647369</v>
      </c>
      <c r="J192" s="455">
        <v>-21.093349498298281</v>
      </c>
      <c r="K192" s="455">
        <v>-36.616451358880617</v>
      </c>
      <c r="L192" s="478">
        <v>990.74235280407697</v>
      </c>
      <c r="M192" s="462"/>
    </row>
    <row r="193" spans="2:14">
      <c r="B193" s="402"/>
      <c r="C193" s="454" t="s">
        <v>191</v>
      </c>
      <c r="D193" s="455">
        <v>506.11836500601339</v>
      </c>
      <c r="E193" s="455">
        <v>499.20409814951984</v>
      </c>
      <c r="F193" s="455">
        <v>485.07329761796098</v>
      </c>
      <c r="G193" s="455">
        <v>489.14143160750723</v>
      </c>
      <c r="H193" s="455">
        <v>622.61892466629627</v>
      </c>
      <c r="I193" s="455">
        <v>715.79753719305393</v>
      </c>
      <c r="J193" s="455">
        <v>609.25081046797004</v>
      </c>
      <c r="K193" s="455">
        <v>529.21301595565285</v>
      </c>
      <c r="L193" s="478">
        <v>4456.4174806639749</v>
      </c>
      <c r="M193" s="462"/>
    </row>
    <row r="194" spans="2:14">
      <c r="B194" s="402"/>
      <c r="C194" s="454" t="s">
        <v>44</v>
      </c>
      <c r="D194" s="455">
        <v>611.17984582528948</v>
      </c>
      <c r="E194" s="455">
        <v>463.27328221312342</v>
      </c>
      <c r="F194" s="455">
        <v>261.20647408680634</v>
      </c>
      <c r="G194" s="455">
        <v>164.31890424337803</v>
      </c>
      <c r="H194" s="455">
        <v>59.747560322737066</v>
      </c>
      <c r="I194" s="455">
        <v>214.66493185250332</v>
      </c>
      <c r="J194" s="455">
        <v>304.48296594648957</v>
      </c>
      <c r="K194" s="455">
        <v>290.23686299589383</v>
      </c>
      <c r="L194" s="478">
        <v>2369.1108274862208</v>
      </c>
      <c r="M194" s="462"/>
    </row>
    <row r="195" spans="2:14">
      <c r="B195" s="402"/>
      <c r="C195" s="454" t="s">
        <v>45</v>
      </c>
      <c r="D195" s="455">
        <v>1.0905502475471596</v>
      </c>
      <c r="E195" s="455">
        <v>3.187886630798479</v>
      </c>
      <c r="F195" s="455">
        <v>8.7780181940086308</v>
      </c>
      <c r="G195" s="455">
        <v>13.747332444010851</v>
      </c>
      <c r="H195" s="455">
        <v>38.154827130556669</v>
      </c>
      <c r="I195" s="455">
        <v>31.711382344696709</v>
      </c>
      <c r="J195" s="455">
        <v>15.103658493510443</v>
      </c>
      <c r="K195" s="455">
        <v>6.0315217291061529</v>
      </c>
      <c r="L195" s="478">
        <v>117.80517721423507</v>
      </c>
      <c r="M195" s="462"/>
    </row>
    <row r="196" spans="2:14">
      <c r="B196" s="402"/>
      <c r="C196" s="454" t="s">
        <v>192</v>
      </c>
      <c r="D196" s="455">
        <v>192.21282629439594</v>
      </c>
      <c r="E196" s="455">
        <v>196.41204072355288</v>
      </c>
      <c r="F196" s="455">
        <v>203.04710659109347</v>
      </c>
      <c r="G196" s="455">
        <v>204.35171680440774</v>
      </c>
      <c r="H196" s="455">
        <v>205.72203973741003</v>
      </c>
      <c r="I196" s="455">
        <v>206.0644404839947</v>
      </c>
      <c r="J196" s="455">
        <v>207.83890997781467</v>
      </c>
      <c r="K196" s="455">
        <v>208.20405529640865</v>
      </c>
      <c r="L196" s="478">
        <v>1623.853135909078</v>
      </c>
      <c r="M196" s="462"/>
    </row>
    <row r="197" spans="2:14">
      <c r="B197" s="402"/>
      <c r="C197" s="454" t="s">
        <v>47</v>
      </c>
      <c r="D197" s="455">
        <v>-176.19007579181311</v>
      </c>
      <c r="E197" s="455">
        <v>-237.06377333686828</v>
      </c>
      <c r="F197" s="455">
        <v>-87.716262632910912</v>
      </c>
      <c r="G197" s="455">
        <v>-78.794161365184891</v>
      </c>
      <c r="H197" s="455">
        <v>-122.50669950022825</v>
      </c>
      <c r="I197" s="455">
        <v>-258.31627019778216</v>
      </c>
      <c r="J197" s="455">
        <v>0</v>
      </c>
      <c r="K197" s="455">
        <v>0</v>
      </c>
      <c r="L197" s="478">
        <v>-960.58724282478761</v>
      </c>
      <c r="M197" s="462"/>
    </row>
    <row r="198" spans="2:14">
      <c r="B198" s="402"/>
      <c r="C198" s="457" t="s">
        <v>48</v>
      </c>
      <c r="D198" s="458">
        <v>1360.9563383216851</v>
      </c>
      <c r="E198" s="458">
        <v>1114.7793730161741</v>
      </c>
      <c r="F198" s="458">
        <v>1049.7720837606732</v>
      </c>
      <c r="G198" s="458">
        <v>979.66469573468271</v>
      </c>
      <c r="H198" s="458">
        <v>946.07764660097564</v>
      </c>
      <c r="I198" s="458">
        <v>1033.4395938129401</v>
      </c>
      <c r="J198" s="458">
        <v>1115.5829953874866</v>
      </c>
      <c r="K198" s="458">
        <v>997.069004618181</v>
      </c>
      <c r="L198" s="458">
        <v>8597.3417312527981</v>
      </c>
      <c r="M198" s="462"/>
    </row>
    <row r="199" spans="2:14">
      <c r="B199" s="402"/>
      <c r="C199" s="454" t="s">
        <v>52</v>
      </c>
      <c r="D199" s="455">
        <v>94.24723304227993</v>
      </c>
      <c r="E199" s="455">
        <v>87.678224204681584</v>
      </c>
      <c r="F199" s="455">
        <v>87.676243763178761</v>
      </c>
      <c r="G199" s="455">
        <v>87.677481779017953</v>
      </c>
      <c r="H199" s="455">
        <v>87.676244486345595</v>
      </c>
      <c r="I199" s="455">
        <v>87.676244488148086</v>
      </c>
      <c r="J199" s="455">
        <v>87.676244492723825</v>
      </c>
      <c r="K199" s="455">
        <v>87.676244462267519</v>
      </c>
      <c r="L199" s="478">
        <v>707.98416071864324</v>
      </c>
      <c r="M199" s="462"/>
    </row>
    <row r="200" spans="2:14">
      <c r="B200" s="402"/>
      <c r="C200" s="501"/>
      <c r="D200" s="502"/>
      <c r="E200" s="502"/>
      <c r="F200" s="502"/>
      <c r="G200" s="502"/>
      <c r="H200" s="502"/>
      <c r="I200" s="502"/>
      <c r="J200" s="502"/>
      <c r="K200" s="502"/>
      <c r="L200" s="503"/>
      <c r="M200" s="462"/>
    </row>
    <row r="201" spans="2:14">
      <c r="B201" s="402"/>
      <c r="C201" s="454" t="s">
        <v>193</v>
      </c>
      <c r="D201" s="455">
        <v>52.005926089795061</v>
      </c>
      <c r="E201" s="455">
        <v>36.494625552298665</v>
      </c>
      <c r="F201" s="455">
        <v>34.609914997890812</v>
      </c>
      <c r="G201" s="455">
        <v>35.05213305569108</v>
      </c>
      <c r="H201" s="455">
        <v>42.831105381054627</v>
      </c>
      <c r="I201" s="455">
        <v>53.337036801999325</v>
      </c>
      <c r="J201" s="455">
        <v>40.725464207110875</v>
      </c>
      <c r="K201" s="455">
        <v>37.500589670098051</v>
      </c>
      <c r="L201" s="478">
        <v>332.55679575593848</v>
      </c>
      <c r="M201" s="462"/>
    </row>
    <row r="202" spans="2:14">
      <c r="B202" s="402"/>
      <c r="C202" s="454" t="s">
        <v>192</v>
      </c>
      <c r="D202" s="455">
        <v>74.117786922864468</v>
      </c>
      <c r="E202" s="455">
        <v>78.03070971214818</v>
      </c>
      <c r="F202" s="455">
        <v>85.475087673810293</v>
      </c>
      <c r="G202" s="455">
        <v>91.186794022410268</v>
      </c>
      <c r="H202" s="455">
        <v>94.552223145872304</v>
      </c>
      <c r="I202" s="455">
        <v>108.50734644852965</v>
      </c>
      <c r="J202" s="455">
        <v>97.43043037273263</v>
      </c>
      <c r="K202" s="455">
        <v>98.916955674330865</v>
      </c>
      <c r="L202" s="478">
        <v>728.21733397269873</v>
      </c>
      <c r="M202" s="462"/>
    </row>
    <row r="203" spans="2:14">
      <c r="B203" s="402"/>
      <c r="C203" s="454" t="s">
        <v>47</v>
      </c>
      <c r="D203" s="455">
        <v>-6.3184921594541663</v>
      </c>
      <c r="E203" s="455">
        <v>-0.41760096832092586</v>
      </c>
      <c r="F203" s="455">
        <v>-2.2303767355721646</v>
      </c>
      <c r="G203" s="455">
        <v>3.2072877392950971</v>
      </c>
      <c r="H203" s="455">
        <v>2.3724532513933525</v>
      </c>
      <c r="I203" s="455">
        <v>2.7229643510023607</v>
      </c>
      <c r="J203" s="455">
        <v>0</v>
      </c>
      <c r="K203" s="455">
        <v>0</v>
      </c>
      <c r="L203" s="478">
        <v>-0.6637645216564465</v>
      </c>
      <c r="M203" s="462"/>
    </row>
    <row r="204" spans="2:14" ht="13.8" thickBot="1">
      <c r="B204" s="402"/>
      <c r="C204" s="448" t="s">
        <v>194</v>
      </c>
      <c r="D204" s="461">
        <v>119.80522085320536</v>
      </c>
      <c r="E204" s="461">
        <v>114.10773429612593</v>
      </c>
      <c r="F204" s="461">
        <v>117.85462593612894</v>
      </c>
      <c r="G204" s="461">
        <v>129.44621481739642</v>
      </c>
      <c r="H204" s="461">
        <v>139.75578177832028</v>
      </c>
      <c r="I204" s="461">
        <v>164.56734760153134</v>
      </c>
      <c r="J204" s="461">
        <v>138.1558945798435</v>
      </c>
      <c r="K204" s="461">
        <v>136.4175453444289</v>
      </c>
      <c r="L204" s="507">
        <v>1060.1103652069805</v>
      </c>
      <c r="M204" s="462"/>
    </row>
    <row r="205" spans="2:14">
      <c r="B205" s="402"/>
      <c r="C205" s="457"/>
      <c r="D205" s="458"/>
      <c r="E205" s="458"/>
      <c r="F205" s="458"/>
      <c r="G205" s="458"/>
      <c r="H205" s="458"/>
      <c r="I205" s="458"/>
      <c r="J205" s="458"/>
      <c r="K205" s="458"/>
      <c r="L205" s="509"/>
      <c r="M205" s="462"/>
    </row>
    <row r="206" spans="2:14" ht="12.75" customHeight="1">
      <c r="B206" s="402"/>
      <c r="C206" s="528" t="s">
        <v>195</v>
      </c>
      <c r="D206" s="528"/>
      <c r="E206" s="528"/>
      <c r="F206" s="528"/>
      <c r="G206" s="528"/>
      <c r="H206" s="528"/>
      <c r="I206" s="528"/>
      <c r="J206" s="528"/>
      <c r="K206" s="528"/>
      <c r="L206" s="528"/>
      <c r="M206" s="402"/>
      <c r="N206" s="523"/>
    </row>
    <row r="207" spans="2:14" ht="12.75" customHeight="1">
      <c r="B207" s="402"/>
      <c r="C207" s="506"/>
      <c r="D207" s="506"/>
      <c r="E207" s="506"/>
      <c r="F207" s="506"/>
      <c r="G207" s="506"/>
      <c r="H207" s="506"/>
      <c r="I207" s="506"/>
      <c r="J207" s="506"/>
      <c r="K207" s="506"/>
      <c r="L207" s="506"/>
      <c r="M207" s="402"/>
    </row>
    <row r="208" spans="2:14" ht="13.5" customHeight="1" thickBot="1">
      <c r="B208" s="402"/>
      <c r="C208" s="448" t="s">
        <v>140</v>
      </c>
      <c r="D208" s="462"/>
      <c r="E208" s="462"/>
      <c r="F208" s="448"/>
      <c r="G208" s="448"/>
      <c r="H208" s="448"/>
      <c r="I208" s="448"/>
      <c r="J208" s="448"/>
      <c r="K208" s="402"/>
      <c r="L208" s="466"/>
      <c r="M208" s="402"/>
    </row>
    <row r="209" spans="2:13" ht="13.8" thickBot="1">
      <c r="B209" s="402"/>
      <c r="C209" s="467" t="s">
        <v>58</v>
      </c>
      <c r="D209" s="453" t="s">
        <v>59</v>
      </c>
      <c r="E209" s="453" t="s">
        <v>60</v>
      </c>
      <c r="F209" s="453" t="s">
        <v>61</v>
      </c>
      <c r="G209" s="453" t="s">
        <v>62</v>
      </c>
      <c r="H209" s="453" t="s">
        <v>63</v>
      </c>
      <c r="I209" s="453" t="s">
        <v>64</v>
      </c>
      <c r="J209" s="453" t="s">
        <v>65</v>
      </c>
      <c r="K209" s="453" t="s">
        <v>66</v>
      </c>
      <c r="L209" s="490"/>
      <c r="M209" s="490"/>
    </row>
    <row r="210" spans="2:13">
      <c r="B210" s="402"/>
      <c r="C210" s="454" t="s">
        <v>91</v>
      </c>
      <c r="D210" s="455">
        <v>8865.0145032674482</v>
      </c>
      <c r="E210" s="455">
        <v>9296.5979244612445</v>
      </c>
      <c r="F210" s="455">
        <v>9663.9319896603974</v>
      </c>
      <c r="G210" s="455">
        <v>9951.1041956888603</v>
      </c>
      <c r="H210" s="455">
        <v>10162.490343231173</v>
      </c>
      <c r="I210" s="455">
        <v>10331.554305506184</v>
      </c>
      <c r="J210" s="455">
        <v>10567.200057218921</v>
      </c>
      <c r="K210" s="455">
        <v>10858.912817476568</v>
      </c>
      <c r="L210" s="478"/>
      <c r="M210" s="470"/>
    </row>
    <row r="211" spans="2:13">
      <c r="B211" s="402"/>
      <c r="C211" s="454" t="s">
        <v>84</v>
      </c>
      <c r="D211" s="455">
        <v>-173.83632113615894</v>
      </c>
      <c r="E211" s="455">
        <v>0</v>
      </c>
      <c r="F211" s="455">
        <v>0</v>
      </c>
      <c r="G211" s="455">
        <v>0</v>
      </c>
      <c r="H211" s="455">
        <v>0</v>
      </c>
      <c r="I211" s="455">
        <v>0</v>
      </c>
      <c r="J211" s="455">
        <v>0</v>
      </c>
      <c r="K211" s="455">
        <v>0</v>
      </c>
      <c r="L211" s="478"/>
      <c r="M211" s="470"/>
    </row>
    <row r="212" spans="2:13">
      <c r="B212" s="402"/>
      <c r="C212" s="454" t="s">
        <v>86</v>
      </c>
      <c r="D212" s="455">
        <v>1189.9240595384406</v>
      </c>
      <c r="E212" s="455">
        <v>978.98006683839139</v>
      </c>
      <c r="F212" s="455">
        <v>925.03167559089934</v>
      </c>
      <c r="G212" s="455">
        <v>868.69333771557319</v>
      </c>
      <c r="H212" s="455">
        <v>842.94311620220742</v>
      </c>
      <c r="I212" s="455">
        <v>923.88381258055153</v>
      </c>
      <c r="J212" s="455">
        <v>986.7910406671399</v>
      </c>
      <c r="K212" s="455">
        <v>885.56914907654937</v>
      </c>
      <c r="L212" s="478"/>
      <c r="M212" s="470"/>
    </row>
    <row r="213" spans="2:13">
      <c r="B213" s="402"/>
      <c r="C213" s="454" t="s">
        <v>87</v>
      </c>
      <c r="D213" s="455">
        <v>-584.50431720848701</v>
      </c>
      <c r="E213" s="455">
        <v>-611.64600163923922</v>
      </c>
      <c r="F213" s="455">
        <v>-637.85946956243561</v>
      </c>
      <c r="G213" s="455">
        <v>-657.30719017326203</v>
      </c>
      <c r="H213" s="455">
        <v>-673.87915392719469</v>
      </c>
      <c r="I213" s="455">
        <v>-688.23806086781622</v>
      </c>
      <c r="J213" s="455">
        <v>-695.07828040949391</v>
      </c>
      <c r="K213" s="455">
        <v>-701.75074486644837</v>
      </c>
      <c r="L213" s="478"/>
      <c r="M213" s="470"/>
    </row>
    <row r="214" spans="2:13" ht="13.8" thickBot="1">
      <c r="B214" s="402"/>
      <c r="C214" s="448" t="s">
        <v>94</v>
      </c>
      <c r="D214" s="461">
        <v>9296.5979244612427</v>
      </c>
      <c r="E214" s="461">
        <v>9663.9319896603974</v>
      </c>
      <c r="F214" s="461">
        <v>9951.1041956888603</v>
      </c>
      <c r="G214" s="461">
        <v>10162.490343231171</v>
      </c>
      <c r="H214" s="461">
        <v>10331.554305506186</v>
      </c>
      <c r="I214" s="461">
        <v>10567.200057218921</v>
      </c>
      <c r="J214" s="461">
        <v>10858.912817476566</v>
      </c>
      <c r="K214" s="461">
        <v>11042.731221686669</v>
      </c>
      <c r="L214" s="483"/>
      <c r="M214" s="402"/>
    </row>
    <row r="215" spans="2:13">
      <c r="B215" s="402"/>
      <c r="C215" s="402"/>
      <c r="D215" s="402"/>
      <c r="E215" s="402"/>
      <c r="F215" s="402"/>
      <c r="G215" s="402"/>
      <c r="H215" s="402"/>
      <c r="I215" s="402"/>
      <c r="J215" s="402"/>
      <c r="K215" s="402"/>
      <c r="L215" s="466"/>
      <c r="M215" s="402"/>
    </row>
    <row r="216" spans="2:13">
      <c r="D216" s="504"/>
      <c r="E216" s="504"/>
      <c r="F216" s="504"/>
      <c r="G216" s="504"/>
      <c r="H216" s="504"/>
      <c r="I216" s="504"/>
      <c r="J216" s="504"/>
      <c r="K216" s="504"/>
    </row>
  </sheetData>
  <mergeCells count="17">
    <mergeCell ref="E83:F83"/>
    <mergeCell ref="C81:L81"/>
    <mergeCell ref="C106:L106"/>
    <mergeCell ref="C96:L96"/>
    <mergeCell ref="C129:L129"/>
    <mergeCell ref="C3:E3"/>
    <mergeCell ref="C15:E15"/>
    <mergeCell ref="E42:F42"/>
    <mergeCell ref="E70:F70"/>
    <mergeCell ref="C59:L59"/>
    <mergeCell ref="E60:F60"/>
    <mergeCell ref="C40:L40"/>
    <mergeCell ref="C148:L148"/>
    <mergeCell ref="C161:L161"/>
    <mergeCell ref="C188:L188"/>
    <mergeCell ref="C206:L206"/>
    <mergeCell ref="C175:L175"/>
  </mergeCells>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59999389629810485"/>
  </sheetPr>
  <dimension ref="A1:Y255"/>
  <sheetViews>
    <sheetView zoomScale="70" zoomScaleNormal="70" workbookViewId="0">
      <pane xSplit="2" ySplit="4" topLeftCell="C130" activePane="bottomRight" state="frozen"/>
      <selection pane="topRight" activeCell="H35" sqref="H35"/>
      <selection pane="bottomLeft" activeCell="H35" sqref="H35"/>
      <selection pane="bottomRight" activeCell="D174" sqref="D174"/>
    </sheetView>
  </sheetViews>
  <sheetFormatPr defaultRowHeight="13.2"/>
  <cols>
    <col min="1" max="1" width="3.44140625" customWidth="1"/>
    <col min="2" max="2" width="54.5546875" customWidth="1"/>
    <col min="3" max="3" width="1.88671875" customWidth="1"/>
    <col min="4" max="11" width="12.109375" customWidth="1"/>
    <col min="12" max="12" width="10.109375" customWidth="1"/>
    <col min="13" max="13" width="20.109375" bestFit="1" customWidth="1"/>
    <col min="22" max="22" width="10.109375"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426</v>
      </c>
    </row>
    <row r="7" spans="2:22">
      <c r="B7" t="s">
        <v>204</v>
      </c>
      <c r="D7" s="196">
        <v>37.780581733294433</v>
      </c>
      <c r="E7" s="196">
        <v>38.765251453029641</v>
      </c>
      <c r="F7" s="196">
        <v>38.935734544913359</v>
      </c>
      <c r="G7" s="196">
        <v>37.194366497168517</v>
      </c>
      <c r="H7" s="196">
        <v>37.663363739263652</v>
      </c>
      <c r="I7" s="196">
        <v>38.166072267177746</v>
      </c>
      <c r="J7" s="196">
        <v>38.821758225100261</v>
      </c>
      <c r="K7" s="196">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52.370551845660252</v>
      </c>
      <c r="U7" s="53">
        <f t="shared" si="0"/>
        <v>54.711741677180051</v>
      </c>
      <c r="V7" s="53">
        <f>SUM(N7:U7)</f>
        <v>387.87349490683522</v>
      </c>
    </row>
    <row r="8" spans="2:22">
      <c r="B8" t="s">
        <v>206</v>
      </c>
      <c r="D8" s="196">
        <v>33.734064323833628</v>
      </c>
      <c r="E8" s="196">
        <v>27.39346022326454</v>
      </c>
      <c r="F8" s="196">
        <v>18.58964637976759</v>
      </c>
      <c r="G8" s="196">
        <v>15.690053681814245</v>
      </c>
      <c r="H8" s="196">
        <v>14.117331818843784</v>
      </c>
      <c r="I8" s="196">
        <v>12.8424465294623</v>
      </c>
      <c r="J8" s="196">
        <v>15.120708694627556</v>
      </c>
      <c r="K8" s="196">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20.397836029052574</v>
      </c>
      <c r="U8" s="53">
        <f t="shared" si="0"/>
        <v>17.818221907061567</v>
      </c>
      <c r="V8" s="53">
        <f>SUM(N8:U8)</f>
        <v>186.64168256785229</v>
      </c>
    </row>
    <row r="9" spans="2:22">
      <c r="B9" s="38" t="s">
        <v>207</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72.768387874712829</v>
      </c>
      <c r="U9" s="57">
        <f t="shared" si="2"/>
        <v>72.529963584241614</v>
      </c>
      <c r="V9" s="57">
        <f t="shared" si="2"/>
        <v>574.51517747468756</v>
      </c>
    </row>
    <row r="10" spans="2:22">
      <c r="D10" s="53"/>
      <c r="E10" s="53"/>
      <c r="F10" s="53"/>
      <c r="G10" s="53"/>
      <c r="H10" s="53"/>
      <c r="I10" s="53"/>
      <c r="J10" s="53"/>
      <c r="K10" s="53"/>
      <c r="N10" s="53"/>
      <c r="O10" s="53"/>
      <c r="P10" s="53"/>
      <c r="Q10" s="53"/>
      <c r="R10" s="53"/>
      <c r="S10" s="53"/>
      <c r="T10" s="53"/>
      <c r="U10" s="53"/>
      <c r="V10" s="53"/>
    </row>
    <row r="11" spans="2:22">
      <c r="B11" s="38" t="s">
        <v>427</v>
      </c>
      <c r="D11" s="53"/>
      <c r="E11" s="53"/>
      <c r="F11" s="53"/>
      <c r="G11" s="53"/>
      <c r="H11" s="53"/>
      <c r="I11" s="53"/>
      <c r="J11" s="53"/>
      <c r="K11" s="53"/>
      <c r="N11" s="53"/>
      <c r="O11" s="53"/>
      <c r="P11" s="53"/>
      <c r="Q11" s="53"/>
      <c r="R11" s="53"/>
      <c r="S11" s="53"/>
      <c r="T11" s="53"/>
      <c r="U11" s="53"/>
      <c r="V11" s="53"/>
    </row>
    <row r="12" spans="2:22">
      <c r="B12" t="s">
        <v>210</v>
      </c>
      <c r="D12" s="196">
        <v>19.755956161710287</v>
      </c>
      <c r="E12" s="196">
        <v>4.9640550676615947</v>
      </c>
      <c r="F12" s="196">
        <v>6.5763559685269639</v>
      </c>
      <c r="G12" s="196">
        <v>9.0508060165981838</v>
      </c>
      <c r="H12" s="196">
        <v>5.9819689306581099</v>
      </c>
      <c r="I12" s="196">
        <v>5.5276076383456436</v>
      </c>
      <c r="J12" s="196">
        <v>5.2043642179094656</v>
      </c>
      <c r="K12" s="196">
        <v>4.0961651636946899</v>
      </c>
      <c r="L12" s="53">
        <f t="shared" ref="L12:L13" si="3">SUM(D12:K12)</f>
        <v>61.157279165104946</v>
      </c>
      <c r="N12" s="53">
        <f t="shared" ref="N12:U13" si="4">D12*N$1</f>
        <v>23.055200840715905</v>
      </c>
      <c r="O12" s="53">
        <f t="shared" si="4"/>
        <v>5.9072255305172972</v>
      </c>
      <c r="P12" s="53">
        <f t="shared" si="4"/>
        <v>7.9047798741694102</v>
      </c>
      <c r="Q12" s="53">
        <f t="shared" si="4"/>
        <v>11.114389788382569</v>
      </c>
      <c r="R12" s="53">
        <f t="shared" si="4"/>
        <v>7.6210284176584322</v>
      </c>
      <c r="S12" s="53">
        <f t="shared" si="4"/>
        <v>7.2577488291478298</v>
      </c>
      <c r="T12" s="53">
        <f t="shared" si="4"/>
        <v>7.0206873299598689</v>
      </c>
      <c r="U12" s="53">
        <f t="shared" si="4"/>
        <v>5.6854772472082296</v>
      </c>
      <c r="V12" s="53">
        <f>SUM(N12:U12)</f>
        <v>75.566537857759528</v>
      </c>
    </row>
    <row r="13" spans="2:22">
      <c r="B13" t="s">
        <v>212</v>
      </c>
      <c r="D13" s="196">
        <v>6.3163697463774593</v>
      </c>
      <c r="E13" s="196">
        <v>7.5127863565785153</v>
      </c>
      <c r="F13" s="196">
        <v>11.755221166240313</v>
      </c>
      <c r="G13" s="196">
        <v>14.858131955957658</v>
      </c>
      <c r="H13" s="196">
        <v>9.9935426477652847</v>
      </c>
      <c r="I13" s="196">
        <v>12.155160387098473</v>
      </c>
      <c r="J13" s="196">
        <v>12.398863612479254</v>
      </c>
      <c r="K13" s="196">
        <v>11.187952086317051</v>
      </c>
      <c r="L13" s="53">
        <f t="shared" si="3"/>
        <v>86.178027958814013</v>
      </c>
      <c r="N13" s="53">
        <f t="shared" si="4"/>
        <v>7.3712034940224953</v>
      </c>
      <c r="O13" s="53">
        <f t="shared" si="4"/>
        <v>8.9402157643284337</v>
      </c>
      <c r="P13" s="53">
        <f t="shared" si="4"/>
        <v>14.129775841820855</v>
      </c>
      <c r="Q13" s="53">
        <f t="shared" si="4"/>
        <v>18.245786041916006</v>
      </c>
      <c r="R13" s="53">
        <f t="shared" si="4"/>
        <v>12.731773333252972</v>
      </c>
      <c r="S13" s="53">
        <f t="shared" si="4"/>
        <v>15.959725588260294</v>
      </c>
      <c r="T13" s="53">
        <f t="shared" si="4"/>
        <v>16.726067013234513</v>
      </c>
      <c r="U13" s="53">
        <f t="shared" si="4"/>
        <v>15.528877495808064</v>
      </c>
      <c r="V13" s="53">
        <f>SUM(N13:U13)</f>
        <v>109.63342457264363</v>
      </c>
    </row>
    <row r="14" spans="2:22">
      <c r="B14" s="38" t="s">
        <v>428</v>
      </c>
      <c r="N14" s="53"/>
      <c r="O14" s="53"/>
      <c r="P14" s="53"/>
      <c r="Q14" s="53"/>
      <c r="R14" s="53"/>
      <c r="S14" s="53"/>
      <c r="T14" s="53"/>
      <c r="U14" s="53"/>
      <c r="V14" s="53"/>
    </row>
    <row r="15" spans="2:22">
      <c r="B15" t="s">
        <v>215</v>
      </c>
      <c r="D15" s="196">
        <v>15.115777414489674</v>
      </c>
      <c r="E15" s="196">
        <v>6.1585183187658412</v>
      </c>
      <c r="F15" s="196">
        <v>1.2279992437177505</v>
      </c>
      <c r="G15" s="196">
        <v>1.0586494644799558</v>
      </c>
      <c r="H15" s="196">
        <v>5.9459563895617578</v>
      </c>
      <c r="I15" s="196">
        <v>5.0594200163138892</v>
      </c>
      <c r="J15" s="196">
        <v>0.23152878737450566</v>
      </c>
      <c r="K15" s="196">
        <v>0</v>
      </c>
      <c r="L15" s="53">
        <f>SUM(D15:K15)</f>
        <v>34.797849634703375</v>
      </c>
      <c r="N15" s="53">
        <f t="shared" ref="N15:U17" si="5">D15*N$1</f>
        <v>17.640112242709449</v>
      </c>
      <c r="O15" s="53">
        <f t="shared" si="5"/>
        <v>7.3286367993313508</v>
      </c>
      <c r="P15" s="53">
        <f t="shared" si="5"/>
        <v>1.476055090948736</v>
      </c>
      <c r="Q15" s="53">
        <f t="shared" si="5"/>
        <v>1.3000215423813857</v>
      </c>
      <c r="R15" s="53">
        <f t="shared" si="5"/>
        <v>7.5751484403016791</v>
      </c>
      <c r="S15" s="53">
        <f t="shared" si="5"/>
        <v>6.6430184814201363</v>
      </c>
      <c r="T15" s="53">
        <f t="shared" si="5"/>
        <v>0.31233233416820816</v>
      </c>
      <c r="U15" s="53">
        <f t="shared" si="5"/>
        <v>0</v>
      </c>
      <c r="V15" s="53">
        <f>SUM(N15:U15)</f>
        <v>42.275324931260947</v>
      </c>
    </row>
    <row r="16" spans="2:22">
      <c r="B16" t="s">
        <v>217</v>
      </c>
      <c r="D16" s="196">
        <v>97.132518315217595</v>
      </c>
      <c r="E16" s="196">
        <v>109.87971241227922</v>
      </c>
      <c r="F16" s="196">
        <v>114.43672637584547</v>
      </c>
      <c r="G16" s="196">
        <v>123.96977718673423</v>
      </c>
      <c r="H16" s="196">
        <v>138.27838395379189</v>
      </c>
      <c r="I16" s="196">
        <v>117.50342084599842</v>
      </c>
      <c r="J16" s="196">
        <v>101.87556011564801</v>
      </c>
      <c r="K16" s="196">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137.43013059600918</v>
      </c>
      <c r="U16" s="53">
        <f t="shared" si="5"/>
        <v>126.52727041318616</v>
      </c>
      <c r="V16" s="53">
        <f>SUM(N16:U16)</f>
        <v>1128.3043918706692</v>
      </c>
    </row>
    <row r="17" spans="1:22">
      <c r="B17" t="s">
        <v>204</v>
      </c>
      <c r="D17" s="196">
        <v>64.482672010544718</v>
      </c>
      <c r="E17" s="196">
        <v>65.237874215180156</v>
      </c>
      <c r="F17" s="196">
        <v>70.772894725011071</v>
      </c>
      <c r="G17" s="196">
        <v>79.368338266410362</v>
      </c>
      <c r="H17" s="196">
        <v>84.317479134504765</v>
      </c>
      <c r="I17" s="196">
        <v>84.641346358196444</v>
      </c>
      <c r="J17" s="196">
        <v>80.728014781566515</v>
      </c>
      <c r="K17" s="196">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108.90209194033322</v>
      </c>
      <c r="U17" s="53">
        <f t="shared" si="5"/>
        <v>107.55621733133628</v>
      </c>
      <c r="V17" s="53">
        <f>SUM(N17:U17)</f>
        <v>770.43055286032575</v>
      </c>
    </row>
    <row r="18" spans="1:22">
      <c r="N18" s="53"/>
      <c r="O18" s="53"/>
      <c r="P18" s="53"/>
      <c r="Q18" s="53"/>
      <c r="R18" s="53"/>
      <c r="S18" s="53"/>
      <c r="T18" s="53"/>
      <c r="U18" s="53"/>
      <c r="V18" s="53"/>
    </row>
    <row r="19" spans="1:22">
      <c r="B19" s="38" t="s">
        <v>429</v>
      </c>
      <c r="N19" s="53"/>
      <c r="O19" s="53"/>
      <c r="P19" s="53"/>
      <c r="Q19" s="53"/>
      <c r="R19" s="53"/>
      <c r="S19" s="53"/>
      <c r="T19" s="53"/>
      <c r="U19" s="53"/>
      <c r="V19" s="53"/>
    </row>
    <row r="20" spans="1:22">
      <c r="B20" t="s">
        <v>206</v>
      </c>
      <c r="D20" s="196">
        <v>26.86365188906883</v>
      </c>
      <c r="E20" s="196">
        <v>18.171864188371163</v>
      </c>
      <c r="F20" s="196">
        <v>10.751052755971946</v>
      </c>
      <c r="G20" s="196">
        <v>12.661992776253896</v>
      </c>
      <c r="H20" s="196">
        <v>32.025393538313374</v>
      </c>
      <c r="I20" s="196">
        <v>32.679532321837399</v>
      </c>
      <c r="J20" s="196">
        <v>20.504333599618437</v>
      </c>
      <c r="K20" s="196">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42.908225938572507</v>
      </c>
      <c r="T20" s="53">
        <f t="shared" si="6"/>
        <v>27.660346025885271</v>
      </c>
      <c r="U20" s="53">
        <f t="shared" si="6"/>
        <v>8.9216010392825886</v>
      </c>
      <c r="V20" s="53">
        <f>SUM(N20:U20)</f>
        <v>201.73661705217469</v>
      </c>
    </row>
    <row r="21" spans="1:22">
      <c r="B21" t="s">
        <v>204</v>
      </c>
      <c r="D21" s="196">
        <v>0</v>
      </c>
      <c r="E21" s="196">
        <v>0</v>
      </c>
      <c r="F21" s="196">
        <v>0</v>
      </c>
      <c r="G21" s="196">
        <v>0</v>
      </c>
      <c r="H21" s="196">
        <v>0</v>
      </c>
      <c r="I21" s="196">
        <v>0</v>
      </c>
      <c r="J21" s="196">
        <v>0</v>
      </c>
      <c r="K21" s="196">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345</v>
      </c>
      <c r="C23" s="60"/>
      <c r="D23" s="61">
        <f t="shared" ref="D23:L23" si="7">SUM(D15:D21)</f>
        <v>203.59461962932079</v>
      </c>
      <c r="E23" s="61">
        <f t="shared" si="7"/>
        <v>199.44796913459638</v>
      </c>
      <c r="F23" s="61">
        <f t="shared" si="7"/>
        <v>197.18867310054623</v>
      </c>
      <c r="G23" s="61">
        <f t="shared" si="7"/>
        <v>217.05875769387845</v>
      </c>
      <c r="H23" s="61">
        <f t="shared" si="7"/>
        <v>260.56721301617176</v>
      </c>
      <c r="I23" s="61">
        <f t="shared" si="7"/>
        <v>239.88371954234614</v>
      </c>
      <c r="J23" s="61">
        <f t="shared" si="7"/>
        <v>203.33943728420746</v>
      </c>
      <c r="K23" s="61">
        <f t="shared" si="7"/>
        <v>175.07571238026301</v>
      </c>
      <c r="L23" s="61">
        <f t="shared" si="7"/>
        <v>1696.1561017813303</v>
      </c>
      <c r="N23" s="61">
        <f t="shared" ref="N23:V23" si="8">SUM(N15:N21)</f>
        <v>237.59492110741743</v>
      </c>
      <c r="O23" s="61">
        <f t="shared" si="8"/>
        <v>237.34308327016967</v>
      </c>
      <c r="P23" s="61">
        <f t="shared" si="8"/>
        <v>237.02078506685655</v>
      </c>
      <c r="Q23" s="61">
        <f t="shared" si="8"/>
        <v>266.5481544480827</v>
      </c>
      <c r="R23" s="61">
        <f t="shared" si="8"/>
        <v>331.96262938260287</v>
      </c>
      <c r="S23" s="61">
        <f t="shared" si="8"/>
        <v>314.96732375910051</v>
      </c>
      <c r="T23" s="61">
        <f t="shared" si="8"/>
        <v>274.30490089639585</v>
      </c>
      <c r="U23" s="61">
        <f t="shared" si="8"/>
        <v>243.00508878380504</v>
      </c>
      <c r="V23" s="61">
        <f t="shared" si="8"/>
        <v>2142.7468867144303</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7">
        <v>110.11544616012048</v>
      </c>
      <c r="E26" s="197">
        <v>110.29121834911521</v>
      </c>
      <c r="F26" s="197">
        <v>110.32860169190292</v>
      </c>
      <c r="G26" s="197">
        <v>110.3596633646699</v>
      </c>
      <c r="H26" s="197">
        <v>110.27343835902431</v>
      </c>
      <c r="I26" s="197">
        <v>110.27662588032852</v>
      </c>
      <c r="J26" s="197">
        <v>110.30420904525512</v>
      </c>
      <c r="K26" s="197">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148.80037800204914</v>
      </c>
      <c r="U26" s="58">
        <f t="shared" si="9"/>
        <v>153.11121481880596</v>
      </c>
      <c r="V26" s="58">
        <f>SUM(N26:U26)</f>
        <v>1115.0810844209129</v>
      </c>
    </row>
    <row r="27" spans="1:22">
      <c r="N27" s="53"/>
      <c r="O27" s="53"/>
      <c r="P27" s="53"/>
      <c r="Q27" s="53"/>
      <c r="R27" s="53"/>
      <c r="S27" s="53"/>
      <c r="T27" s="53"/>
      <c r="U27" s="53"/>
      <c r="V27" s="53"/>
    </row>
    <row r="28" spans="1:22">
      <c r="A28" t="s">
        <v>346</v>
      </c>
      <c r="N28" s="53"/>
      <c r="O28" s="53"/>
      <c r="P28" s="53"/>
      <c r="Q28" s="53"/>
      <c r="R28" s="53"/>
      <c r="S28" s="53"/>
      <c r="T28" s="53"/>
      <c r="U28" s="53"/>
      <c r="V28" s="53"/>
    </row>
    <row r="29" spans="1:22">
      <c r="B29" s="38" t="s">
        <v>426</v>
      </c>
    </row>
    <row r="30" spans="1:22">
      <c r="B30" t="s">
        <v>204</v>
      </c>
      <c r="D30" s="223">
        <v>41.700533201484639</v>
      </c>
      <c r="E30" s="223">
        <v>46.519368400808283</v>
      </c>
      <c r="F30" s="223">
        <v>47.637270411612654</v>
      </c>
      <c r="G30" s="223">
        <v>48.000990589904603</v>
      </c>
      <c r="H30" s="223">
        <v>47.65690638702894</v>
      </c>
      <c r="I30" s="223">
        <v>50.321232654276216</v>
      </c>
      <c r="J30" s="223">
        <v>51.220621837579515</v>
      </c>
      <c r="K30" s="223">
        <v>50.605633409933802</v>
      </c>
      <c r="L30" s="53">
        <f>SUM(D30:K30)</f>
        <v>383.66255689262869</v>
      </c>
      <c r="N30" s="53">
        <f t="shared" ref="N30:U31" si="10">D30*N$1</f>
        <v>48.664522246132577</v>
      </c>
      <c r="O30" s="53">
        <f t="shared" si="10"/>
        <v>55.358048396961856</v>
      </c>
      <c r="P30" s="53">
        <f t="shared" si="10"/>
        <v>57.259999034758408</v>
      </c>
      <c r="Q30" s="53">
        <f t="shared" si="10"/>
        <v>58.945216444402853</v>
      </c>
      <c r="R30" s="53">
        <f t="shared" si="10"/>
        <v>60.714898737074869</v>
      </c>
      <c r="S30" s="53">
        <f t="shared" si="10"/>
        <v>66.071778475064662</v>
      </c>
      <c r="T30" s="53">
        <f t="shared" si="10"/>
        <v>69.096618858894757</v>
      </c>
      <c r="U30" s="53">
        <f t="shared" si="10"/>
        <v>70.240619172988119</v>
      </c>
      <c r="V30" s="53">
        <f>SUM(N30:U30)</f>
        <v>486.35170136627812</v>
      </c>
    </row>
    <row r="31" spans="1:22">
      <c r="B31" t="s">
        <v>206</v>
      </c>
      <c r="D31" s="223">
        <v>17.731744589197316</v>
      </c>
      <c r="E31" s="223">
        <v>27.268015469872026</v>
      </c>
      <c r="F31" s="223">
        <v>35.751531838303166</v>
      </c>
      <c r="G31" s="223">
        <v>26.812442267587734</v>
      </c>
      <c r="H31" s="223">
        <v>20.099300749501893</v>
      </c>
      <c r="I31" s="223">
        <v>18.370054167807943</v>
      </c>
      <c r="J31" s="223">
        <v>20.325072912537021</v>
      </c>
      <c r="K31" s="223">
        <v>16.93350083160648</v>
      </c>
      <c r="L31" s="53">
        <f>SUM(D31:K31)</f>
        <v>183.29166282641359</v>
      </c>
      <c r="N31" s="53">
        <f t="shared" si="10"/>
        <v>20.692945935593269</v>
      </c>
      <c r="O31" s="53">
        <f t="shared" si="10"/>
        <v>32.448938409147708</v>
      </c>
      <c r="P31" s="53">
        <f t="shared" si="10"/>
        <v>42.9733412696404</v>
      </c>
      <c r="Q31" s="53">
        <f t="shared" si="10"/>
        <v>32.925679104597734</v>
      </c>
      <c r="R31" s="53">
        <f t="shared" si="10"/>
        <v>25.606509154865414</v>
      </c>
      <c r="S31" s="53">
        <f t="shared" si="10"/>
        <v>24.119881122331829</v>
      </c>
      <c r="T31" s="53">
        <f t="shared" si="10"/>
        <v>27.41852335901244</v>
      </c>
      <c r="U31" s="53">
        <f t="shared" si="10"/>
        <v>23.503699154269793</v>
      </c>
      <c r="V31" s="53">
        <f>SUM(N31:U31)</f>
        <v>229.6895175094586</v>
      </c>
    </row>
    <row r="32" spans="1:22">
      <c r="B32" s="38" t="s">
        <v>207</v>
      </c>
      <c r="D32" s="57">
        <f t="shared" ref="D32:L32" si="11">SUM(D30:D31)</f>
        <v>59.432277790681951</v>
      </c>
      <c r="E32" s="57">
        <f t="shared" si="11"/>
        <v>73.787383870680316</v>
      </c>
      <c r="F32" s="57">
        <f t="shared" si="11"/>
        <v>83.388802249915813</v>
      </c>
      <c r="G32" s="57">
        <f t="shared" si="11"/>
        <v>74.81343285749233</v>
      </c>
      <c r="H32" s="57">
        <f t="shared" si="11"/>
        <v>67.756207136530833</v>
      </c>
      <c r="I32" s="57">
        <f t="shared" si="11"/>
        <v>68.691286822084152</v>
      </c>
      <c r="J32" s="57">
        <f t="shared" si="11"/>
        <v>71.545694750116539</v>
      </c>
      <c r="K32" s="57">
        <f t="shared" si="11"/>
        <v>67.539134241540282</v>
      </c>
      <c r="L32" s="57">
        <f t="shared" si="11"/>
        <v>566.95421971904227</v>
      </c>
      <c r="N32" s="57">
        <f t="shared" ref="N32:V32" si="12">SUM(N30:N31)</f>
        <v>69.357468181725849</v>
      </c>
      <c r="O32" s="57">
        <f t="shared" si="12"/>
        <v>87.806986806109563</v>
      </c>
      <c r="P32" s="57">
        <f t="shared" si="12"/>
        <v>100.23334030439881</v>
      </c>
      <c r="Q32" s="57">
        <f t="shared" si="12"/>
        <v>91.870895549000579</v>
      </c>
      <c r="R32" s="57">
        <f t="shared" si="12"/>
        <v>86.321407891940282</v>
      </c>
      <c r="S32" s="57">
        <f t="shared" si="12"/>
        <v>90.191659597396495</v>
      </c>
      <c r="T32" s="57">
        <f t="shared" si="12"/>
        <v>96.515142217907197</v>
      </c>
      <c r="U32" s="57">
        <f t="shared" si="12"/>
        <v>93.744318327257915</v>
      </c>
      <c r="V32" s="57">
        <f t="shared" si="12"/>
        <v>716.04121887573672</v>
      </c>
    </row>
    <row r="33" spans="2:22">
      <c r="D33" s="53"/>
      <c r="E33" s="53"/>
      <c r="F33" s="53"/>
      <c r="G33" s="53"/>
      <c r="H33" s="53"/>
      <c r="I33" s="53"/>
      <c r="J33" s="53"/>
      <c r="K33" s="53"/>
      <c r="N33" s="53"/>
      <c r="O33" s="53"/>
      <c r="P33" s="53"/>
      <c r="Q33" s="53"/>
      <c r="R33" s="53"/>
      <c r="S33" s="53"/>
      <c r="T33" s="53"/>
      <c r="U33" s="53"/>
      <c r="V33" s="53"/>
    </row>
    <row r="34" spans="2:22">
      <c r="B34" s="38" t="s">
        <v>427</v>
      </c>
      <c r="D34" s="53"/>
      <c r="E34" s="53"/>
      <c r="F34" s="53"/>
      <c r="G34" s="53"/>
      <c r="H34" s="53"/>
      <c r="I34" s="53"/>
      <c r="J34" s="53"/>
      <c r="K34" s="53"/>
      <c r="N34" s="53"/>
      <c r="O34" s="53"/>
      <c r="P34" s="53"/>
      <c r="Q34" s="53"/>
      <c r="R34" s="53"/>
      <c r="S34" s="53"/>
      <c r="T34" s="53"/>
      <c r="U34" s="53"/>
      <c r="V34" s="53"/>
    </row>
    <row r="35" spans="2:22">
      <c r="B35" t="s">
        <v>210</v>
      </c>
      <c r="D35" s="223">
        <v>0</v>
      </c>
      <c r="E35" s="223">
        <v>0</v>
      </c>
      <c r="F35" s="223">
        <v>0</v>
      </c>
      <c r="G35" s="223">
        <v>0</v>
      </c>
      <c r="H35" s="223">
        <v>0</v>
      </c>
      <c r="I35" s="223">
        <v>0</v>
      </c>
      <c r="J35" s="223">
        <v>0</v>
      </c>
      <c r="K35" s="223">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212</v>
      </c>
      <c r="D36" s="223">
        <v>0</v>
      </c>
      <c r="E36" s="223">
        <v>0</v>
      </c>
      <c r="F36" s="223">
        <v>0</v>
      </c>
      <c r="G36" s="223">
        <v>0</v>
      </c>
      <c r="H36" s="223">
        <v>0</v>
      </c>
      <c r="I36" s="223">
        <v>0</v>
      </c>
      <c r="J36" s="223">
        <v>0</v>
      </c>
      <c r="K36" s="223">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428</v>
      </c>
      <c r="N37" s="53"/>
      <c r="O37" s="53"/>
      <c r="P37" s="53"/>
      <c r="Q37" s="53"/>
      <c r="R37" s="53"/>
      <c r="S37" s="53"/>
      <c r="T37" s="53"/>
      <c r="U37" s="53"/>
      <c r="V37" s="53"/>
    </row>
    <row r="38" spans="2:22">
      <c r="B38" t="s">
        <v>215</v>
      </c>
      <c r="D38" s="223">
        <v>2.9479763903958496</v>
      </c>
      <c r="E38" s="223">
        <v>1.2242742147237491</v>
      </c>
      <c r="F38" s="223">
        <v>1.1459568646924614</v>
      </c>
      <c r="G38" s="223">
        <v>1.3744988226661936</v>
      </c>
      <c r="H38" s="223">
        <v>5.9459563895617578</v>
      </c>
      <c r="I38" s="223">
        <v>5.0594200163138892</v>
      </c>
      <c r="J38" s="223">
        <v>0.23152878737450566</v>
      </c>
      <c r="K38" s="223">
        <v>0</v>
      </c>
      <c r="L38" s="53">
        <f>SUM(D38:K38)</f>
        <v>17.929611485728405</v>
      </c>
      <c r="N38" s="53">
        <f t="shared" ref="N38:U40" si="15">D38*N$1</f>
        <v>3.4402884475919566</v>
      </c>
      <c r="O38" s="53">
        <f t="shared" si="15"/>
        <v>1.4568863155212612</v>
      </c>
      <c r="P38" s="53">
        <f t="shared" si="15"/>
        <v>1.3774401513603385</v>
      </c>
      <c r="Q38" s="53">
        <f t="shared" si="15"/>
        <v>1.6878845542340857</v>
      </c>
      <c r="R38" s="53">
        <f t="shared" si="15"/>
        <v>7.5751484403016791</v>
      </c>
      <c r="S38" s="53">
        <f t="shared" si="15"/>
        <v>6.6430184814201363</v>
      </c>
      <c r="T38" s="53">
        <f t="shared" si="15"/>
        <v>0.31233233416820816</v>
      </c>
      <c r="U38" s="53">
        <f t="shared" si="15"/>
        <v>0</v>
      </c>
      <c r="V38" s="53">
        <f>SUM(N38:U38)</f>
        <v>22.492998724597665</v>
      </c>
    </row>
    <row r="39" spans="2:22">
      <c r="B39" t="s">
        <v>217</v>
      </c>
      <c r="D39" s="223">
        <v>84.410132261744195</v>
      </c>
      <c r="E39" s="223">
        <v>86.37212094503964</v>
      </c>
      <c r="F39" s="223">
        <v>97.042567081374145</v>
      </c>
      <c r="G39" s="223">
        <v>108.73278728905721</v>
      </c>
      <c r="H39" s="223">
        <v>170.30377749210527</v>
      </c>
      <c r="I39" s="223">
        <v>150.18295316783582</v>
      </c>
      <c r="J39" s="223">
        <v>122.37989371526645</v>
      </c>
      <c r="K39" s="223">
        <v>97.58564225682187</v>
      </c>
      <c r="L39" s="53">
        <f>SUM(D39:K39)</f>
        <v>917.00987420924469</v>
      </c>
      <c r="N39" s="53">
        <f t="shared" si="15"/>
        <v>98.506624349455478</v>
      </c>
      <c r="O39" s="53">
        <f t="shared" si="15"/>
        <v>102.78282392459717</v>
      </c>
      <c r="P39" s="53">
        <f t="shared" si="15"/>
        <v>116.64516563181172</v>
      </c>
      <c r="Q39" s="53">
        <f t="shared" si="15"/>
        <v>133.52386279096226</v>
      </c>
      <c r="R39" s="53">
        <f t="shared" si="15"/>
        <v>216.96701252494211</v>
      </c>
      <c r="S39" s="53">
        <f t="shared" si="15"/>
        <v>197.19021750936841</v>
      </c>
      <c r="T39" s="53">
        <f t="shared" si="15"/>
        <v>165.09047662189442</v>
      </c>
      <c r="U39" s="53">
        <f t="shared" si="15"/>
        <v>135.44887145246875</v>
      </c>
      <c r="V39" s="53">
        <f>SUM(N39:U39)</f>
        <v>1166.1550548055002</v>
      </c>
    </row>
    <row r="40" spans="2:22">
      <c r="B40" t="s">
        <v>204</v>
      </c>
      <c r="D40" s="223">
        <v>65.77049216805095</v>
      </c>
      <c r="E40" s="223">
        <v>69.562897994563102</v>
      </c>
      <c r="F40" s="223">
        <v>69.821628465241361</v>
      </c>
      <c r="G40" s="223">
        <v>78.837018453764628</v>
      </c>
      <c r="H40" s="223">
        <v>84.317479134504765</v>
      </c>
      <c r="I40" s="223">
        <v>84.641346358196444</v>
      </c>
      <c r="J40" s="223">
        <v>80.728014781566515</v>
      </c>
      <c r="K40" s="223">
        <v>77.490070123441129</v>
      </c>
      <c r="L40" s="53">
        <f>SUM(D40:K40)</f>
        <v>611.16894747932895</v>
      </c>
      <c r="N40" s="53">
        <f t="shared" si="15"/>
        <v>76.754164360115468</v>
      </c>
      <c r="O40" s="53">
        <f t="shared" si="15"/>
        <v>82.779848613530092</v>
      </c>
      <c r="P40" s="53">
        <f t="shared" si="15"/>
        <v>83.925597415220111</v>
      </c>
      <c r="Q40" s="53">
        <f t="shared" si="15"/>
        <v>96.811858661222956</v>
      </c>
      <c r="R40" s="53">
        <f t="shared" si="15"/>
        <v>107.42046841735907</v>
      </c>
      <c r="S40" s="53">
        <f t="shared" si="15"/>
        <v>111.13408776831193</v>
      </c>
      <c r="T40" s="53">
        <f t="shared" si="15"/>
        <v>108.90209194033322</v>
      </c>
      <c r="U40" s="53">
        <f t="shared" si="15"/>
        <v>107.55621733133628</v>
      </c>
      <c r="V40" s="53">
        <f>SUM(N40:U40)</f>
        <v>775.28433450742909</v>
      </c>
    </row>
    <row r="41" spans="2:22">
      <c r="N41" s="53"/>
      <c r="O41" s="53"/>
      <c r="P41" s="53"/>
      <c r="Q41" s="53"/>
      <c r="R41" s="53"/>
      <c r="S41" s="53"/>
      <c r="T41" s="53"/>
      <c r="U41" s="53"/>
      <c r="V41" s="53"/>
    </row>
    <row r="42" spans="2:22">
      <c r="B42" s="38" t="s">
        <v>429</v>
      </c>
      <c r="N42" s="53"/>
      <c r="O42" s="53"/>
      <c r="P42" s="53"/>
      <c r="Q42" s="53"/>
      <c r="R42" s="53"/>
      <c r="S42" s="53"/>
      <c r="T42" s="53"/>
      <c r="U42" s="53"/>
      <c r="V42" s="53"/>
    </row>
    <row r="43" spans="2:22">
      <c r="B43" t="s">
        <v>215</v>
      </c>
      <c r="D43" s="223">
        <v>0</v>
      </c>
      <c r="E43" s="223">
        <v>0</v>
      </c>
      <c r="F43" s="223">
        <v>0</v>
      </c>
      <c r="G43" s="223">
        <v>0</v>
      </c>
      <c r="H43" s="223">
        <v>0</v>
      </c>
      <c r="I43" s="223">
        <v>0</v>
      </c>
      <c r="J43" s="223">
        <v>0</v>
      </c>
      <c r="K43" s="223">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217</v>
      </c>
      <c r="D44" s="223">
        <v>30.595915061638575</v>
      </c>
      <c r="E44" s="223">
        <v>21.7968476069092</v>
      </c>
      <c r="F44" s="223">
        <v>14.156106317529474</v>
      </c>
      <c r="G44" s="223">
        <v>28.272168904184387</v>
      </c>
      <c r="H44" s="223">
        <v>0</v>
      </c>
      <c r="I44" s="223">
        <v>0</v>
      </c>
      <c r="J44" s="223">
        <v>0</v>
      </c>
      <c r="K44" s="223">
        <v>0</v>
      </c>
      <c r="L44" s="53">
        <f>SUM(D44:K44)</f>
        <v>94.821037890261636</v>
      </c>
      <c r="N44" s="53">
        <f t="shared" si="16"/>
        <v>35.705432876932221</v>
      </c>
      <c r="O44" s="53">
        <f t="shared" si="16"/>
        <v>25.938248652221947</v>
      </c>
      <c r="P44" s="53">
        <f t="shared" si="16"/>
        <v>17.015639793670427</v>
      </c>
      <c r="Q44" s="53">
        <f t="shared" si="16"/>
        <v>34.718223414338425</v>
      </c>
      <c r="R44" s="53">
        <f t="shared" si="16"/>
        <v>0</v>
      </c>
      <c r="S44" s="53">
        <f t="shared" si="16"/>
        <v>0</v>
      </c>
      <c r="T44" s="53">
        <f t="shared" si="16"/>
        <v>0</v>
      </c>
      <c r="U44" s="53">
        <f t="shared" si="16"/>
        <v>0</v>
      </c>
      <c r="V44" s="53">
        <f>SUM(N44:U44)</f>
        <v>113.37754473716302</v>
      </c>
    </row>
    <row r="45" spans="2:22">
      <c r="B45" t="s">
        <v>204</v>
      </c>
      <c r="D45" s="223">
        <v>5.1391669675790421</v>
      </c>
      <c r="E45" s="223">
        <v>3.6238570860704566</v>
      </c>
      <c r="F45" s="223">
        <v>5.1058779804407166</v>
      </c>
      <c r="G45" s="223">
        <v>6.4389983984422168</v>
      </c>
      <c r="H45" s="223">
        <v>0</v>
      </c>
      <c r="I45" s="223">
        <v>0</v>
      </c>
      <c r="J45" s="223">
        <v>0</v>
      </c>
      <c r="K45" s="223">
        <v>0</v>
      </c>
      <c r="L45" s="53">
        <f>SUM(D45:K45)</f>
        <v>20.307900432532431</v>
      </c>
      <c r="N45" s="53">
        <f t="shared" si="16"/>
        <v>5.9974078511647422</v>
      </c>
      <c r="O45" s="53">
        <f t="shared" si="16"/>
        <v>4.3123899324238435</v>
      </c>
      <c r="P45" s="53">
        <f t="shared" si="16"/>
        <v>6.1372653324897408</v>
      </c>
      <c r="Q45" s="53">
        <f t="shared" si="16"/>
        <v>7.9070900332870417</v>
      </c>
      <c r="R45" s="53">
        <f t="shared" si="16"/>
        <v>0</v>
      </c>
      <c r="S45" s="53">
        <f t="shared" si="16"/>
        <v>0</v>
      </c>
      <c r="T45" s="53">
        <f t="shared" si="16"/>
        <v>0</v>
      </c>
      <c r="U45" s="53">
        <f t="shared" si="16"/>
        <v>0</v>
      </c>
      <c r="V45" s="53">
        <f>SUM(N45:U45)</f>
        <v>24.354153149365366</v>
      </c>
    </row>
    <row r="46" spans="2:22">
      <c r="N46" s="53"/>
      <c r="O46" s="53"/>
      <c r="P46" s="53"/>
      <c r="Q46" s="53"/>
      <c r="R46" s="53"/>
      <c r="S46" s="53"/>
      <c r="T46" s="53"/>
      <c r="U46" s="53"/>
      <c r="V46" s="53"/>
    </row>
    <row r="47" spans="2:22" ht="15.6">
      <c r="B47" s="59" t="s">
        <v>345</v>
      </c>
      <c r="C47" s="60"/>
      <c r="D47" s="61">
        <f t="shared" ref="D47:L47" si="17">SUM(D38:D45)</f>
        <v>188.8636828494086</v>
      </c>
      <c r="E47" s="61">
        <f t="shared" si="17"/>
        <v>182.57999784730615</v>
      </c>
      <c r="F47" s="61">
        <f t="shared" si="17"/>
        <v>187.27213670927813</v>
      </c>
      <c r="G47" s="61">
        <f t="shared" si="17"/>
        <v>223.65547186811463</v>
      </c>
      <c r="H47" s="61">
        <f t="shared" si="17"/>
        <v>260.56721301617176</v>
      </c>
      <c r="I47" s="61">
        <f t="shared" si="17"/>
        <v>239.88371954234614</v>
      </c>
      <c r="J47" s="61">
        <f t="shared" si="17"/>
        <v>203.33943728420746</v>
      </c>
      <c r="K47" s="61">
        <f t="shared" si="17"/>
        <v>175.07571238026298</v>
      </c>
      <c r="L47" s="61">
        <f t="shared" si="17"/>
        <v>1661.2373714970961</v>
      </c>
      <c r="N47" s="61">
        <f t="shared" ref="N47:V47" si="18">SUM(N38:N45)</f>
        <v>220.40391788525986</v>
      </c>
      <c r="O47" s="61">
        <f t="shared" si="18"/>
        <v>217.2701974382943</v>
      </c>
      <c r="P47" s="61">
        <f t="shared" si="18"/>
        <v>225.10110832455231</v>
      </c>
      <c r="Q47" s="61">
        <f t="shared" si="18"/>
        <v>274.64891945404474</v>
      </c>
      <c r="R47" s="61">
        <f t="shared" si="18"/>
        <v>331.96262938260287</v>
      </c>
      <c r="S47" s="61">
        <f t="shared" si="18"/>
        <v>314.96732375910051</v>
      </c>
      <c r="T47" s="61">
        <f t="shared" si="18"/>
        <v>274.30490089639585</v>
      </c>
      <c r="U47" s="61">
        <f t="shared" si="18"/>
        <v>243.00508878380504</v>
      </c>
      <c r="V47" s="61">
        <f t="shared" si="18"/>
        <v>2101.6640859240551</v>
      </c>
    </row>
    <row r="48" spans="2:22">
      <c r="N48" s="53"/>
      <c r="O48" s="53"/>
      <c r="P48" s="53"/>
      <c r="Q48" s="53"/>
      <c r="R48" s="53"/>
      <c r="S48" s="53"/>
      <c r="T48" s="53"/>
      <c r="U48" s="53"/>
      <c r="V48" s="53"/>
    </row>
    <row r="49" spans="1:16">
      <c r="D49" s="53"/>
      <c r="E49" s="53"/>
      <c r="F49" s="53"/>
      <c r="G49" s="53"/>
      <c r="H49" s="53"/>
      <c r="I49" s="53"/>
      <c r="J49" s="53"/>
      <c r="K49" s="53"/>
      <c r="L49" s="53"/>
    </row>
    <row r="50" spans="1:16" s="195" customFormat="1">
      <c r="D50" s="196"/>
      <c r="E50" s="196"/>
      <c r="F50" s="196"/>
      <c r="G50" s="196"/>
      <c r="H50" s="196"/>
      <c r="I50" s="196"/>
      <c r="J50" s="196"/>
      <c r="K50" s="196"/>
      <c r="L50" s="196"/>
    </row>
    <row r="51" spans="1:16" ht="13.8" thickBot="1"/>
    <row r="52" spans="1:16" ht="16.8">
      <c r="A52" s="68"/>
      <c r="B52" s="69" t="s">
        <v>237</v>
      </c>
      <c r="D52" s="70">
        <v>41729</v>
      </c>
      <c r="E52" s="71">
        <v>42094</v>
      </c>
      <c r="F52" s="71">
        <v>42460</v>
      </c>
      <c r="G52" s="71">
        <v>42825</v>
      </c>
      <c r="H52" s="71">
        <v>43190</v>
      </c>
      <c r="I52" s="71">
        <v>43555</v>
      </c>
      <c r="J52" s="71">
        <v>43921</v>
      </c>
      <c r="K52" s="72">
        <v>44286</v>
      </c>
      <c r="L52" s="73" t="s">
        <v>238</v>
      </c>
    </row>
    <row r="53" spans="1:16" ht="16.8">
      <c r="A53" s="74"/>
      <c r="B53" s="75" t="s">
        <v>239</v>
      </c>
      <c r="D53" s="76" t="s">
        <v>240</v>
      </c>
      <c r="E53" s="77" t="s">
        <v>240</v>
      </c>
      <c r="F53" s="77" t="s">
        <v>240</v>
      </c>
      <c r="G53" s="77" t="s">
        <v>240</v>
      </c>
      <c r="H53" s="77" t="s">
        <v>240</v>
      </c>
      <c r="I53" s="77" t="s">
        <v>240</v>
      </c>
      <c r="J53" s="77" t="s">
        <v>240</v>
      </c>
      <c r="K53" s="78" t="s">
        <v>240</v>
      </c>
      <c r="L53" s="79" t="s">
        <v>240</v>
      </c>
    </row>
    <row r="54" spans="1:16" ht="16.8">
      <c r="A54" s="80"/>
      <c r="B54" s="81" t="s">
        <v>207</v>
      </c>
      <c r="D54" s="82"/>
      <c r="E54" s="83"/>
      <c r="F54" s="83"/>
      <c r="G54" s="83"/>
      <c r="H54" s="83"/>
      <c r="I54" s="83"/>
      <c r="J54" s="83"/>
      <c r="K54" s="84"/>
      <c r="L54" s="85"/>
    </row>
    <row r="55" spans="1:16" ht="16.8">
      <c r="A55" s="86">
        <v>1</v>
      </c>
      <c r="B55" s="75" t="s">
        <v>241</v>
      </c>
      <c r="D55" s="87">
        <v>133.9772494032818</v>
      </c>
      <c r="E55" s="88">
        <v>128.08484413781883</v>
      </c>
      <c r="F55" s="88">
        <v>127.40074926745494</v>
      </c>
      <c r="G55" s="88">
        <v>148.531704424091</v>
      </c>
      <c r="H55" s="88">
        <v>176.00378592822284</v>
      </c>
      <c r="I55" s="88">
        <v>162.85107565966129</v>
      </c>
      <c r="J55" s="88">
        <v>136.19970701253195</v>
      </c>
      <c r="K55" s="89">
        <v>114.39424138532189</v>
      </c>
      <c r="L55" s="90">
        <v>1127.4433572183846</v>
      </c>
    </row>
    <row r="56" spans="1:16" ht="16.8">
      <c r="A56" s="86">
        <v>2</v>
      </c>
      <c r="B56" s="75" t="s">
        <v>242</v>
      </c>
      <c r="D56" s="87">
        <v>61.421077001695863</v>
      </c>
      <c r="E56" s="88">
        <v>61.977785772529273</v>
      </c>
      <c r="F56" s="88">
        <v>64.270362984989703</v>
      </c>
      <c r="G56" s="88">
        <v>72.19746503633246</v>
      </c>
      <c r="H56" s="88">
        <v>84.563427087948909</v>
      </c>
      <c r="I56" s="88">
        <v>77.032643882684852</v>
      </c>
      <c r="J56" s="88">
        <v>67.139730271675546</v>
      </c>
      <c r="K56" s="89">
        <v>60.681470994941087</v>
      </c>
      <c r="L56" s="90">
        <v>549.28396303279771</v>
      </c>
    </row>
    <row r="57" spans="1:16" ht="16.8">
      <c r="A57" s="86">
        <v>3</v>
      </c>
      <c r="B57" s="75" t="s">
        <v>243</v>
      </c>
      <c r="D57" s="87">
        <v>195.39832640497767</v>
      </c>
      <c r="E57" s="88">
        <v>190.06262991034811</v>
      </c>
      <c r="F57" s="88">
        <v>191.67111225244463</v>
      </c>
      <c r="G57" s="88">
        <v>220.72916946042346</v>
      </c>
      <c r="H57" s="88">
        <v>260.56721301617176</v>
      </c>
      <c r="I57" s="88">
        <v>239.88371954234614</v>
      </c>
      <c r="J57" s="88">
        <v>203.33943728420749</v>
      </c>
      <c r="K57" s="89">
        <v>175.07571238026298</v>
      </c>
      <c r="L57" s="90">
        <v>1676.7273202511822</v>
      </c>
      <c r="P57" s="118"/>
    </row>
    <row r="58" spans="1:16" ht="16.8">
      <c r="A58" s="80"/>
      <c r="B58" s="81" t="s">
        <v>244</v>
      </c>
      <c r="D58" s="82">
        <v>0</v>
      </c>
      <c r="E58" s="83">
        <v>0</v>
      </c>
      <c r="F58" s="83">
        <v>0</v>
      </c>
      <c r="G58" s="83">
        <v>0</v>
      </c>
      <c r="H58" s="83">
        <v>0</v>
      </c>
      <c r="I58" s="83">
        <v>0</v>
      </c>
      <c r="J58" s="83">
        <v>0</v>
      </c>
      <c r="K58" s="84">
        <v>0</v>
      </c>
      <c r="L58" s="85">
        <v>0</v>
      </c>
    </row>
    <row r="59" spans="1:16" ht="16.8">
      <c r="A59" s="86">
        <v>4</v>
      </c>
      <c r="B59" s="75" t="s">
        <v>245</v>
      </c>
      <c r="D59" s="87">
        <v>4014.3985484751774</v>
      </c>
      <c r="E59" s="88">
        <v>4316.5793304424415</v>
      </c>
      <c r="F59" s="88">
        <v>4304.6142158031844</v>
      </c>
      <c r="G59" s="88">
        <v>4291.0967370209446</v>
      </c>
      <c r="H59" s="88">
        <v>4309.9123480173475</v>
      </c>
      <c r="I59" s="88">
        <v>4803.896308044782</v>
      </c>
      <c r="J59" s="88">
        <v>4874.4758271176424</v>
      </c>
      <c r="K59" s="89">
        <v>4867.4258463851384</v>
      </c>
      <c r="L59" s="90">
        <v>0</v>
      </c>
    </row>
    <row r="60" spans="1:16" ht="16.8">
      <c r="A60" s="86">
        <v>5</v>
      </c>
      <c r="B60" s="75" t="s">
        <v>246</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247</v>
      </c>
      <c r="D61" s="87">
        <v>4253.3070362551225</v>
      </c>
      <c r="E61" s="88">
        <v>4318.1682954028947</v>
      </c>
      <c r="F61" s="88">
        <v>4306.5513814467358</v>
      </c>
      <c r="G61" s="88">
        <v>4305.7514378599753</v>
      </c>
      <c r="H61" s="88">
        <v>4785.7344884692066</v>
      </c>
      <c r="I61" s="88">
        <v>4873.2461117633547</v>
      </c>
      <c r="J61" s="88">
        <v>4895.2552698244781</v>
      </c>
      <c r="K61" s="89">
        <v>4868.2364690381964</v>
      </c>
      <c r="L61" s="90">
        <v>0</v>
      </c>
    </row>
    <row r="62" spans="1:16" ht="16.8">
      <c r="A62" s="86">
        <v>7</v>
      </c>
      <c r="B62" s="75" t="s">
        <v>248</v>
      </c>
      <c r="D62" s="87">
        <v>202.05086600754402</v>
      </c>
      <c r="E62" s="88">
        <v>128.07708615771418</v>
      </c>
      <c r="F62" s="88">
        <v>127.39299128735027</v>
      </c>
      <c r="G62" s="88">
        <v>148.52394644398635</v>
      </c>
      <c r="H62" s="88">
        <v>175.99602794811818</v>
      </c>
      <c r="I62" s="88">
        <v>162.84331767955663</v>
      </c>
      <c r="J62" s="88">
        <v>136.19194903242729</v>
      </c>
      <c r="K62" s="89">
        <v>114.38648340521722</v>
      </c>
      <c r="L62" s="90">
        <v>1195.4626679619141</v>
      </c>
    </row>
    <row r="63" spans="1:16" ht="16.8">
      <c r="A63" s="86">
        <v>8</v>
      </c>
      <c r="B63" s="75" t="s">
        <v>249</v>
      </c>
      <c r="D63" s="87">
        <v>-138.77857182022461</v>
      </c>
      <c r="E63" s="88">
        <v>-141.63116575742444</v>
      </c>
      <c r="F63" s="88">
        <v>-142.84763571314136</v>
      </c>
      <c r="G63" s="88">
        <v>-144.36303628661429</v>
      </c>
      <c r="H63" s="88">
        <v>-157.83420837254261</v>
      </c>
      <c r="I63" s="88">
        <v>-161.61360232526897</v>
      </c>
      <c r="J63" s="88">
        <v>-164.02137247176648</v>
      </c>
      <c r="K63" s="89">
        <v>-165.39313842491052</v>
      </c>
      <c r="L63" s="90">
        <v>-1216.4827311718934</v>
      </c>
    </row>
    <row r="64" spans="1:16" ht="16.8">
      <c r="A64" s="86">
        <v>9</v>
      </c>
      <c r="B64" s="75" t="s">
        <v>250</v>
      </c>
      <c r="D64" s="87">
        <v>4316.5793304424415</v>
      </c>
      <c r="E64" s="88">
        <v>4304.6142158031844</v>
      </c>
      <c r="F64" s="88">
        <v>4291.0967370209446</v>
      </c>
      <c r="G64" s="88">
        <v>4309.9123480173475</v>
      </c>
      <c r="H64" s="88">
        <v>4803.896308044782</v>
      </c>
      <c r="I64" s="88">
        <v>4874.4758271176424</v>
      </c>
      <c r="J64" s="88">
        <v>4867.4258463851384</v>
      </c>
      <c r="K64" s="89">
        <v>4817.229814018503</v>
      </c>
      <c r="L64" s="90">
        <v>0</v>
      </c>
    </row>
    <row r="65" spans="1:12" ht="16.8">
      <c r="A65" s="80"/>
      <c r="B65" s="81" t="s">
        <v>251</v>
      </c>
      <c r="D65" s="91">
        <v>0</v>
      </c>
      <c r="E65" s="92">
        <v>0</v>
      </c>
      <c r="F65" s="92">
        <v>0</v>
      </c>
      <c r="G65" s="92">
        <v>0</v>
      </c>
      <c r="H65" s="92">
        <v>0</v>
      </c>
      <c r="I65" s="92">
        <v>0</v>
      </c>
      <c r="J65" s="92">
        <v>0</v>
      </c>
      <c r="K65" s="93">
        <v>0</v>
      </c>
      <c r="L65" s="94">
        <v>0</v>
      </c>
    </row>
    <row r="66" spans="1:12" ht="16.8">
      <c r="A66" s="86">
        <v>10</v>
      </c>
      <c r="B66" s="75" t="s">
        <v>252</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253</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254</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255</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256</v>
      </c>
      <c r="D70" s="87">
        <v>0</v>
      </c>
      <c r="E70" s="88">
        <v>0</v>
      </c>
      <c r="F70" s="88">
        <v>0</v>
      </c>
      <c r="G70" s="88">
        <v>0</v>
      </c>
      <c r="H70" s="88">
        <v>0</v>
      </c>
      <c r="I70" s="88">
        <v>0</v>
      </c>
      <c r="J70" s="88">
        <v>0</v>
      </c>
      <c r="K70" s="89">
        <v>0</v>
      </c>
      <c r="L70" s="90">
        <v>0</v>
      </c>
    </row>
    <row r="71" spans="1:12" ht="16.8">
      <c r="A71" s="86">
        <v>15</v>
      </c>
      <c r="B71" s="75" t="s">
        <v>257</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258</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259</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260</v>
      </c>
      <c r="D74" s="91">
        <v>0</v>
      </c>
      <c r="E74" s="92">
        <v>0</v>
      </c>
      <c r="F74" s="92">
        <v>0</v>
      </c>
      <c r="G74" s="92">
        <v>0</v>
      </c>
      <c r="H74" s="92">
        <v>0</v>
      </c>
      <c r="I74" s="92">
        <v>0</v>
      </c>
      <c r="J74" s="92">
        <v>0</v>
      </c>
      <c r="K74" s="93">
        <v>0</v>
      </c>
      <c r="L74" s="94">
        <v>0</v>
      </c>
    </row>
    <row r="75" spans="1:12" ht="16.8">
      <c r="A75" s="86">
        <v>18</v>
      </c>
      <c r="B75" s="75" t="s">
        <v>252</v>
      </c>
      <c r="D75" s="87">
        <v>61.421077001695863</v>
      </c>
      <c r="E75" s="88">
        <v>61.977785772529273</v>
      </c>
      <c r="F75" s="88">
        <v>64.270362984989703</v>
      </c>
      <c r="G75" s="88">
        <v>72.19746503633246</v>
      </c>
      <c r="H75" s="88">
        <v>84.563427087948909</v>
      </c>
      <c r="I75" s="88">
        <v>77.032643882684852</v>
      </c>
      <c r="J75" s="88">
        <v>67.139730271675546</v>
      </c>
      <c r="K75" s="89">
        <v>60.681470994941087</v>
      </c>
      <c r="L75" s="90">
        <v>549.28396303279771</v>
      </c>
    </row>
    <row r="76" spans="1:12" ht="16.8">
      <c r="A76" s="86">
        <v>19</v>
      </c>
      <c r="B76" s="75" t="s">
        <v>253</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254</v>
      </c>
      <c r="D77" s="87">
        <v>138.77857182022461</v>
      </c>
      <c r="E77" s="88">
        <v>141.63116575742444</v>
      </c>
      <c r="F77" s="88">
        <v>142.84763571314136</v>
      </c>
      <c r="G77" s="88">
        <v>144.36303628661429</v>
      </c>
      <c r="H77" s="88">
        <v>157.83420837254261</v>
      </c>
      <c r="I77" s="88">
        <v>161.61360232526897</v>
      </c>
      <c r="J77" s="88">
        <v>164.02137247176648</v>
      </c>
      <c r="K77" s="89">
        <v>165.39313842491052</v>
      </c>
      <c r="L77" s="90">
        <v>1216.4827311718934</v>
      </c>
    </row>
    <row r="78" spans="1:12" ht="16.8">
      <c r="A78" s="86">
        <v>21</v>
      </c>
      <c r="B78" s="75" t="s">
        <v>255</v>
      </c>
      <c r="D78" s="87">
        <v>183.50832289441942</v>
      </c>
      <c r="E78" s="88">
        <v>179.50501113181286</v>
      </c>
      <c r="F78" s="88">
        <v>174.59505664664286</v>
      </c>
      <c r="G78" s="88">
        <v>170.55215941117609</v>
      </c>
      <c r="H78" s="88">
        <v>185.21297438239333</v>
      </c>
      <c r="I78" s="88">
        <v>182.69711107509752</v>
      </c>
      <c r="J78" s="88">
        <v>182.98768922824362</v>
      </c>
      <c r="K78" s="89">
        <v>181.54862231732753</v>
      </c>
      <c r="L78" s="90">
        <v>1440.6069470871132</v>
      </c>
    </row>
    <row r="79" spans="1:12" ht="16.8">
      <c r="A79" s="86">
        <v>22</v>
      </c>
      <c r="B79" s="75" t="s">
        <v>256</v>
      </c>
      <c r="D79" s="87">
        <v>0</v>
      </c>
      <c r="E79" s="88">
        <v>0</v>
      </c>
      <c r="F79" s="88">
        <v>0</v>
      </c>
      <c r="G79" s="88">
        <v>0</v>
      </c>
      <c r="H79" s="88">
        <v>0</v>
      </c>
      <c r="I79" s="88">
        <v>0</v>
      </c>
      <c r="J79" s="88">
        <v>0</v>
      </c>
      <c r="K79" s="89">
        <v>0</v>
      </c>
      <c r="L79" s="90">
        <v>0</v>
      </c>
    </row>
    <row r="80" spans="1:12" ht="16.8">
      <c r="A80" s="86">
        <v>23</v>
      </c>
      <c r="B80" s="75" t="s">
        <v>257</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258</v>
      </c>
      <c r="D81" s="87">
        <v>30.869108646805437</v>
      </c>
      <c r="E81" s="88">
        <v>31.949126967465027</v>
      </c>
      <c r="F81" s="88">
        <v>55.612903336484713</v>
      </c>
      <c r="G81" s="88">
        <v>56.523707623444601</v>
      </c>
      <c r="H81" s="88">
        <v>76.049276928907304</v>
      </c>
      <c r="I81" s="88">
        <v>52.264221997644952</v>
      </c>
      <c r="J81" s="88">
        <v>53.337503729032655</v>
      </c>
      <c r="K81" s="89">
        <v>54.451771406537723</v>
      </c>
      <c r="L81" s="90">
        <v>411.05762063632244</v>
      </c>
    </row>
    <row r="82" spans="1:12" ht="16.8">
      <c r="A82" s="86">
        <v>25</v>
      </c>
      <c r="B82" s="75" t="s">
        <v>259</v>
      </c>
      <c r="D82" s="87">
        <v>8.7100178849101244</v>
      </c>
      <c r="E82" s="88">
        <v>11.1632804138175</v>
      </c>
      <c r="F82" s="88">
        <v>14.153814373274841</v>
      </c>
      <c r="G82" s="88">
        <v>15.057341156206274</v>
      </c>
      <c r="H82" s="88">
        <v>23.300828929159181</v>
      </c>
      <c r="I82" s="88">
        <v>22.452877313481206</v>
      </c>
      <c r="J82" s="88">
        <v>24.33470281924922</v>
      </c>
      <c r="K82" s="89">
        <v>27.3756835117902</v>
      </c>
      <c r="L82" s="90">
        <v>146.54854640188853</v>
      </c>
    </row>
    <row r="83" spans="1:12" ht="16.8">
      <c r="A83" s="80"/>
      <c r="B83" s="81" t="s">
        <v>261</v>
      </c>
      <c r="D83" s="91">
        <v>0</v>
      </c>
      <c r="E83" s="92">
        <v>0</v>
      </c>
      <c r="F83" s="92">
        <v>0</v>
      </c>
      <c r="G83" s="92">
        <v>0</v>
      </c>
      <c r="H83" s="92">
        <v>0</v>
      </c>
      <c r="I83" s="92">
        <v>0</v>
      </c>
      <c r="J83" s="92">
        <v>0</v>
      </c>
      <c r="K83" s="93">
        <v>0</v>
      </c>
      <c r="L83" s="95">
        <v>0</v>
      </c>
    </row>
    <row r="84" spans="1:12" ht="16.8">
      <c r="A84" s="86">
        <v>26</v>
      </c>
      <c r="B84" s="75" t="s">
        <v>262</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263</v>
      </c>
      <c r="D85" s="87">
        <v>0</v>
      </c>
      <c r="E85" s="88">
        <v>7.660590030135495</v>
      </c>
      <c r="F85" s="88">
        <v>9.903155913025671</v>
      </c>
      <c r="G85" s="88">
        <v>10.462384566159812</v>
      </c>
      <c r="H85" s="88">
        <v>5.9179485259908233</v>
      </c>
      <c r="I85" s="88">
        <v>-100.20929972541376</v>
      </c>
      <c r="J85" s="88">
        <v>0</v>
      </c>
      <c r="K85" s="89">
        <v>0</v>
      </c>
      <c r="L85" s="90">
        <v>-66.265220690101955</v>
      </c>
    </row>
    <row r="86" spans="1:12" ht="16.8">
      <c r="A86" s="86">
        <v>28</v>
      </c>
      <c r="B86" s="75" t="s">
        <v>264</v>
      </c>
      <c r="D86" s="96">
        <v>538.68614139232659</v>
      </c>
      <c r="E86" s="88">
        <v>550.58732273144278</v>
      </c>
      <c r="F86" s="88">
        <v>557.86823912563909</v>
      </c>
      <c r="G86" s="88">
        <v>591.0323137873454</v>
      </c>
      <c r="H86" s="88">
        <v>664.53714335945017</v>
      </c>
      <c r="I86" s="88">
        <v>526.66065991099845</v>
      </c>
      <c r="J86" s="88">
        <v>621.72446923422729</v>
      </c>
      <c r="K86" s="89">
        <v>620.33812984496751</v>
      </c>
      <c r="L86" s="90">
        <v>4671.4344193863972</v>
      </c>
    </row>
    <row r="87" spans="1:12" ht="16.8">
      <c r="A87" s="86">
        <v>29</v>
      </c>
      <c r="B87" s="75" t="s">
        <v>168</v>
      </c>
      <c r="D87" s="96">
        <v>0</v>
      </c>
      <c r="E87" s="88">
        <v>0</v>
      </c>
      <c r="F87" s="88">
        <v>0</v>
      </c>
      <c r="G87" s="88">
        <v>0</v>
      </c>
      <c r="H87" s="88">
        <v>0</v>
      </c>
      <c r="I87" s="88">
        <v>0</v>
      </c>
      <c r="J87" s="88">
        <v>0</v>
      </c>
      <c r="K87" s="89">
        <v>0</v>
      </c>
      <c r="L87" s="90">
        <v>0</v>
      </c>
    </row>
    <row r="88" spans="1:12" ht="16.8">
      <c r="A88" s="86">
        <v>30</v>
      </c>
      <c r="B88" s="75" t="s">
        <v>265</v>
      </c>
      <c r="D88" s="96">
        <v>0</v>
      </c>
      <c r="E88" s="88">
        <v>0</v>
      </c>
      <c r="F88" s="88">
        <v>0</v>
      </c>
      <c r="G88" s="88">
        <v>0</v>
      </c>
      <c r="H88" s="88">
        <v>0</v>
      </c>
      <c r="I88" s="88">
        <v>0</v>
      </c>
      <c r="J88" s="88">
        <v>0</v>
      </c>
      <c r="K88" s="89">
        <v>0</v>
      </c>
      <c r="L88" s="90">
        <v>0</v>
      </c>
    </row>
    <row r="89" spans="1:12" ht="16.8">
      <c r="A89" s="86">
        <v>31</v>
      </c>
      <c r="B89" s="75" t="s">
        <v>266</v>
      </c>
      <c r="D89" s="96">
        <v>3.5</v>
      </c>
      <c r="E89" s="88">
        <v>2.9</v>
      </c>
      <c r="F89" s="88">
        <v>3</v>
      </c>
      <c r="G89" s="88">
        <v>3.1</v>
      </c>
      <c r="H89" s="88">
        <v>3</v>
      </c>
      <c r="I89" s="88">
        <v>3</v>
      </c>
      <c r="J89" s="88">
        <v>3</v>
      </c>
      <c r="K89" s="89">
        <v>3</v>
      </c>
      <c r="L89" s="90">
        <v>24.5</v>
      </c>
    </row>
    <row r="90" spans="1:12" ht="16.8">
      <c r="A90" s="86">
        <v>32</v>
      </c>
      <c r="B90" s="75" t="s">
        <v>267</v>
      </c>
      <c r="D90" s="96">
        <v>542.18614139232659</v>
      </c>
      <c r="E90" s="88">
        <v>553.48732273144276</v>
      </c>
      <c r="F90" s="88">
        <v>560.86823912563909</v>
      </c>
      <c r="G90" s="88">
        <v>594.13231378734542</v>
      </c>
      <c r="H90" s="88">
        <v>667.53714335945017</v>
      </c>
      <c r="I90" s="88">
        <v>529.66065991099845</v>
      </c>
      <c r="J90" s="88">
        <v>624.72446923422729</v>
      </c>
      <c r="K90" s="89">
        <v>623.33812984496751</v>
      </c>
      <c r="L90" s="90">
        <v>4695.9344193863972</v>
      </c>
    </row>
    <row r="91" spans="1:12" ht="16.8">
      <c r="A91" s="80"/>
      <c r="B91" s="81" t="s">
        <v>268</v>
      </c>
      <c r="D91" s="91">
        <v>0</v>
      </c>
      <c r="E91" s="92">
        <v>0</v>
      </c>
      <c r="F91" s="92">
        <v>0</v>
      </c>
      <c r="G91" s="92">
        <v>0</v>
      </c>
      <c r="H91" s="92">
        <v>0</v>
      </c>
      <c r="I91" s="97">
        <v>0</v>
      </c>
      <c r="J91" s="92">
        <v>0</v>
      </c>
      <c r="K91" s="93">
        <v>0</v>
      </c>
      <c r="L91" s="95">
        <v>0</v>
      </c>
    </row>
    <row r="92" spans="1:12" ht="16.8">
      <c r="A92" s="86">
        <v>33</v>
      </c>
      <c r="B92" s="75" t="s">
        <v>268</v>
      </c>
      <c r="D92" s="87">
        <v>532.27297258717056</v>
      </c>
      <c r="E92" s="88">
        <v>535.37318766088151</v>
      </c>
      <c r="F92" s="88">
        <v>560.63199301036127</v>
      </c>
      <c r="G92" s="88">
        <v>567.46061713204779</v>
      </c>
      <c r="H92" s="88">
        <v>635.37758730007874</v>
      </c>
      <c r="I92" s="88">
        <v>605.06504080098887</v>
      </c>
      <c r="J92" s="88">
        <v>601.02123357044024</v>
      </c>
      <c r="K92" s="89">
        <v>598.74304882953993</v>
      </c>
      <c r="L92" s="90">
        <v>4635.9456808915093</v>
      </c>
    </row>
    <row r="93" spans="1:12" ht="16.8">
      <c r="A93" s="86">
        <v>34</v>
      </c>
      <c r="B93" s="75" t="s">
        <v>269</v>
      </c>
      <c r="D93" s="87">
        <v>534.52623699283572</v>
      </c>
      <c r="E93" s="88">
        <v>537.34995175431573</v>
      </c>
      <c r="F93" s="88">
        <v>562.82798303640618</v>
      </c>
      <c r="G93" s="88">
        <v>598.41476544245256</v>
      </c>
      <c r="H93" s="88">
        <v>671.33919320041684</v>
      </c>
      <c r="I93" s="88">
        <v>641.24263371374821</v>
      </c>
      <c r="J93" s="88">
        <v>635.73505589999684</v>
      </c>
      <c r="K93" s="89">
        <v>633.56047708964866</v>
      </c>
      <c r="L93" s="90">
        <v>4814.996297129821</v>
      </c>
    </row>
    <row r="94" spans="1:12" ht="16.8">
      <c r="A94" s="80"/>
      <c r="B94" s="81" t="s">
        <v>270</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8">
      <c r="A99" s="86">
        <v>39</v>
      </c>
      <c r="B99" s="98">
        <v>43190</v>
      </c>
      <c r="D99" s="96">
        <v>534.52623699283572</v>
      </c>
      <c r="E99" s="88">
        <v>537.34995175431573</v>
      </c>
      <c r="F99" s="88">
        <v>562.82798303640618</v>
      </c>
      <c r="G99" s="88">
        <v>598.41476544245256</v>
      </c>
      <c r="H99" s="88">
        <v>671.33919320041684</v>
      </c>
      <c r="I99" s="88">
        <v>641.24263371374821</v>
      </c>
      <c r="J99" s="88">
        <v>635.73505589999684</v>
      </c>
      <c r="K99" s="89">
        <v>633.56047708964866</v>
      </c>
      <c r="L99" s="90">
        <v>4814.996297129821</v>
      </c>
    </row>
    <row r="100" spans="1:12" ht="16.8">
      <c r="A100" s="86">
        <v>40</v>
      </c>
      <c r="B100" s="98">
        <v>43555</v>
      </c>
      <c r="D100" s="96">
        <v>532.27297258717056</v>
      </c>
      <c r="E100" s="88">
        <v>535.37318766088151</v>
      </c>
      <c r="F100" s="88">
        <v>560.63199301036127</v>
      </c>
      <c r="G100" s="88">
        <v>567.46061713204779</v>
      </c>
      <c r="H100" s="88">
        <v>635.37758730007874</v>
      </c>
      <c r="I100" s="88">
        <v>605.06504080098887</v>
      </c>
      <c r="J100" s="88">
        <v>601.02123357044024</v>
      </c>
      <c r="K100" s="89">
        <v>598.74304882953993</v>
      </c>
      <c r="L100" s="90">
        <v>4635.9456808915093</v>
      </c>
    </row>
    <row r="101" spans="1:12" ht="16.8">
      <c r="A101" s="86">
        <v>41</v>
      </c>
      <c r="B101" s="98">
        <v>43921</v>
      </c>
      <c r="D101" s="96" t="s">
        <v>455</v>
      </c>
      <c r="E101" s="88" t="s">
        <v>455</v>
      </c>
      <c r="F101" s="88" t="s">
        <v>455</v>
      </c>
      <c r="G101" s="88" t="s">
        <v>455</v>
      </c>
      <c r="H101" s="88" t="s">
        <v>455</v>
      </c>
      <c r="I101" s="88" t="s">
        <v>455</v>
      </c>
      <c r="J101" s="88" t="s">
        <v>455</v>
      </c>
      <c r="K101" s="89" t="s">
        <v>455</v>
      </c>
      <c r="L101" s="90">
        <v>0</v>
      </c>
    </row>
    <row r="102" spans="1:12" ht="16.8">
      <c r="A102" s="86">
        <v>42</v>
      </c>
      <c r="B102" s="98">
        <v>44286</v>
      </c>
      <c r="D102" s="96" t="s">
        <v>455</v>
      </c>
      <c r="E102" s="88" t="s">
        <v>455</v>
      </c>
      <c r="F102" s="88" t="s">
        <v>455</v>
      </c>
      <c r="G102" s="88" t="s">
        <v>455</v>
      </c>
      <c r="H102" s="88" t="s">
        <v>455</v>
      </c>
      <c r="I102" s="88" t="s">
        <v>455</v>
      </c>
      <c r="J102" s="88" t="s">
        <v>455</v>
      </c>
      <c r="K102" s="89" t="s">
        <v>455</v>
      </c>
      <c r="L102" s="90">
        <v>0</v>
      </c>
    </row>
    <row r="103" spans="1:12" ht="16.8">
      <c r="A103" s="80"/>
      <c r="B103" s="81" t="s">
        <v>271</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8">
      <c r="A108" s="86">
        <v>47</v>
      </c>
      <c r="B108" s="98">
        <v>43190</v>
      </c>
      <c r="D108" s="96">
        <v>0</v>
      </c>
      <c r="E108" s="88">
        <v>7.660590030135495</v>
      </c>
      <c r="F108" s="88">
        <v>9.903155913025671</v>
      </c>
      <c r="G108" s="88">
        <v>10.462384566159812</v>
      </c>
      <c r="H108" s="88">
        <v>5.9179485259908233</v>
      </c>
      <c r="I108" s="88">
        <v>0</v>
      </c>
      <c r="J108" s="88">
        <v>0</v>
      </c>
      <c r="K108" s="89">
        <v>0</v>
      </c>
      <c r="L108" s="90">
        <v>33.944079035311802</v>
      </c>
    </row>
    <row r="109" spans="1:12" ht="16.8">
      <c r="A109" s="86">
        <v>48</v>
      </c>
      <c r="B109" s="98">
        <v>43555</v>
      </c>
      <c r="D109" s="96">
        <v>0</v>
      </c>
      <c r="E109" s="88">
        <v>7.660590030135495</v>
      </c>
      <c r="F109" s="88">
        <v>9.903155913025671</v>
      </c>
      <c r="G109" s="88">
        <v>10.462384566159812</v>
      </c>
      <c r="H109" s="88">
        <v>5.9179485259908233</v>
      </c>
      <c r="I109" s="88">
        <v>-100.20929972541376</v>
      </c>
      <c r="J109" s="88">
        <v>0</v>
      </c>
      <c r="K109" s="89">
        <v>0</v>
      </c>
      <c r="L109" s="90">
        <v>-66.265220690101955</v>
      </c>
    </row>
    <row r="110" spans="1:12" ht="16.8">
      <c r="A110" s="86">
        <v>49</v>
      </c>
      <c r="B110" s="98">
        <v>43921</v>
      </c>
      <c r="D110" s="96" t="s">
        <v>455</v>
      </c>
      <c r="E110" s="88" t="s">
        <v>455</v>
      </c>
      <c r="F110" s="88" t="s">
        <v>455</v>
      </c>
      <c r="G110" s="88" t="s">
        <v>455</v>
      </c>
      <c r="H110" s="88" t="s">
        <v>455</v>
      </c>
      <c r="I110" s="88" t="s">
        <v>455</v>
      </c>
      <c r="J110" s="88" t="s">
        <v>455</v>
      </c>
      <c r="K110" s="89" t="s">
        <v>455</v>
      </c>
      <c r="L110" s="90">
        <v>0</v>
      </c>
    </row>
    <row r="111" spans="1:12" ht="16.8">
      <c r="A111" s="86">
        <v>50</v>
      </c>
      <c r="B111" s="98">
        <v>44286</v>
      </c>
      <c r="D111" s="96" t="s">
        <v>455</v>
      </c>
      <c r="E111" s="88" t="s">
        <v>455</v>
      </c>
      <c r="F111" s="88" t="s">
        <v>455</v>
      </c>
      <c r="G111" s="88" t="s">
        <v>455</v>
      </c>
      <c r="H111" s="88" t="s">
        <v>455</v>
      </c>
      <c r="I111" s="88" t="s">
        <v>455</v>
      </c>
      <c r="J111" s="88" t="s">
        <v>455</v>
      </c>
      <c r="K111" s="89" t="s">
        <v>455</v>
      </c>
      <c r="L111" s="90">
        <v>0</v>
      </c>
    </row>
    <row r="112" spans="1:12" ht="16.8">
      <c r="A112" s="80"/>
      <c r="B112" s="81" t="s">
        <v>272</v>
      </c>
      <c r="D112" s="91">
        <v>0</v>
      </c>
      <c r="E112" s="92">
        <v>0</v>
      </c>
      <c r="F112" s="92">
        <v>0</v>
      </c>
      <c r="G112" s="92">
        <v>0</v>
      </c>
      <c r="H112" s="92">
        <v>0</v>
      </c>
      <c r="I112" s="97">
        <v>0</v>
      </c>
      <c r="J112" s="92">
        <v>0</v>
      </c>
      <c r="K112" s="93">
        <v>0</v>
      </c>
      <c r="L112" s="95">
        <v>0</v>
      </c>
    </row>
    <row r="113" spans="1:12" ht="16.8">
      <c r="A113" s="86">
        <v>51</v>
      </c>
      <c r="B113" s="75" t="s">
        <v>273</v>
      </c>
      <c r="D113" s="87">
        <v>4194.4759518724441</v>
      </c>
      <c r="E113" s="88">
        <v>4223.6473207485378</v>
      </c>
      <c r="F113" s="88">
        <v>4213.4553640215472</v>
      </c>
      <c r="G113" s="88">
        <v>4224.2020906792841</v>
      </c>
      <c r="H113" s="88">
        <v>4703.8215716163386</v>
      </c>
      <c r="I113" s="88">
        <v>4784.2124013118828</v>
      </c>
      <c r="J113" s="88">
        <v>4791.8216491847761</v>
      </c>
      <c r="K113" s="89">
        <v>4754.1374092917195</v>
      </c>
      <c r="L113" s="90">
        <v>35889.773758726529</v>
      </c>
    </row>
    <row r="114" spans="1:12" ht="16.8">
      <c r="A114" s="86">
        <v>52</v>
      </c>
      <c r="B114" s="75" t="s">
        <v>26</v>
      </c>
      <c r="D114" s="99">
        <v>0.625</v>
      </c>
      <c r="E114" s="100">
        <v>0.625</v>
      </c>
      <c r="F114" s="100">
        <v>0.625</v>
      </c>
      <c r="G114" s="100">
        <v>0.625</v>
      </c>
      <c r="H114" s="100">
        <v>0.625</v>
      </c>
      <c r="I114" s="100">
        <v>0.625</v>
      </c>
      <c r="J114" s="100">
        <v>0.625</v>
      </c>
      <c r="K114" s="101">
        <v>0.625</v>
      </c>
      <c r="L114" s="102">
        <v>0.625</v>
      </c>
    </row>
    <row r="115" spans="1:12" ht="16.8">
      <c r="A115" s="86">
        <v>53</v>
      </c>
      <c r="B115" s="75" t="s">
        <v>274</v>
      </c>
      <c r="D115" s="87">
        <v>1572.9284819521665</v>
      </c>
      <c r="E115" s="88">
        <v>1583.8677452807017</v>
      </c>
      <c r="F115" s="88">
        <v>1580.0457615080802</v>
      </c>
      <c r="G115" s="88">
        <v>1584.0757840047315</v>
      </c>
      <c r="H115" s="88">
        <v>1763.9330893561269</v>
      </c>
      <c r="I115" s="88">
        <v>1794.079650491956</v>
      </c>
      <c r="J115" s="88">
        <v>1796.933118444291</v>
      </c>
      <c r="K115" s="89">
        <v>1782.8015284843948</v>
      </c>
      <c r="L115" s="90">
        <v>13458.665159522448</v>
      </c>
    </row>
    <row r="116" spans="1:12" ht="16.8">
      <c r="A116" s="86">
        <v>54</v>
      </c>
      <c r="B116" s="75" t="s">
        <v>275</v>
      </c>
      <c r="D116" s="87">
        <v>76.549186121672108</v>
      </c>
      <c r="E116" s="88">
        <v>71.802004452725157</v>
      </c>
      <c r="F116" s="88">
        <v>67.151944864093394</v>
      </c>
      <c r="G116" s="88">
        <v>62.835006098854343</v>
      </c>
      <c r="H116" s="88">
        <v>65.265524306176701</v>
      </c>
      <c r="I116" s="88">
        <v>60.699694841644501</v>
      </c>
      <c r="J116" s="88">
        <v>60.796237174031845</v>
      </c>
      <c r="K116" s="89">
        <v>60.318118380388682</v>
      </c>
      <c r="L116" s="90">
        <v>525.41771623958675</v>
      </c>
    </row>
    <row r="117" spans="1:12" ht="17.399999999999999" thickBot="1">
      <c r="A117" s="103">
        <v>55</v>
      </c>
      <c r="B117" s="104" t="s">
        <v>276</v>
      </c>
      <c r="D117" s="105">
        <v>106.95913677274731</v>
      </c>
      <c r="E117" s="106">
        <v>107.70300667908771</v>
      </c>
      <c r="F117" s="106">
        <v>107.44311178254947</v>
      </c>
      <c r="G117" s="106">
        <v>107.71715331232176</v>
      </c>
      <c r="H117" s="106">
        <v>119.94745007621663</v>
      </c>
      <c r="I117" s="106">
        <v>121.99741623345302</v>
      </c>
      <c r="J117" s="106">
        <v>122.19145205421178</v>
      </c>
      <c r="K117" s="107">
        <v>121.23050393693885</v>
      </c>
      <c r="L117" s="108">
        <v>915.18923084752646</v>
      </c>
    </row>
    <row r="118" spans="1:12">
      <c r="D118" s="53"/>
      <c r="E118" s="53"/>
      <c r="F118" s="53"/>
      <c r="G118" s="53"/>
      <c r="H118" s="53"/>
      <c r="I118" s="53"/>
      <c r="J118" s="53"/>
      <c r="K118" s="53"/>
    </row>
    <row r="119" spans="1:12" ht="16.8">
      <c r="B119" s="75" t="s">
        <v>277</v>
      </c>
      <c r="D119" s="96">
        <v>94.224999999999994</v>
      </c>
      <c r="E119" s="88">
        <v>87.484999999999999</v>
      </c>
      <c r="F119" s="88">
        <v>79.322999999999993</v>
      </c>
      <c r="G119" s="88">
        <v>58.722999999999999</v>
      </c>
      <c r="H119" s="88">
        <v>3.3000000000000002E-2</v>
      </c>
      <c r="I119" s="88">
        <v>3.3000000000000002E-2</v>
      </c>
      <c r="J119" s="88">
        <v>0</v>
      </c>
      <c r="K119" s="88">
        <v>0</v>
      </c>
      <c r="L119" s="172">
        <v>319.822</v>
      </c>
    </row>
    <row r="120" spans="1:12">
      <c r="D120" s="53"/>
      <c r="E120" s="53"/>
      <c r="F120" s="53"/>
      <c r="G120" s="53"/>
      <c r="H120" s="53"/>
      <c r="I120" s="53"/>
      <c r="J120" s="53"/>
      <c r="K120" s="53"/>
    </row>
    <row r="121" spans="1:12" ht="16.8">
      <c r="B121" s="213" t="s">
        <v>278</v>
      </c>
      <c r="D121" s="53">
        <v>58.241105439791099</v>
      </c>
      <c r="E121" s="53">
        <v>59.757273868015744</v>
      </c>
      <c r="F121" s="53">
        <v>62.721709478395724</v>
      </c>
      <c r="G121" s="53">
        <v>69.704449688059697</v>
      </c>
      <c r="H121" s="53">
        <v>81.360887734117568</v>
      </c>
      <c r="I121" s="53">
        <v>73.764690650501109</v>
      </c>
      <c r="J121" s="53">
        <v>65.089296911713703</v>
      </c>
      <c r="K121" s="53">
        <v>60.038704349459636</v>
      </c>
    </row>
    <row r="122" spans="1:12">
      <c r="B122" t="s">
        <v>279</v>
      </c>
      <c r="D122" s="53">
        <v>105.35750534613895</v>
      </c>
      <c r="E122" s="53">
        <v>108.10023699719704</v>
      </c>
      <c r="F122" s="53">
        <v>113.46286770810914</v>
      </c>
      <c r="G122" s="53">
        <v>126.09456628963611</v>
      </c>
      <c r="H122" s="53">
        <v>147.18093174374081</v>
      </c>
      <c r="I122" s="53">
        <v>133.43949657000763</v>
      </c>
      <c r="J122" s="53">
        <v>117.74580677287535</v>
      </c>
      <c r="K122" s="53">
        <v>108.60934157598879</v>
      </c>
    </row>
    <row r="123" spans="1:12" ht="16.8">
      <c r="B123" s="213" t="s">
        <v>280</v>
      </c>
      <c r="D123" s="53">
        <v>3.179971561904761</v>
      </c>
      <c r="E123" s="53">
        <v>2.2205119045135326</v>
      </c>
      <c r="F123" s="53">
        <v>1.5486535065939773</v>
      </c>
      <c r="G123" s="53">
        <v>2.4930153482727668</v>
      </c>
      <c r="H123" s="53">
        <v>3.2025393538313374</v>
      </c>
      <c r="I123" s="53">
        <v>3.2679532321837392</v>
      </c>
      <c r="J123" s="53">
        <v>2.0504333599618434</v>
      </c>
      <c r="K123" s="53">
        <v>0.64276664548145401</v>
      </c>
    </row>
    <row r="124" spans="1:12">
      <c r="B124" t="s">
        <v>281</v>
      </c>
      <c r="D124" s="53">
        <v>28.619744057142853</v>
      </c>
      <c r="E124" s="53">
        <v>19.984607140621794</v>
      </c>
      <c r="F124" s="53">
        <v>13.937881559345792</v>
      </c>
      <c r="G124" s="53">
        <v>22.437138134454905</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282</v>
      </c>
      <c r="D126" s="53">
        <v>0</v>
      </c>
      <c r="E126" s="53">
        <v>0</v>
      </c>
      <c r="F126" s="53">
        <v>0</v>
      </c>
      <c r="G126" s="53">
        <v>0</v>
      </c>
      <c r="H126" s="53">
        <v>138.27838395379189</v>
      </c>
      <c r="I126" s="53">
        <v>117.50342084599842</v>
      </c>
      <c r="J126" s="53">
        <v>101.87556011564801</v>
      </c>
      <c r="K126" s="53">
        <v>91.157975802007329</v>
      </c>
    </row>
    <row r="127" spans="1:12">
      <c r="B127" t="s">
        <v>283</v>
      </c>
      <c r="D127" s="53">
        <v>0</v>
      </c>
      <c r="E127" s="53">
        <v>0</v>
      </c>
      <c r="F127" s="53">
        <v>0</v>
      </c>
      <c r="G127" s="53">
        <v>0</v>
      </c>
      <c r="H127" s="53">
        <v>49.227104687549911</v>
      </c>
      <c r="I127" s="53">
        <v>41.831217821175436</v>
      </c>
      <c r="J127" s="53">
        <v>36.267699401170688</v>
      </c>
      <c r="K127" s="53">
        <v>32.452239385514609</v>
      </c>
    </row>
    <row r="128" spans="1:12">
      <c r="B128" t="s">
        <v>284</v>
      </c>
      <c r="D128" s="53">
        <f t="shared" ref="D128:K128" si="19">D126-D127</f>
        <v>0</v>
      </c>
      <c r="E128" s="53">
        <f t="shared" si="19"/>
        <v>0</v>
      </c>
      <c r="F128" s="53">
        <f t="shared" si="19"/>
        <v>0</v>
      </c>
      <c r="G128" s="53">
        <f t="shared" si="19"/>
        <v>0</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285</v>
      </c>
      <c r="D130" s="196">
        <v>308.75273694375045</v>
      </c>
      <c r="E130" s="196">
        <v>313.89720450059929</v>
      </c>
      <c r="F130" s="196">
        <v>330.26456177636072</v>
      </c>
      <c r="G130" s="196">
        <v>376.83616903024597</v>
      </c>
      <c r="H130" s="196">
        <v>0</v>
      </c>
      <c r="I130" s="196">
        <v>0</v>
      </c>
      <c r="J130" s="196">
        <v>0</v>
      </c>
      <c r="K130" s="196">
        <v>0</v>
      </c>
    </row>
    <row r="131" spans="2:25">
      <c r="B131" t="s">
        <v>206</v>
      </c>
      <c r="D131" s="196">
        <v>14.16619923431</v>
      </c>
      <c r="E131" s="196">
        <v>26.016783731295874</v>
      </c>
      <c r="F131" s="196">
        <v>69.473671529071126</v>
      </c>
      <c r="G131" s="196">
        <v>108.4200133736822</v>
      </c>
      <c r="H131" s="196">
        <v>69.349803718573156</v>
      </c>
      <c r="I131" s="196">
        <v>20.779442706835688</v>
      </c>
      <c r="J131" s="196">
        <v>0.81062265305823133</v>
      </c>
      <c r="K131" s="196">
        <v>0</v>
      </c>
    </row>
    <row r="132" spans="2:25" ht="16.8">
      <c r="B132" s="110" t="s">
        <v>287</v>
      </c>
      <c r="D132" s="196">
        <v>7.4327667170082803</v>
      </c>
      <c r="E132" s="196">
        <v>7.7122608119828824</v>
      </c>
      <c r="F132" s="196">
        <v>8.2473634361549806</v>
      </c>
      <c r="G132" s="196">
        <v>9.4340419520691015</v>
      </c>
      <c r="H132" s="196">
        <v>0</v>
      </c>
      <c r="I132" s="196">
        <v>0</v>
      </c>
      <c r="J132" s="196">
        <v>0</v>
      </c>
      <c r="K132" s="196">
        <v>0</v>
      </c>
    </row>
    <row r="133" spans="2:25" ht="16.8">
      <c r="B133" s="110" t="s">
        <v>288</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289</v>
      </c>
      <c r="D135" s="53">
        <f>D61+D130</f>
        <v>4562.0597731988728</v>
      </c>
      <c r="E135" s="53">
        <f>D138</f>
        <v>4632.0654999034932</v>
      </c>
      <c r="F135" s="53">
        <f t="shared" ref="F135:K135" si="21">E138</f>
        <v>4636.8159432230959</v>
      </c>
      <c r="G135" s="53">
        <f t="shared" si="21"/>
        <v>4682.5876068902207</v>
      </c>
      <c r="H135" s="53">
        <f t="shared" si="21"/>
        <v>4785.7344884692056</v>
      </c>
      <c r="I135" s="53">
        <f t="shared" si="21"/>
        <v>4873.2461117633538</v>
      </c>
      <c r="J135" s="53">
        <f t="shared" si="21"/>
        <v>4895.2552698244772</v>
      </c>
      <c r="K135" s="53">
        <f t="shared" si="21"/>
        <v>4868.2364690381955</v>
      </c>
      <c r="L135" s="53"/>
      <c r="N135" s="53">
        <f t="shared" ref="N135:U135" si="22">D135*N$1</f>
        <v>5323.9237553230851</v>
      </c>
      <c r="O135" s="53">
        <f t="shared" si="22"/>
        <v>5512.1579448851571</v>
      </c>
      <c r="P135" s="53">
        <f t="shared" si="22"/>
        <v>5573.4527637541614</v>
      </c>
      <c r="Q135" s="53">
        <f t="shared" si="22"/>
        <v>5750.2175812611913</v>
      </c>
      <c r="R135" s="53">
        <f t="shared" si="22"/>
        <v>6097.0257383097678</v>
      </c>
      <c r="S135" s="53">
        <f t="shared" si="22"/>
        <v>6398.5721447452834</v>
      </c>
      <c r="T135" s="53">
        <f t="shared" si="22"/>
        <v>6603.6993589932199</v>
      </c>
      <c r="U135" s="53">
        <f t="shared" si="22"/>
        <v>6757.1122190250153</v>
      </c>
    </row>
    <row r="136" spans="2:25">
      <c r="B136" t="str">
        <f>B62</f>
        <v>RAV additions (after disposals)</v>
      </c>
      <c r="D136" s="53">
        <f>D62+D131</f>
        <v>216.21706524185402</v>
      </c>
      <c r="E136" s="53">
        <f t="shared" ref="E136:K136" si="23">E62+E131</f>
        <v>154.09386988901005</v>
      </c>
      <c r="F136" s="53">
        <f t="shared" si="23"/>
        <v>196.86666281642141</v>
      </c>
      <c r="G136" s="53">
        <f t="shared" si="23"/>
        <v>256.94395981766854</v>
      </c>
      <c r="H136" s="53">
        <f t="shared" si="23"/>
        <v>245.34583166669134</v>
      </c>
      <c r="I136" s="53">
        <f t="shared" si="23"/>
        <v>183.62276038639232</v>
      </c>
      <c r="J136" s="53">
        <f t="shared" si="23"/>
        <v>137.00257168548552</v>
      </c>
      <c r="K136" s="53">
        <f t="shared" si="23"/>
        <v>114.38648340521722</v>
      </c>
    </row>
    <row r="137" spans="2:25">
      <c r="B137" t="str">
        <f>B63</f>
        <v>Depreciation</v>
      </c>
      <c r="D137" s="53">
        <f>D63-D132</f>
        <v>-146.2113385372329</v>
      </c>
      <c r="E137" s="53">
        <f t="shared" ref="E137:K137" si="24">E63-E132</f>
        <v>-149.34342656940731</v>
      </c>
      <c r="F137" s="53">
        <f t="shared" si="24"/>
        <v>-151.09499914929634</v>
      </c>
      <c r="G137" s="53">
        <f t="shared" si="24"/>
        <v>-153.79707823868338</v>
      </c>
      <c r="H137" s="53">
        <f t="shared" si="24"/>
        <v>-157.83420837254261</v>
      </c>
      <c r="I137" s="53">
        <f t="shared" si="24"/>
        <v>-161.61360232526897</v>
      </c>
      <c r="J137" s="53">
        <f t="shared" si="24"/>
        <v>-164.02137247176648</v>
      </c>
      <c r="K137" s="53">
        <f t="shared" si="24"/>
        <v>-165.39313842491052</v>
      </c>
    </row>
    <row r="138" spans="2:25">
      <c r="B138" t="str">
        <f>B64</f>
        <v>Closing asset value</v>
      </c>
      <c r="D138" s="53">
        <f>SUM(D135:D137)</f>
        <v>4632.0654999034932</v>
      </c>
      <c r="E138" s="53">
        <f t="shared" ref="E138:K138" si="25">SUM(E135:E137)</f>
        <v>4636.8159432230959</v>
      </c>
      <c r="F138" s="53">
        <f t="shared" si="25"/>
        <v>4682.5876068902207</v>
      </c>
      <c r="G138" s="53">
        <f t="shared" si="25"/>
        <v>4785.7344884692056</v>
      </c>
      <c r="H138" s="53">
        <f t="shared" si="25"/>
        <v>4873.2461117633538</v>
      </c>
      <c r="I138" s="53">
        <f t="shared" si="25"/>
        <v>4895.2552698244772</v>
      </c>
      <c r="J138" s="53">
        <f t="shared" si="25"/>
        <v>4868.2364690381955</v>
      </c>
      <c r="K138" s="53">
        <f t="shared" si="25"/>
        <v>4817.2298140185021</v>
      </c>
      <c r="N138" s="53">
        <f t="shared" ref="N138:U138" si="26">D138*N$1</f>
        <v>5405.6204383873765</v>
      </c>
      <c r="O138" s="53">
        <f t="shared" si="26"/>
        <v>5517.8109724354836</v>
      </c>
      <c r="P138" s="53">
        <f t="shared" si="26"/>
        <v>5628.470303482045</v>
      </c>
      <c r="Q138" s="53">
        <f t="shared" si="26"/>
        <v>5876.8819518401842</v>
      </c>
      <c r="R138" s="53">
        <f t="shared" si="26"/>
        <v>6208.5155463865131</v>
      </c>
      <c r="S138" s="53">
        <f t="shared" si="26"/>
        <v>6427.4701692795379</v>
      </c>
      <c r="T138" s="53">
        <f t="shared" si="26"/>
        <v>6567.2509967325259</v>
      </c>
      <c r="U138" s="53">
        <f t="shared" si="26"/>
        <v>6686.3149818576803</v>
      </c>
      <c r="V138" s="53"/>
      <c r="W138" s="53"/>
      <c r="X138" s="53"/>
      <c r="Y138" s="53"/>
    </row>
    <row r="139" spans="2:25">
      <c r="B139" t="s">
        <v>201</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290</v>
      </c>
      <c r="D141" s="196">
        <v>2.6999999999999997</v>
      </c>
      <c r="E141" s="196">
        <v>2.6</v>
      </c>
      <c r="F141" s="196">
        <v>2.6</v>
      </c>
      <c r="G141" s="196">
        <v>2.6999999999999997</v>
      </c>
      <c r="H141" s="196">
        <v>2.6</v>
      </c>
      <c r="I141" s="196">
        <v>1.5036030565639953</v>
      </c>
      <c r="J141" s="196">
        <v>1.5036030565639953</v>
      </c>
      <c r="K141" s="196">
        <v>1.5036030565639953</v>
      </c>
    </row>
    <row r="142" spans="2:25">
      <c r="B142" t="s">
        <v>291</v>
      </c>
      <c r="D142" s="196">
        <v>26.409854043050455</v>
      </c>
      <c r="E142" s="196">
        <v>26.409854043050455</v>
      </c>
      <c r="F142" s="196">
        <v>49.377503040264713</v>
      </c>
      <c r="G142" s="196">
        <v>49.377503040264713</v>
      </c>
      <c r="H142" s="196">
        <v>49.377503040264713</v>
      </c>
      <c r="I142" s="196">
        <v>25.655041687065825</v>
      </c>
      <c r="J142" s="196">
        <v>25.655041687065825</v>
      </c>
      <c r="K142" s="196">
        <v>25.655041687065825</v>
      </c>
    </row>
    <row r="143" spans="2:25">
      <c r="B143" t="s">
        <v>292</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27.158644743629822</v>
      </c>
      <c r="J143" s="53">
        <f t="shared" si="28"/>
        <v>27.158644743629822</v>
      </c>
      <c r="K143" s="53">
        <f t="shared" si="28"/>
        <v>27.158644743629822</v>
      </c>
    </row>
    <row r="144" spans="2:25">
      <c r="B144" t="s">
        <v>293</v>
      </c>
      <c r="D144" s="196">
        <v>11.622445302613123</v>
      </c>
      <c r="E144" s="196">
        <v>12.116399227974181</v>
      </c>
      <c r="F144" s="196">
        <v>12.618472520983362</v>
      </c>
      <c r="G144" s="196">
        <v>13.127943349018066</v>
      </c>
      <c r="H144" s="196">
        <v>13.644856118385652</v>
      </c>
      <c r="I144" s="196">
        <v>14.165919061406505</v>
      </c>
      <c r="J144" s="196">
        <v>14.706880095563967</v>
      </c>
      <c r="K144" s="196">
        <v>15.268499079213317</v>
      </c>
    </row>
    <row r="145" spans="2:12">
      <c r="B145" s="38" t="s">
        <v>294</v>
      </c>
      <c r="C145" s="38"/>
      <c r="D145" s="58">
        <f t="shared" ref="D145:K145" si="29">D143+D144</f>
        <v>40.732299345663577</v>
      </c>
      <c r="E145" s="58">
        <f t="shared" si="29"/>
        <v>41.126253271024638</v>
      </c>
      <c r="F145" s="58">
        <f t="shared" si="29"/>
        <v>64.595975561248082</v>
      </c>
      <c r="G145" s="58">
        <f t="shared" si="29"/>
        <v>65.205446389282784</v>
      </c>
      <c r="H145" s="58">
        <f t="shared" si="29"/>
        <v>65.622359158650369</v>
      </c>
      <c r="I145" s="58">
        <f t="shared" si="29"/>
        <v>41.324563805036327</v>
      </c>
      <c r="J145" s="58">
        <f t="shared" si="29"/>
        <v>41.865524839193789</v>
      </c>
      <c r="K145" s="58">
        <f t="shared" si="29"/>
        <v>42.427143822843135</v>
      </c>
    </row>
    <row r="146" spans="2:12">
      <c r="D146" s="53"/>
      <c r="E146" s="53"/>
      <c r="F146" s="53"/>
      <c r="G146" s="53"/>
      <c r="H146" s="53"/>
      <c r="I146" s="53"/>
      <c r="J146" s="53"/>
      <c r="K146" s="53"/>
    </row>
    <row r="147" spans="2:12">
      <c r="B147" t="s">
        <v>295</v>
      </c>
      <c r="D147" s="196">
        <v>-17.8</v>
      </c>
      <c r="E147" s="196">
        <v>-18.2</v>
      </c>
      <c r="F147" s="196">
        <v>-18.399999999999999</v>
      </c>
      <c r="G147" s="196">
        <v>-18.5</v>
      </c>
      <c r="H147" s="196">
        <v>0</v>
      </c>
      <c r="I147" s="196">
        <v>0</v>
      </c>
      <c r="J147" s="196">
        <v>0</v>
      </c>
      <c r="K147" s="196">
        <v>0</v>
      </c>
    </row>
    <row r="148" spans="2:12">
      <c r="B148" t="s">
        <v>296</v>
      </c>
      <c r="D148" s="196">
        <v>11.43680930114186</v>
      </c>
      <c r="E148" s="196">
        <v>11.922873696440387</v>
      </c>
      <c r="F148" s="196">
        <v>12.416927775236637</v>
      </c>
      <c r="G148" s="196">
        <v>12.918261234161816</v>
      </c>
      <c r="H148" s="196">
        <v>13.426917770256935</v>
      </c>
      <c r="I148" s="196">
        <v>13.939658192608624</v>
      </c>
      <c r="J148" s="196">
        <v>14.471978889838866</v>
      </c>
      <c r="K148" s="196">
        <v>15.024627583694587</v>
      </c>
    </row>
    <row r="149" spans="2:12">
      <c r="B149" t="s">
        <v>297</v>
      </c>
      <c r="D149" s="53">
        <v>-3.5</v>
      </c>
      <c r="E149" s="53">
        <v>-2.9</v>
      </c>
      <c r="F149" s="53">
        <v>-3</v>
      </c>
      <c r="G149" s="53">
        <v>-3.1</v>
      </c>
      <c r="H149" s="53">
        <v>-3</v>
      </c>
      <c r="I149" s="53">
        <v>-3</v>
      </c>
      <c r="J149" s="53">
        <v>-3</v>
      </c>
      <c r="K149" s="53">
        <v>-3</v>
      </c>
    </row>
    <row r="150" spans="2:12">
      <c r="B150" s="38" t="s">
        <v>298</v>
      </c>
      <c r="D150" s="58">
        <f t="shared" ref="D150:K150" si="30">SUM(D145:D149)</f>
        <v>30.869108646805437</v>
      </c>
      <c r="E150" s="58">
        <f t="shared" si="30"/>
        <v>31.949126967465027</v>
      </c>
      <c r="F150" s="58">
        <f t="shared" si="30"/>
        <v>55.61290333648472</v>
      </c>
      <c r="G150" s="58">
        <f t="shared" si="30"/>
        <v>56.523707623444601</v>
      </c>
      <c r="H150" s="58">
        <f t="shared" si="30"/>
        <v>76.049276928907304</v>
      </c>
      <c r="I150" s="58">
        <f t="shared" si="30"/>
        <v>52.264221997644952</v>
      </c>
      <c r="J150" s="58">
        <f t="shared" si="30"/>
        <v>53.337503729032655</v>
      </c>
      <c r="K150" s="58">
        <f t="shared" si="30"/>
        <v>54.451771406537723</v>
      </c>
    </row>
    <row r="151" spans="2:12">
      <c r="B151" t="s">
        <v>299</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300</v>
      </c>
      <c r="D153" s="53">
        <f t="shared" ref="D153:K153" si="31">SUM(D147:D149,D151)</f>
        <v>-9.8631906988581406</v>
      </c>
      <c r="E153" s="53">
        <f t="shared" si="31"/>
        <v>-9.1771263035596125</v>
      </c>
      <c r="F153" s="53">
        <f t="shared" si="31"/>
        <v>-8.9830722247633616</v>
      </c>
      <c r="G153" s="53">
        <f t="shared" si="31"/>
        <v>-8.6817387658381833</v>
      </c>
      <c r="H153" s="53">
        <f t="shared" si="31"/>
        <v>10.426917770256935</v>
      </c>
      <c r="I153" s="53">
        <f t="shared" si="31"/>
        <v>10.939658192608624</v>
      </c>
      <c r="J153" s="53">
        <f t="shared" si="31"/>
        <v>11.471978889838866</v>
      </c>
      <c r="K153" s="53">
        <f t="shared" si="31"/>
        <v>12.024627583694587</v>
      </c>
    </row>
    <row r="156" spans="2:12" ht="16.8">
      <c r="B156" s="75" t="s">
        <v>247</v>
      </c>
      <c r="D156" s="198">
        <v>53.000554975302876</v>
      </c>
      <c r="E156" s="198">
        <v>68.058245291790399</v>
      </c>
      <c r="F156" s="198">
        <v>82.256502556764943</v>
      </c>
      <c r="G156" s="198">
        <v>95.503391517773579</v>
      </c>
      <c r="H156" s="198">
        <v>103.93098942692654</v>
      </c>
      <c r="I156" s="198">
        <v>106.79345890056341</v>
      </c>
      <c r="J156" s="198">
        <v>107.70041672668867</v>
      </c>
      <c r="K156" s="198">
        <v>107.6580962435617</v>
      </c>
    </row>
    <row r="157" spans="2:12" ht="16.8">
      <c r="B157" s="75" t="s">
        <v>248</v>
      </c>
      <c r="D157" s="198">
        <v>25.602724807330365</v>
      </c>
      <c r="E157" s="198">
        <v>28.400823871150287</v>
      </c>
      <c r="F157" s="198">
        <v>29.937830886467122</v>
      </c>
      <c r="G157" s="198">
        <v>28.30870616650629</v>
      </c>
      <c r="H157" s="198">
        <v>25.340821469062533</v>
      </c>
      <c r="I157" s="198">
        <v>25.690541271459477</v>
      </c>
      <c r="J157" s="198">
        <v>26.758089836543586</v>
      </c>
      <c r="K157" s="198">
        <v>25.259636206336072</v>
      </c>
    </row>
    <row r="158" spans="2:12" ht="16.8">
      <c r="B158" s="75" t="s">
        <v>249</v>
      </c>
      <c r="D158" s="198">
        <v>-10.545034490842841</v>
      </c>
      <c r="E158" s="198">
        <v>-14.202566606175751</v>
      </c>
      <c r="F158" s="198">
        <v>-16.690941925458485</v>
      </c>
      <c r="G158" s="198">
        <v>-19.881108257353329</v>
      </c>
      <c r="H158" s="198">
        <v>-22.478351995425655</v>
      </c>
      <c r="I158" s="198">
        <v>-24.783583445334209</v>
      </c>
      <c r="J158" s="198">
        <v>-26.800410319670544</v>
      </c>
      <c r="K158" s="198">
        <v>-27.14850547264567</v>
      </c>
    </row>
    <row r="159" spans="2:12" ht="16.8">
      <c r="B159" s="75" t="s">
        <v>250</v>
      </c>
      <c r="D159" s="198">
        <v>68.058245291790399</v>
      </c>
      <c r="E159" s="198">
        <v>82.256502556764943</v>
      </c>
      <c r="F159" s="198">
        <v>95.503391517773579</v>
      </c>
      <c r="G159" s="198">
        <v>103.93098942692654</v>
      </c>
      <c r="H159" s="198">
        <v>106.79345890056341</v>
      </c>
      <c r="I159" s="198">
        <v>107.70041672668867</v>
      </c>
      <c r="J159" s="198">
        <v>107.6580962435617</v>
      </c>
      <c r="K159" s="198">
        <v>105.76922697725212</v>
      </c>
    </row>
    <row r="160" spans="2:12" ht="15.6">
      <c r="L160" s="119" t="s">
        <v>301</v>
      </c>
    </row>
    <row r="161" spans="2:21" ht="15.6">
      <c r="B161" t="s">
        <v>289</v>
      </c>
      <c r="D161" s="53">
        <f t="shared" ref="D161:K161" si="32">D135+D156</f>
        <v>4615.060328174176</v>
      </c>
      <c r="E161" s="53">
        <f t="shared" si="32"/>
        <v>4700.1237451952838</v>
      </c>
      <c r="F161" s="53">
        <f t="shared" si="32"/>
        <v>4719.0724457798606</v>
      </c>
      <c r="G161" s="53">
        <f t="shared" si="32"/>
        <v>4778.0909984079944</v>
      </c>
      <c r="H161" s="53">
        <f t="shared" si="32"/>
        <v>4889.665477896132</v>
      </c>
      <c r="I161" s="53">
        <f t="shared" si="32"/>
        <v>4980.0395706639174</v>
      </c>
      <c r="J161" s="53">
        <f t="shared" si="32"/>
        <v>5002.9556865511659</v>
      </c>
      <c r="K161" s="53">
        <f t="shared" si="32"/>
        <v>4975.8945652817574</v>
      </c>
      <c r="L161" s="120">
        <f>(K161/D161)^(1/7)-1</f>
        <v>1.0812353607657865E-2</v>
      </c>
      <c r="M161" t="s">
        <v>302</v>
      </c>
      <c r="N161" s="114">
        <f t="shared" ref="N161:U162" si="33">D161*N$1</f>
        <v>5385.7754029792632</v>
      </c>
      <c r="O161" s="109">
        <f t="shared" si="33"/>
        <v>5593.1472567823876</v>
      </c>
      <c r="P161" s="109">
        <f t="shared" si="33"/>
        <v>5672.3250798273921</v>
      </c>
      <c r="Q161" s="109">
        <f t="shared" si="33"/>
        <v>5867.4957460450169</v>
      </c>
      <c r="R161" s="109">
        <f t="shared" si="33"/>
        <v>6229.4338188396723</v>
      </c>
      <c r="S161" s="109">
        <f t="shared" si="33"/>
        <v>6538.7919562817233</v>
      </c>
      <c r="T161" s="109">
        <f t="shared" si="33"/>
        <v>6748.987221157523</v>
      </c>
      <c r="U161" s="109">
        <f t="shared" si="33"/>
        <v>6906.5416566110789</v>
      </c>
    </row>
    <row r="162" spans="2:21" ht="15.6">
      <c r="B162" t="s">
        <v>250</v>
      </c>
      <c r="D162" s="53">
        <f t="shared" ref="D162:K162" si="34">D138+D159</f>
        <v>4700.1237451952838</v>
      </c>
      <c r="E162" s="53">
        <f t="shared" si="34"/>
        <v>4719.0724457798606</v>
      </c>
      <c r="F162" s="53">
        <f t="shared" si="34"/>
        <v>4778.0909984079944</v>
      </c>
      <c r="G162" s="53">
        <f t="shared" si="34"/>
        <v>4889.665477896132</v>
      </c>
      <c r="H162" s="53">
        <f t="shared" si="34"/>
        <v>4980.0395706639174</v>
      </c>
      <c r="I162" s="53">
        <f t="shared" si="34"/>
        <v>5002.9556865511659</v>
      </c>
      <c r="J162" s="53">
        <f t="shared" si="34"/>
        <v>4975.8945652817574</v>
      </c>
      <c r="K162" s="53">
        <f t="shared" si="34"/>
        <v>4922.9990409957545</v>
      </c>
      <c r="L162" s="121">
        <f>(K162/D162)^(1/7)-1</f>
        <v>6.6403886680737045E-3</v>
      </c>
      <c r="N162" s="109">
        <f t="shared" si="33"/>
        <v>5485.0444106428968</v>
      </c>
      <c r="O162" s="109">
        <f t="shared" si="33"/>
        <v>5615.6962104780341</v>
      </c>
      <c r="P162" s="109">
        <f t="shared" si="33"/>
        <v>5743.2653800864091</v>
      </c>
      <c r="Q162" s="109">
        <f t="shared" si="33"/>
        <v>6004.50920685645</v>
      </c>
      <c r="R162" s="109">
        <f t="shared" si="33"/>
        <v>6344.5704130258309</v>
      </c>
      <c r="S162" s="109">
        <f t="shared" si="33"/>
        <v>6568.8808164416805</v>
      </c>
      <c r="T162" s="109">
        <f t="shared" si="33"/>
        <v>6712.4817685650905</v>
      </c>
      <c r="U162" s="114">
        <f t="shared" si="33"/>
        <v>6833.1226689021069</v>
      </c>
    </row>
    <row r="163" spans="2:21">
      <c r="N163" s="109"/>
      <c r="O163" s="109"/>
      <c r="P163" s="109"/>
      <c r="Q163" s="109"/>
      <c r="R163" s="109"/>
      <c r="S163" s="109"/>
      <c r="T163" s="109"/>
      <c r="U163" s="109"/>
    </row>
    <row r="164" spans="2:21">
      <c r="B164" t="s">
        <v>289</v>
      </c>
      <c r="M164" t="s">
        <v>303</v>
      </c>
      <c r="N164" s="115">
        <f>D161*N$3</f>
        <v>5305.0164815467579</v>
      </c>
      <c r="O164" s="109">
        <f t="shared" ref="N164:U165" si="35">E161*O$2</f>
        <v>5600.5027725461514</v>
      </c>
      <c r="P164" s="109">
        <f t="shared" si="35"/>
        <v>5710.5661158340272</v>
      </c>
      <c r="Q164" s="109">
        <f t="shared" si="35"/>
        <v>5963.5713233644665</v>
      </c>
      <c r="R164" s="109">
        <f t="shared" si="35"/>
        <v>6306.7846554850639</v>
      </c>
      <c r="S164" s="109">
        <f t="shared" si="35"/>
        <v>6580.2994666906379</v>
      </c>
      <c r="T164" s="109">
        <f t="shared" si="35"/>
        <v>6809.9864906847415</v>
      </c>
      <c r="U164" s="109">
        <f t="shared" si="35"/>
        <v>6976.0919480815628</v>
      </c>
    </row>
    <row r="165" spans="2:21">
      <c r="B165" t="s">
        <v>250</v>
      </c>
      <c r="N165" s="109">
        <f t="shared" si="35"/>
        <v>5550.4010363467887</v>
      </c>
      <c r="O165" s="109">
        <f t="shared" si="35"/>
        <v>5623.081380241013</v>
      </c>
      <c r="P165" s="109">
        <f t="shared" si="35"/>
        <v>5781.9846733400009</v>
      </c>
      <c r="Q165" s="109">
        <f t="shared" si="35"/>
        <v>6102.8282706508353</v>
      </c>
      <c r="R165" s="109">
        <f t="shared" si="35"/>
        <v>6423.3508999649403</v>
      </c>
      <c r="S165" s="109">
        <f t="shared" si="35"/>
        <v>6610.5793275254346</v>
      </c>
      <c r="T165" s="109">
        <f t="shared" si="35"/>
        <v>6773.1510914100991</v>
      </c>
      <c r="U165" s="115">
        <f t="shared" si="35"/>
        <v>6901.9336161032716</v>
      </c>
    </row>
    <row r="166" spans="2:21">
      <c r="D166" s="53"/>
    </row>
    <row r="167" spans="2:21">
      <c r="B167" t="s">
        <v>304</v>
      </c>
      <c r="D167" s="190">
        <f>D63-D132-D168</f>
        <v>-146.2113385372329</v>
      </c>
      <c r="E167" s="190">
        <f t="shared" ref="E167:K167" si="36">E63-E132-E168</f>
        <v>-144.85340732479523</v>
      </c>
      <c r="F167" s="190">
        <f t="shared" si="36"/>
        <v>-143.75882243451284</v>
      </c>
      <c r="G167" s="190">
        <f t="shared" si="36"/>
        <v>-143.62994616195874</v>
      </c>
      <c r="H167" s="190">
        <f t="shared" si="36"/>
        <v>-144.36654415261827</v>
      </c>
      <c r="I167" s="190">
        <f t="shared" si="36"/>
        <v>-144.23491526205314</v>
      </c>
      <c r="J167" s="190">
        <f t="shared" si="36"/>
        <v>-143.02394501567161</v>
      </c>
      <c r="K167" s="190">
        <f t="shared" si="36"/>
        <v>-141.36922321253948</v>
      </c>
    </row>
    <row r="168" spans="2:21">
      <c r="B168" t="s">
        <v>305</v>
      </c>
      <c r="D168" s="190">
        <v>0</v>
      </c>
      <c r="E168" s="190">
        <v>-4.490019244612089</v>
      </c>
      <c r="F168" s="190">
        <v>-7.3361767147835151</v>
      </c>
      <c r="G168" s="190">
        <v>-10.167132076724632</v>
      </c>
      <c r="H168" s="190">
        <v>-13.467664219924329</v>
      </c>
      <c r="I168" s="190">
        <v>-17.378687063215843</v>
      </c>
      <c r="J168" s="190">
        <v>-20.997427456094879</v>
      </c>
      <c r="K168" s="190">
        <v>-24.02391521237104</v>
      </c>
    </row>
    <row r="171" spans="2:21" ht="16.8">
      <c r="B171" t="s">
        <v>306</v>
      </c>
      <c r="D171" s="201">
        <v>12.577234273857108</v>
      </c>
      <c r="E171" s="201">
        <v>24.079618087744361</v>
      </c>
      <c r="F171" s="201">
        <v>67.51894883370673</v>
      </c>
      <c r="G171" s="201">
        <v>106.4475745022352</v>
      </c>
      <c r="H171" s="201">
        <v>55.417594420676267</v>
      </c>
      <c r="I171" s="201">
        <v>2.3025824270640456</v>
      </c>
      <c r="J171" s="201">
        <v>0</v>
      </c>
      <c r="K171" s="201">
        <v>0</v>
      </c>
    </row>
    <row r="172" spans="2:21" ht="16.8">
      <c r="B172" t="s">
        <v>307</v>
      </c>
      <c r="D172" s="201">
        <v>0.82105844574251929</v>
      </c>
      <c r="E172" s="201">
        <v>0</v>
      </c>
      <c r="F172" s="201">
        <v>0</v>
      </c>
      <c r="G172" s="201">
        <v>0</v>
      </c>
      <c r="H172" s="201">
        <v>0</v>
      </c>
      <c r="I172" s="201">
        <v>0</v>
      </c>
      <c r="J172" s="201">
        <v>0</v>
      </c>
      <c r="K172" s="201">
        <v>0</v>
      </c>
    </row>
    <row r="173" spans="2:21" ht="16.8">
      <c r="B173" t="s">
        <v>308</v>
      </c>
      <c r="D173" s="201">
        <v>0.7679065147103713</v>
      </c>
      <c r="E173" s="201">
        <v>1.9371656435515117</v>
      </c>
      <c r="F173" s="201">
        <v>1.9547226953643968</v>
      </c>
      <c r="G173" s="201">
        <v>1.9724388714470038</v>
      </c>
      <c r="H173" s="201">
        <v>13.932209297896886</v>
      </c>
      <c r="I173" s="201">
        <v>18.476860279771643</v>
      </c>
      <c r="J173" s="201">
        <v>0.81062265305823133</v>
      </c>
      <c r="K173" s="201">
        <v>0</v>
      </c>
    </row>
    <row r="174" spans="2:21">
      <c r="D174" s="173">
        <f>SUM(D171:D173)</f>
        <v>14.16619923431</v>
      </c>
      <c r="E174" s="173">
        <f t="shared" ref="E174:K174" si="37">SUM(E171:E173)</f>
        <v>26.016783731295874</v>
      </c>
      <c r="F174" s="173">
        <f t="shared" si="37"/>
        <v>69.473671529071126</v>
      </c>
      <c r="G174" s="173">
        <f t="shared" si="37"/>
        <v>108.4200133736822</v>
      </c>
      <c r="H174" s="173">
        <f t="shared" si="37"/>
        <v>69.349803718573156</v>
      </c>
      <c r="I174" s="173">
        <f t="shared" si="37"/>
        <v>20.779442706835688</v>
      </c>
      <c r="J174" s="173">
        <f t="shared" si="37"/>
        <v>0.81062265305823133</v>
      </c>
      <c r="K174" s="173">
        <f t="shared" si="37"/>
        <v>0</v>
      </c>
    </row>
    <row r="175" spans="2:21">
      <c r="D175" s="173"/>
      <c r="E175" s="173"/>
      <c r="F175" s="173"/>
      <c r="G175" s="173"/>
      <c r="H175" s="173"/>
      <c r="I175" s="173"/>
      <c r="J175" s="173"/>
      <c r="K175" s="173"/>
    </row>
    <row r="176" spans="2:21" s="195" customFormat="1">
      <c r="D176" s="202"/>
      <c r="E176" s="202"/>
      <c r="F176" s="202"/>
      <c r="G176" s="202"/>
      <c r="H176" s="202"/>
      <c r="I176" s="202"/>
      <c r="J176" s="202"/>
      <c r="K176" s="202"/>
    </row>
    <row r="177" spans="1:13">
      <c r="D177" s="173"/>
      <c r="E177" s="173"/>
      <c r="F177" s="173"/>
      <c r="G177" s="173"/>
      <c r="H177" s="173"/>
      <c r="I177" s="173"/>
      <c r="J177" s="173"/>
      <c r="K177" s="173"/>
    </row>
    <row r="178" spans="1:13" ht="16.8">
      <c r="A178" s="86">
        <v>1</v>
      </c>
      <c r="B178" s="75" t="s">
        <v>241</v>
      </c>
      <c r="D178" s="87">
        <f>D187</f>
        <v>28.557779847312933</v>
      </c>
      <c r="E178" s="88">
        <f t="shared" ref="E178:K178" si="38">E187</f>
        <v>28.400823871150287</v>
      </c>
      <c r="F178" s="88">
        <f t="shared" si="38"/>
        <v>29.937830886467122</v>
      </c>
      <c r="G178" s="88">
        <f t="shared" si="38"/>
        <v>28.30870616650629</v>
      </c>
      <c r="H178" s="88">
        <f t="shared" si="38"/>
        <v>25.340821469062533</v>
      </c>
      <c r="I178" s="88">
        <f t="shared" si="38"/>
        <v>25.690541271459477</v>
      </c>
      <c r="J178" s="88">
        <f t="shared" si="38"/>
        <v>26.758089836543586</v>
      </c>
      <c r="K178" s="89">
        <f t="shared" si="38"/>
        <v>25.259636206336072</v>
      </c>
    </row>
    <row r="179" spans="1:13" ht="16.8">
      <c r="A179" s="86">
        <f>+A178+1</f>
        <v>2</v>
      </c>
      <c r="B179" s="75" t="s">
        <v>242</v>
      </c>
      <c r="D179" s="87">
        <f t="shared" ref="D179:K180" si="39">D188</f>
        <v>47.799920279192236</v>
      </c>
      <c r="E179" s="88">
        <f t="shared" si="39"/>
        <v>47.537207869893258</v>
      </c>
      <c r="F179" s="88">
        <f t="shared" si="39"/>
        <v>50.109845280557266</v>
      </c>
      <c r="G179" s="88">
        <f t="shared" si="39"/>
        <v>47.383021551424967</v>
      </c>
      <c r="H179" s="88">
        <f t="shared" si="39"/>
        <v>42.4153856674683</v>
      </c>
      <c r="I179" s="88">
        <f t="shared" si="39"/>
        <v>43.000745550624686</v>
      </c>
      <c r="J179" s="88">
        <f t="shared" si="39"/>
        <v>44.787604913572956</v>
      </c>
      <c r="K179" s="89">
        <f t="shared" si="39"/>
        <v>42.279498035204227</v>
      </c>
    </row>
    <row r="180" spans="1:13" ht="16.8">
      <c r="A180" s="86">
        <f>+A179+1</f>
        <v>3</v>
      </c>
      <c r="B180" s="75" t="s">
        <v>243</v>
      </c>
      <c r="D180" s="87">
        <f t="shared" si="39"/>
        <v>76.357700126505165</v>
      </c>
      <c r="E180" s="88">
        <f t="shared" si="39"/>
        <v>75.938031741043545</v>
      </c>
      <c r="F180" s="88">
        <f t="shared" si="39"/>
        <v>80.047676167024392</v>
      </c>
      <c r="G180" s="88">
        <f t="shared" si="39"/>
        <v>75.691727717931258</v>
      </c>
      <c r="H180" s="88">
        <f t="shared" si="39"/>
        <v>67.756207136530833</v>
      </c>
      <c r="I180" s="88">
        <f t="shared" si="39"/>
        <v>68.691286822084166</v>
      </c>
      <c r="J180" s="88">
        <f t="shared" si="39"/>
        <v>71.545694750116539</v>
      </c>
      <c r="K180" s="89">
        <f t="shared" si="39"/>
        <v>67.539134241540296</v>
      </c>
    </row>
    <row r="183" spans="1:13" ht="13.8" thickBot="1"/>
    <row r="184" spans="1:13" ht="16.8">
      <c r="A184" s="68"/>
      <c r="B184" s="69" t="s">
        <v>237</v>
      </c>
      <c r="D184" s="70">
        <v>41729</v>
      </c>
      <c r="E184" s="71">
        <v>42094</v>
      </c>
      <c r="F184" s="71">
        <v>42460</v>
      </c>
      <c r="G184" s="71">
        <v>42825</v>
      </c>
      <c r="H184" s="71">
        <v>43190</v>
      </c>
      <c r="I184" s="71">
        <v>43555</v>
      </c>
      <c r="J184" s="71">
        <v>43921</v>
      </c>
      <c r="K184" s="72">
        <v>44286</v>
      </c>
      <c r="L184" s="180" t="s">
        <v>238</v>
      </c>
      <c r="M184" s="181" t="s">
        <v>310</v>
      </c>
    </row>
    <row r="185" spans="1:13" ht="16.8">
      <c r="A185" s="74"/>
      <c r="B185" s="75" t="s">
        <v>239</v>
      </c>
      <c r="D185" s="76" t="s">
        <v>240</v>
      </c>
      <c r="E185" s="77" t="s">
        <v>240</v>
      </c>
      <c r="F185" s="77" t="s">
        <v>240</v>
      </c>
      <c r="G185" s="77" t="s">
        <v>240</v>
      </c>
      <c r="H185" s="77" t="s">
        <v>240</v>
      </c>
      <c r="I185" s="77" t="s">
        <v>240</v>
      </c>
      <c r="J185" s="77" t="s">
        <v>240</v>
      </c>
      <c r="K185" s="78" t="s">
        <v>240</v>
      </c>
      <c r="L185" s="182" t="s">
        <v>240</v>
      </c>
      <c r="M185" s="79" t="s">
        <v>240</v>
      </c>
    </row>
    <row r="186" spans="1:13" ht="16.8">
      <c r="A186" s="80"/>
      <c r="B186" s="81" t="s">
        <v>207</v>
      </c>
      <c r="D186" s="82"/>
      <c r="E186" s="83"/>
      <c r="F186" s="83"/>
      <c r="G186" s="83"/>
      <c r="H186" s="83"/>
      <c r="I186" s="83"/>
      <c r="J186" s="83"/>
      <c r="K186" s="84"/>
      <c r="L186" s="183"/>
      <c r="M186" s="85"/>
    </row>
    <row r="187" spans="1:13" ht="16.8">
      <c r="A187" s="86">
        <v>1</v>
      </c>
      <c r="B187" s="75" t="s">
        <v>241</v>
      </c>
      <c r="D187" s="87">
        <v>28.557779847312933</v>
      </c>
      <c r="E187" s="88">
        <v>28.400823871150287</v>
      </c>
      <c r="F187" s="88">
        <v>29.937830886467122</v>
      </c>
      <c r="G187" s="88">
        <v>28.30870616650629</v>
      </c>
      <c r="H187" s="88">
        <v>25.340821469062533</v>
      </c>
      <c r="I187" s="88">
        <v>25.690541271459477</v>
      </c>
      <c r="J187" s="88">
        <v>26.758089836543586</v>
      </c>
      <c r="K187" s="89">
        <v>25.259636206336072</v>
      </c>
      <c r="L187" s="172">
        <v>218.2542295548383</v>
      </c>
      <c r="M187" s="90">
        <v>27.281778694354788</v>
      </c>
    </row>
    <row r="188" spans="1:13" ht="16.8">
      <c r="A188" s="86">
        <v>2</v>
      </c>
      <c r="B188" s="75" t="s">
        <v>242</v>
      </c>
      <c r="D188" s="87">
        <v>47.799920279192236</v>
      </c>
      <c r="E188" s="88">
        <v>47.537207869893258</v>
      </c>
      <c r="F188" s="88">
        <v>50.109845280557266</v>
      </c>
      <c r="G188" s="88">
        <v>47.383021551424967</v>
      </c>
      <c r="H188" s="88">
        <v>42.4153856674683</v>
      </c>
      <c r="I188" s="88">
        <v>43.000745550624686</v>
      </c>
      <c r="J188" s="88">
        <v>44.787604913572956</v>
      </c>
      <c r="K188" s="89">
        <v>42.279498035204227</v>
      </c>
      <c r="L188" s="172">
        <v>365.31322914793793</v>
      </c>
      <c r="M188" s="90">
        <v>45.664153643492241</v>
      </c>
    </row>
    <row r="189" spans="1:13" ht="16.8">
      <c r="A189" s="86">
        <v>3</v>
      </c>
      <c r="B189" s="75" t="s">
        <v>243</v>
      </c>
      <c r="D189" s="87">
        <v>76.357700126505165</v>
      </c>
      <c r="E189" s="88">
        <v>75.938031741043545</v>
      </c>
      <c r="F189" s="88">
        <v>80.047676167024392</v>
      </c>
      <c r="G189" s="88">
        <v>75.691727717931258</v>
      </c>
      <c r="H189" s="88">
        <v>67.756207136530833</v>
      </c>
      <c r="I189" s="88">
        <v>68.691286822084166</v>
      </c>
      <c r="J189" s="88">
        <v>71.545694750116539</v>
      </c>
      <c r="K189" s="89">
        <v>67.539134241540296</v>
      </c>
      <c r="L189" s="172">
        <v>583.56745870277621</v>
      </c>
      <c r="M189" s="90">
        <v>72.945932337847026</v>
      </c>
    </row>
    <row r="190" spans="1:13" ht="16.8">
      <c r="A190" s="80"/>
      <c r="B190" s="81" t="s">
        <v>244</v>
      </c>
      <c r="D190" s="82">
        <v>0</v>
      </c>
      <c r="E190" s="83">
        <v>0</v>
      </c>
      <c r="F190" s="83">
        <v>0</v>
      </c>
      <c r="G190" s="83">
        <v>0</v>
      </c>
      <c r="H190" s="83">
        <v>0</v>
      </c>
      <c r="I190" s="83">
        <v>0</v>
      </c>
      <c r="J190" s="83">
        <v>0</v>
      </c>
      <c r="K190" s="84">
        <v>0</v>
      </c>
      <c r="L190" s="183">
        <v>0</v>
      </c>
      <c r="M190" s="85">
        <v>0</v>
      </c>
    </row>
    <row r="191" spans="1:13" ht="16.8">
      <c r="A191" s="86">
        <v>4</v>
      </c>
      <c r="B191" s="75" t="s">
        <v>311</v>
      </c>
      <c r="D191" s="87">
        <v>53.000554975302876</v>
      </c>
      <c r="E191" s="88">
        <v>68.058245291790399</v>
      </c>
      <c r="F191" s="88">
        <v>82.256502556764943</v>
      </c>
      <c r="G191" s="88">
        <v>95.503391517773579</v>
      </c>
      <c r="H191" s="88">
        <v>103.93098942692654</v>
      </c>
      <c r="I191" s="88">
        <v>106.79345890056341</v>
      </c>
      <c r="J191" s="88">
        <v>107.70041672668867</v>
      </c>
      <c r="K191" s="89">
        <v>107.6580962435617</v>
      </c>
      <c r="L191" s="172">
        <v>0</v>
      </c>
      <c r="M191" s="90">
        <v>90.612706954921507</v>
      </c>
    </row>
    <row r="192" spans="1:13" ht="16.8">
      <c r="A192" s="86">
        <v>5</v>
      </c>
      <c r="B192" s="75" t="s">
        <v>246</v>
      </c>
      <c r="D192" s="87">
        <v>0</v>
      </c>
      <c r="E192" s="88">
        <v>0</v>
      </c>
      <c r="F192" s="88">
        <v>0</v>
      </c>
      <c r="G192" s="88">
        <v>0</v>
      </c>
      <c r="H192" s="88">
        <v>0</v>
      </c>
      <c r="I192" s="88">
        <v>0</v>
      </c>
      <c r="J192" s="88">
        <v>0</v>
      </c>
      <c r="K192" s="89">
        <v>0</v>
      </c>
      <c r="L192" s="172">
        <v>0</v>
      </c>
      <c r="M192" s="90">
        <v>0</v>
      </c>
    </row>
    <row r="193" spans="1:13" ht="16.8">
      <c r="A193" s="86">
        <v>6</v>
      </c>
      <c r="B193" s="75" t="s">
        <v>247</v>
      </c>
      <c r="D193" s="87">
        <v>53.000554975302876</v>
      </c>
      <c r="E193" s="88">
        <v>68.058245291790399</v>
      </c>
      <c r="F193" s="88">
        <v>82.256502556764943</v>
      </c>
      <c r="G193" s="88">
        <v>95.503391517773579</v>
      </c>
      <c r="H193" s="88">
        <v>103.93098942692654</v>
      </c>
      <c r="I193" s="88">
        <v>106.79345890056341</v>
      </c>
      <c r="J193" s="88">
        <v>107.70041672668867</v>
      </c>
      <c r="K193" s="89">
        <v>107.6580962435617</v>
      </c>
      <c r="L193" s="172">
        <v>0</v>
      </c>
      <c r="M193" s="90">
        <v>90.612706954921507</v>
      </c>
    </row>
    <row r="194" spans="1:13" ht="16.8">
      <c r="A194" s="86">
        <v>7</v>
      </c>
      <c r="B194" s="75" t="s">
        <v>248</v>
      </c>
      <c r="D194" s="87">
        <v>25.602724807330365</v>
      </c>
      <c r="E194" s="88">
        <v>28.400823871150287</v>
      </c>
      <c r="F194" s="88">
        <v>29.937830886467122</v>
      </c>
      <c r="G194" s="88">
        <v>28.30870616650629</v>
      </c>
      <c r="H194" s="88">
        <v>25.340821469062533</v>
      </c>
      <c r="I194" s="88">
        <v>25.690541271459477</v>
      </c>
      <c r="J194" s="88">
        <v>26.758089836543586</v>
      </c>
      <c r="K194" s="89">
        <v>25.259636206336072</v>
      </c>
      <c r="L194" s="172">
        <v>215.29917451485571</v>
      </c>
      <c r="M194" s="90">
        <v>26.912396814356963</v>
      </c>
    </row>
    <row r="195" spans="1:13" ht="16.8">
      <c r="A195" s="86">
        <v>8</v>
      </c>
      <c r="B195" s="75" t="s">
        <v>249</v>
      </c>
      <c r="D195" s="87">
        <v>-10.545034490842841</v>
      </c>
      <c r="E195" s="88">
        <v>-14.202566606175751</v>
      </c>
      <c r="F195" s="88">
        <v>-16.690941925458485</v>
      </c>
      <c r="G195" s="88">
        <v>-19.881108257353329</v>
      </c>
      <c r="H195" s="88">
        <v>-22.478351995425655</v>
      </c>
      <c r="I195" s="88">
        <v>-24.783583445334209</v>
      </c>
      <c r="J195" s="88">
        <v>-26.800410319670544</v>
      </c>
      <c r="K195" s="89">
        <v>-27.14850547264567</v>
      </c>
      <c r="L195" s="172">
        <v>-162.53050251290648</v>
      </c>
      <c r="M195" s="90">
        <v>-20.31631281411331</v>
      </c>
    </row>
    <row r="196" spans="1:13" ht="16.8">
      <c r="A196" s="86">
        <v>9</v>
      </c>
      <c r="B196" s="75" t="s">
        <v>250</v>
      </c>
      <c r="D196" s="87">
        <v>68.058245291790399</v>
      </c>
      <c r="E196" s="88">
        <v>82.256502556764943</v>
      </c>
      <c r="F196" s="88">
        <v>95.503391517773579</v>
      </c>
      <c r="G196" s="88">
        <v>103.93098942692654</v>
      </c>
      <c r="H196" s="88">
        <v>106.79345890056341</v>
      </c>
      <c r="I196" s="88">
        <v>107.70041672668867</v>
      </c>
      <c r="J196" s="88">
        <v>107.6580962435617</v>
      </c>
      <c r="K196" s="186">
        <v>105.76922697725212</v>
      </c>
      <c r="L196" s="172">
        <v>0</v>
      </c>
      <c r="M196" s="90">
        <v>97.208790955165171</v>
      </c>
    </row>
    <row r="197" spans="1:13" ht="16.8">
      <c r="A197" s="80"/>
      <c r="B197" s="81" t="s">
        <v>251</v>
      </c>
      <c r="D197" s="91">
        <v>0</v>
      </c>
      <c r="E197" s="92">
        <v>0</v>
      </c>
      <c r="F197" s="92">
        <v>0</v>
      </c>
      <c r="G197" s="92">
        <v>0</v>
      </c>
      <c r="H197" s="92">
        <v>0</v>
      </c>
      <c r="I197" s="92">
        <v>0</v>
      </c>
      <c r="J197" s="92">
        <v>0</v>
      </c>
      <c r="K197" s="93">
        <v>0</v>
      </c>
      <c r="L197" s="184">
        <v>0</v>
      </c>
      <c r="M197" s="94">
        <v>0</v>
      </c>
    </row>
    <row r="198" spans="1:13" ht="16.8">
      <c r="A198" s="86">
        <v>10</v>
      </c>
      <c r="B198" s="75" t="s">
        <v>252</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72">
        <v>370.04250117772312</v>
      </c>
      <c r="M198" s="90">
        <v>46.255312647215391</v>
      </c>
    </row>
    <row r="199" spans="1:13" ht="16.8">
      <c r="A199" s="86">
        <v>11</v>
      </c>
      <c r="B199" s="75" t="s">
        <v>253</v>
      </c>
      <c r="D199" s="87">
        <v>0</v>
      </c>
      <c r="E199" s="88">
        <v>0</v>
      </c>
      <c r="F199" s="88">
        <v>0</v>
      </c>
      <c r="G199" s="88">
        <v>0</v>
      </c>
      <c r="H199" s="88">
        <v>0</v>
      </c>
      <c r="I199" s="88">
        <v>0</v>
      </c>
      <c r="J199" s="88">
        <v>0</v>
      </c>
      <c r="K199" s="89">
        <v>0</v>
      </c>
      <c r="L199" s="172">
        <v>0</v>
      </c>
      <c r="M199" s="90">
        <v>0</v>
      </c>
    </row>
    <row r="200" spans="1:13" ht="16.8">
      <c r="A200" s="86">
        <v>12</v>
      </c>
      <c r="B200" s="75" t="s">
        <v>254</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72">
        <v>169.19382162404565</v>
      </c>
      <c r="M200" s="90">
        <v>21.149227703005707</v>
      </c>
    </row>
    <row r="201" spans="1:13" ht="16.8">
      <c r="A201" s="86">
        <v>13</v>
      </c>
      <c r="B201" s="75" t="s">
        <v>255</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72">
        <v>33.298970715591416</v>
      </c>
      <c r="M201" s="90">
        <v>4.162371339448927</v>
      </c>
    </row>
    <row r="202" spans="1:13" ht="16.8">
      <c r="A202" s="86">
        <v>14</v>
      </c>
      <c r="B202" s="75" t="s">
        <v>256</v>
      </c>
      <c r="D202" s="87">
        <v>0</v>
      </c>
      <c r="E202" s="88">
        <v>0</v>
      </c>
      <c r="F202" s="88">
        <v>0</v>
      </c>
      <c r="G202" s="88">
        <v>0</v>
      </c>
      <c r="H202" s="88">
        <v>0</v>
      </c>
      <c r="I202" s="88">
        <v>0</v>
      </c>
      <c r="J202" s="88">
        <v>0</v>
      </c>
      <c r="K202" s="89">
        <v>0</v>
      </c>
      <c r="L202" s="172">
        <v>0</v>
      </c>
      <c r="M202" s="90">
        <v>0</v>
      </c>
    </row>
    <row r="203" spans="1:13" ht="16.8">
      <c r="A203" s="86">
        <v>15</v>
      </c>
      <c r="B203" s="75" t="s">
        <v>257</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72">
        <v>-2.7598268924942051</v>
      </c>
      <c r="M203" s="90">
        <v>-0.34497836156177564</v>
      </c>
    </row>
    <row r="204" spans="1:13" ht="16.8">
      <c r="A204" s="86">
        <v>16</v>
      </c>
      <c r="B204" s="75" t="s">
        <v>258</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72">
        <v>0.25852794282552904</v>
      </c>
      <c r="M204" s="90">
        <v>3.2315992853191131E-2</v>
      </c>
    </row>
    <row r="205" spans="1:13" ht="16.8">
      <c r="A205" s="86">
        <v>17</v>
      </c>
      <c r="B205" s="75" t="s">
        <v>259</v>
      </c>
      <c r="D205" s="87">
        <v>0.8125503950547055</v>
      </c>
      <c r="E205" s="88">
        <v>0</v>
      </c>
      <c r="F205" s="88">
        <v>0</v>
      </c>
      <c r="G205" s="88">
        <v>0</v>
      </c>
      <c r="H205" s="88">
        <v>0</v>
      </c>
      <c r="I205" s="88">
        <v>0</v>
      </c>
      <c r="J205" s="88">
        <v>0</v>
      </c>
      <c r="K205" s="89">
        <v>0</v>
      </c>
      <c r="L205" s="172">
        <v>0.8125503950547055</v>
      </c>
      <c r="M205" s="90">
        <v>0.10156879938183819</v>
      </c>
    </row>
    <row r="206" spans="1:13" ht="16.8">
      <c r="A206" s="80"/>
      <c r="B206" s="81" t="s">
        <v>260</v>
      </c>
      <c r="D206" s="91">
        <v>0</v>
      </c>
      <c r="E206" s="92">
        <v>0</v>
      </c>
      <c r="F206" s="92">
        <v>0</v>
      </c>
      <c r="G206" s="92">
        <v>0</v>
      </c>
      <c r="H206" s="92">
        <v>0</v>
      </c>
      <c r="I206" s="92">
        <v>0</v>
      </c>
      <c r="J206" s="92">
        <v>0</v>
      </c>
      <c r="K206" s="93">
        <v>0</v>
      </c>
      <c r="L206" s="184">
        <v>0</v>
      </c>
      <c r="M206" s="94">
        <v>0</v>
      </c>
    </row>
    <row r="207" spans="1:13" ht="16.8">
      <c r="A207" s="86">
        <v>18</v>
      </c>
      <c r="B207" s="75" t="s">
        <v>252</v>
      </c>
      <c r="D207" s="87">
        <v>47.799920279192236</v>
      </c>
      <c r="E207" s="88">
        <v>47.537207869893258</v>
      </c>
      <c r="F207" s="88">
        <v>50.109845280557266</v>
      </c>
      <c r="G207" s="88">
        <v>47.383021551424967</v>
      </c>
      <c r="H207" s="88">
        <v>42.4153856674683</v>
      </c>
      <c r="I207" s="88">
        <v>43.000745550624686</v>
      </c>
      <c r="J207" s="88">
        <v>44.787604913572956</v>
      </c>
      <c r="K207" s="89">
        <v>42.279498035204227</v>
      </c>
      <c r="L207" s="172">
        <v>365.31322914793793</v>
      </c>
      <c r="M207" s="90">
        <v>45.664153643492241</v>
      </c>
    </row>
    <row r="208" spans="1:13" ht="16.8">
      <c r="A208" s="86">
        <v>19</v>
      </c>
      <c r="B208" s="75" t="s">
        <v>253</v>
      </c>
      <c r="D208" s="87">
        <v>0</v>
      </c>
      <c r="E208" s="88">
        <v>0</v>
      </c>
      <c r="F208" s="88">
        <v>0</v>
      </c>
      <c r="G208" s="88">
        <v>0</v>
      </c>
      <c r="H208" s="88">
        <v>0</v>
      </c>
      <c r="I208" s="88">
        <v>0</v>
      </c>
      <c r="J208" s="88">
        <v>0</v>
      </c>
      <c r="K208" s="89">
        <v>0</v>
      </c>
      <c r="L208" s="172">
        <v>0</v>
      </c>
      <c r="M208" s="90">
        <v>0</v>
      </c>
    </row>
    <row r="209" spans="1:13" ht="16.8">
      <c r="A209" s="86">
        <v>20</v>
      </c>
      <c r="B209" s="75" t="s">
        <v>254</v>
      </c>
      <c r="D209" s="87">
        <v>10.545034490842841</v>
      </c>
      <c r="E209" s="88">
        <v>14.202566606175751</v>
      </c>
      <c r="F209" s="88">
        <v>16.690941925458485</v>
      </c>
      <c r="G209" s="88">
        <v>19.881108257353329</v>
      </c>
      <c r="H209" s="88">
        <v>22.478351995425655</v>
      </c>
      <c r="I209" s="88">
        <v>24.783583445334209</v>
      </c>
      <c r="J209" s="88">
        <v>26.800410319670544</v>
      </c>
      <c r="K209" s="89">
        <v>27.14850547264567</v>
      </c>
      <c r="L209" s="172">
        <v>162.53050251290648</v>
      </c>
      <c r="M209" s="90">
        <v>20.31631281411331</v>
      </c>
    </row>
    <row r="210" spans="1:13" ht="16.8">
      <c r="A210" s="86">
        <v>21</v>
      </c>
      <c r="B210" s="75" t="s">
        <v>255</v>
      </c>
      <c r="D210" s="87">
        <v>2.5857575503917345</v>
      </c>
      <c r="E210" s="88">
        <v>3.1229290115692563</v>
      </c>
      <c r="F210" s="88">
        <v>3.6042323653361477</v>
      </c>
      <c r="G210" s="88">
        <v>3.9446579786041913</v>
      </c>
      <c r="H210" s="88">
        <v>4.0689879901620678</v>
      </c>
      <c r="I210" s="88">
        <v>4.0198519975510081</v>
      </c>
      <c r="J210" s="88">
        <v>4.0363908894520035</v>
      </c>
      <c r="K210" s="89">
        <v>4.0008438308094387</v>
      </c>
      <c r="L210" s="172">
        <v>29.383651613875848</v>
      </c>
      <c r="M210" s="90">
        <v>3.672956451734481</v>
      </c>
    </row>
    <row r="211" spans="1:13" ht="16.8">
      <c r="A211" s="86">
        <v>22</v>
      </c>
      <c r="B211" s="75" t="s">
        <v>256</v>
      </c>
      <c r="D211" s="87">
        <v>0</v>
      </c>
      <c r="E211" s="88">
        <v>0</v>
      </c>
      <c r="F211" s="88">
        <v>0</v>
      </c>
      <c r="G211" s="88">
        <v>0</v>
      </c>
      <c r="H211" s="88">
        <v>0</v>
      </c>
      <c r="I211" s="88">
        <v>0</v>
      </c>
      <c r="J211" s="88">
        <v>0</v>
      </c>
      <c r="K211" s="89">
        <v>0</v>
      </c>
      <c r="L211" s="172">
        <v>0</v>
      </c>
      <c r="M211" s="90">
        <v>0</v>
      </c>
    </row>
    <row r="212" spans="1:13" ht="16.8">
      <c r="A212" s="86">
        <v>23</v>
      </c>
      <c r="B212" s="75" t="s">
        <v>257</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72">
        <v>-2.7598268924942051</v>
      </c>
      <c r="M212" s="90">
        <v>-0.34497836156177564</v>
      </c>
    </row>
    <row r="213" spans="1:13" ht="16.8">
      <c r="A213" s="86">
        <v>24</v>
      </c>
      <c r="B213" s="75" t="s">
        <v>258</v>
      </c>
      <c r="D213" s="87">
        <v>8.3082796001737652E-2</v>
      </c>
      <c r="E213" s="88">
        <v>7.976923323919452E-2</v>
      </c>
      <c r="F213" s="88">
        <v>0.75266180631023005</v>
      </c>
      <c r="G213" s="88">
        <v>0.74924415240021436</v>
      </c>
      <c r="H213" s="88">
        <v>0.74577657614235293</v>
      </c>
      <c r="I213" s="88">
        <v>1.3289523341871334</v>
      </c>
      <c r="J213" s="88">
        <v>1.3253234363350497</v>
      </c>
      <c r="K213" s="89">
        <v>1.3215559599462396</v>
      </c>
      <c r="L213" s="172">
        <v>6.3863662945621522</v>
      </c>
      <c r="M213" s="90">
        <v>0.79829578682026903</v>
      </c>
    </row>
    <row r="214" spans="1:13" ht="16.8">
      <c r="A214" s="86">
        <v>25</v>
      </c>
      <c r="B214" s="75" t="s">
        <v>259</v>
      </c>
      <c r="D214" s="87">
        <v>1.1188128912606656</v>
      </c>
      <c r="E214" s="88">
        <v>0.12169954124171645</v>
      </c>
      <c r="F214" s="88">
        <v>0.37849473578258813</v>
      </c>
      <c r="G214" s="88">
        <v>0.18159073794886388</v>
      </c>
      <c r="H214" s="88">
        <v>0</v>
      </c>
      <c r="I214" s="88">
        <v>0</v>
      </c>
      <c r="J214" s="88">
        <v>0.60495909256208624</v>
      </c>
      <c r="K214" s="89">
        <v>0.64561400166406102</v>
      </c>
      <c r="L214" s="172">
        <v>3.0511710004599815</v>
      </c>
      <c r="M214" s="90">
        <v>0.38139637505749768</v>
      </c>
    </row>
    <row r="215" spans="1:13" ht="16.8">
      <c r="A215" s="80"/>
      <c r="B215" s="81" t="s">
        <v>261</v>
      </c>
      <c r="D215" s="91">
        <v>0</v>
      </c>
      <c r="E215" s="92">
        <v>0</v>
      </c>
      <c r="F215" s="92">
        <v>0</v>
      </c>
      <c r="G215" s="92">
        <v>0</v>
      </c>
      <c r="H215" s="92">
        <v>0</v>
      </c>
      <c r="I215" s="92">
        <v>0</v>
      </c>
      <c r="J215" s="92">
        <v>0</v>
      </c>
      <c r="K215" s="93">
        <v>0</v>
      </c>
      <c r="L215" s="91">
        <v>0</v>
      </c>
      <c r="M215" s="184">
        <v>0</v>
      </c>
    </row>
    <row r="216" spans="1:13" ht="16.8">
      <c r="A216" s="86">
        <v>26</v>
      </c>
      <c r="B216" s="75" t="s">
        <v>262</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72">
        <v>570.84654496274629</v>
      </c>
      <c r="M216" s="90">
        <v>71.355818120343287</v>
      </c>
    </row>
    <row r="217" spans="1:13" ht="16.8">
      <c r="A217" s="86">
        <v>27</v>
      </c>
      <c r="B217" s="75" t="s">
        <v>312</v>
      </c>
      <c r="D217" s="87">
        <v>0</v>
      </c>
      <c r="E217" s="88">
        <v>-0.74723548170331355</v>
      </c>
      <c r="F217" s="88">
        <v>-13.787280588025247</v>
      </c>
      <c r="G217" s="88">
        <v>1.0011710527519853</v>
      </c>
      <c r="H217" s="88">
        <v>3.0471602441516268</v>
      </c>
      <c r="I217" s="88">
        <v>-7.3017659828011006E-2</v>
      </c>
      <c r="J217" s="88">
        <v>0</v>
      </c>
      <c r="K217" s="88">
        <v>0</v>
      </c>
      <c r="L217" s="172">
        <v>-10.55920243265296</v>
      </c>
      <c r="M217" s="90">
        <v>-1.31990030408162</v>
      </c>
    </row>
    <row r="218" spans="1:13" ht="16.8">
      <c r="A218" s="86">
        <v>28</v>
      </c>
      <c r="B218" s="75" t="s">
        <v>264</v>
      </c>
      <c r="D218" s="96">
        <v>66.893712056086201</v>
      </c>
      <c r="E218" s="88">
        <v>66.68195609549845</v>
      </c>
      <c r="F218" s="88">
        <v>55.039338409943433</v>
      </c>
      <c r="G218" s="88">
        <v>73.793776097856025</v>
      </c>
      <c r="H218" s="88">
        <v>76.647087222686963</v>
      </c>
      <c r="I218" s="88">
        <v>72.609572356241614</v>
      </c>
      <c r="J218" s="88">
        <v>74.76721766777959</v>
      </c>
      <c r="K218" s="88">
        <v>73.854682624001015</v>
      </c>
      <c r="L218" s="172">
        <v>560.28734253009338</v>
      </c>
      <c r="M218" s="90">
        <v>70.035917816261673</v>
      </c>
    </row>
    <row r="219" spans="1:13" ht="16.8">
      <c r="A219" s="86">
        <v>29</v>
      </c>
      <c r="B219" s="75" t="s">
        <v>265</v>
      </c>
      <c r="D219" s="96">
        <v>0</v>
      </c>
      <c r="E219" s="88">
        <v>0</v>
      </c>
      <c r="F219" s="88">
        <v>0</v>
      </c>
      <c r="G219" s="88">
        <v>0</v>
      </c>
      <c r="H219" s="88">
        <v>0</v>
      </c>
      <c r="I219" s="88">
        <v>0</v>
      </c>
      <c r="J219" s="88">
        <v>0</v>
      </c>
      <c r="K219" s="88">
        <v>0</v>
      </c>
      <c r="L219" s="172">
        <v>0</v>
      </c>
      <c r="M219" s="90">
        <v>0</v>
      </c>
    </row>
    <row r="220" spans="1:13" ht="16.8">
      <c r="A220" s="86">
        <v>30</v>
      </c>
      <c r="B220" s="75" t="s">
        <v>277</v>
      </c>
      <c r="D220" s="96">
        <v>94.224999999999994</v>
      </c>
      <c r="E220" s="88">
        <v>87.484999999999999</v>
      </c>
      <c r="F220" s="88">
        <v>79.322999999999993</v>
      </c>
      <c r="G220" s="88">
        <v>58.722999999999999</v>
      </c>
      <c r="H220" s="88">
        <v>3.3000000000000002E-2</v>
      </c>
      <c r="I220" s="88">
        <v>3.3000000000000002E-2</v>
      </c>
      <c r="J220" s="88">
        <v>0</v>
      </c>
      <c r="K220" s="88">
        <v>0</v>
      </c>
      <c r="L220" s="172">
        <v>319.822</v>
      </c>
      <c r="M220" s="90">
        <v>39.97775</v>
      </c>
    </row>
    <row r="221" spans="1:13" ht="16.8">
      <c r="A221" s="86">
        <v>31</v>
      </c>
      <c r="B221" s="75" t="s">
        <v>266</v>
      </c>
      <c r="D221" s="96">
        <v>0</v>
      </c>
      <c r="E221" s="88">
        <v>0</v>
      </c>
      <c r="F221" s="88">
        <v>0</v>
      </c>
      <c r="G221" s="88">
        <v>0</v>
      </c>
      <c r="H221" s="88">
        <v>0</v>
      </c>
      <c r="I221" s="88">
        <v>0</v>
      </c>
      <c r="J221" s="88">
        <v>0</v>
      </c>
      <c r="K221" s="88">
        <v>0</v>
      </c>
      <c r="L221" s="172">
        <v>0</v>
      </c>
      <c r="M221" s="90">
        <v>0</v>
      </c>
    </row>
    <row r="222" spans="1:13" ht="16.8">
      <c r="A222" s="86">
        <v>32</v>
      </c>
      <c r="B222" s="75" t="s">
        <v>267</v>
      </c>
      <c r="D222" s="96">
        <v>161.1187120560862</v>
      </c>
      <c r="E222" s="88">
        <v>154.16695609549845</v>
      </c>
      <c r="F222" s="88">
        <v>134.36233840994342</v>
      </c>
      <c r="G222" s="88">
        <v>132.51677609785602</v>
      </c>
      <c r="H222" s="88">
        <v>76.680087222686964</v>
      </c>
      <c r="I222" s="88">
        <v>72.642572356241615</v>
      </c>
      <c r="J222" s="88">
        <v>74.76721766777959</v>
      </c>
      <c r="K222" s="88">
        <v>73.854682624001015</v>
      </c>
      <c r="L222" s="172">
        <v>880.10934253009339</v>
      </c>
      <c r="M222" s="90">
        <v>110.01366781626167</v>
      </c>
    </row>
    <row r="223" spans="1:13" ht="16.8">
      <c r="A223" s="80"/>
      <c r="B223" s="81" t="s">
        <v>268</v>
      </c>
      <c r="D223" s="91">
        <v>0</v>
      </c>
      <c r="E223" s="92">
        <v>0</v>
      </c>
      <c r="F223" s="92">
        <v>0</v>
      </c>
      <c r="G223" s="92">
        <v>0</v>
      </c>
      <c r="H223" s="92">
        <v>0</v>
      </c>
      <c r="I223" s="92">
        <v>0</v>
      </c>
      <c r="J223" s="92">
        <v>0</v>
      </c>
      <c r="K223" s="93">
        <v>0</v>
      </c>
      <c r="L223" s="91">
        <v>0</v>
      </c>
      <c r="M223" s="184">
        <v>0</v>
      </c>
    </row>
    <row r="224" spans="1:13" ht="16.8">
      <c r="A224" s="86">
        <v>33</v>
      </c>
      <c r="B224" s="75" t="s">
        <v>268</v>
      </c>
      <c r="D224" s="87">
        <v>61.700796457816757</v>
      </c>
      <c r="E224" s="88">
        <v>64.664700302156106</v>
      </c>
      <c r="F224" s="88">
        <v>71.188832943008734</v>
      </c>
      <c r="G224" s="88">
        <v>71.82030202524102</v>
      </c>
      <c r="H224" s="88">
        <v>69.395845960375354</v>
      </c>
      <c r="I224" s="88">
        <v>72.825139528207629</v>
      </c>
      <c r="J224" s="88">
        <v>77.228979422381826</v>
      </c>
      <c r="K224" s="89">
        <v>75.080497038060713</v>
      </c>
      <c r="L224" s="172">
        <v>563.90509367724815</v>
      </c>
      <c r="M224" s="90">
        <v>70.488136709656018</v>
      </c>
    </row>
    <row r="225" spans="1:13" ht="16.8">
      <c r="A225" s="86">
        <v>34</v>
      </c>
      <c r="B225" s="75" t="s">
        <v>269</v>
      </c>
      <c r="D225" s="87">
        <v>61.631001083027449</v>
      </c>
      <c r="E225" s="88">
        <v>64.580050668098323</v>
      </c>
      <c r="F225" s="88">
        <v>71.067319227436826</v>
      </c>
      <c r="G225" s="88">
        <v>72.289647688351081</v>
      </c>
      <c r="H225" s="88">
        <v>69.424509509752369</v>
      </c>
      <c r="I225" s="88">
        <v>72.388898337783473</v>
      </c>
      <c r="J225" s="88">
        <v>76.412735900188977</v>
      </c>
      <c r="K225" s="89">
        <v>74.688497080108618</v>
      </c>
      <c r="L225" s="172">
        <v>562.48265949474717</v>
      </c>
      <c r="M225" s="90">
        <v>70.310332436843396</v>
      </c>
    </row>
    <row r="226" spans="1:13" ht="16.8">
      <c r="A226" s="80"/>
      <c r="B226" s="81" t="s">
        <v>270</v>
      </c>
      <c r="D226" s="91">
        <v>0</v>
      </c>
      <c r="E226" s="92">
        <v>0</v>
      </c>
      <c r="F226" s="92">
        <v>0</v>
      </c>
      <c r="G226" s="92">
        <v>0</v>
      </c>
      <c r="H226" s="92">
        <v>0</v>
      </c>
      <c r="I226" s="92">
        <v>0</v>
      </c>
      <c r="J226" s="92">
        <v>0</v>
      </c>
      <c r="K226" s="93">
        <v>0</v>
      </c>
      <c r="L226" s="91">
        <v>0</v>
      </c>
      <c r="M226" s="184">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72">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72">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72">
        <v>552.55303273607774</v>
      </c>
      <c r="M229" s="90">
        <v>69.069129092009717</v>
      </c>
    </row>
    <row r="230" spans="1:13" ht="16.8">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72">
        <v>554.29284514390633</v>
      </c>
      <c r="M230" s="90">
        <v>69.286605642988292</v>
      </c>
    </row>
    <row r="231" spans="1:13" ht="16.8">
      <c r="A231" s="86">
        <v>39</v>
      </c>
      <c r="B231" s="98">
        <v>43190</v>
      </c>
      <c r="D231" s="96">
        <v>61.631001083027449</v>
      </c>
      <c r="E231" s="88">
        <v>64.580050668098323</v>
      </c>
      <c r="F231" s="88">
        <v>71.067319227436826</v>
      </c>
      <c r="G231" s="88">
        <v>72.289647688351081</v>
      </c>
      <c r="H231" s="88">
        <v>69.424509509752369</v>
      </c>
      <c r="I231" s="88">
        <v>72.388898337783473</v>
      </c>
      <c r="J231" s="88">
        <v>76.412735900188977</v>
      </c>
      <c r="K231" s="88">
        <v>74.688497080108618</v>
      </c>
      <c r="L231" s="172">
        <v>562.48265949474717</v>
      </c>
      <c r="M231" s="90">
        <v>70.310332436843396</v>
      </c>
    </row>
    <row r="232" spans="1:13" ht="16.8">
      <c r="A232" s="86">
        <v>40</v>
      </c>
      <c r="B232" s="98">
        <v>43555</v>
      </c>
      <c r="D232" s="96">
        <v>61.700796457816757</v>
      </c>
      <c r="E232" s="88">
        <v>64.664700302156106</v>
      </c>
      <c r="F232" s="88">
        <v>71.188832943008734</v>
      </c>
      <c r="G232" s="88">
        <v>71.82030202524102</v>
      </c>
      <c r="H232" s="88">
        <v>69.395845960375354</v>
      </c>
      <c r="I232" s="88">
        <v>72.825139528207629</v>
      </c>
      <c r="J232" s="88">
        <v>77.228979422381826</v>
      </c>
      <c r="K232" s="88">
        <v>75.080497038060713</v>
      </c>
      <c r="L232" s="172">
        <v>563.90509367724815</v>
      </c>
      <c r="M232" s="90">
        <v>70.488136709656018</v>
      </c>
    </row>
    <row r="233" spans="1:13" ht="16.8">
      <c r="A233" s="86">
        <v>41</v>
      </c>
      <c r="B233" s="98">
        <v>43921</v>
      </c>
      <c r="D233" s="96" t="s">
        <v>455</v>
      </c>
      <c r="E233" s="88" t="s">
        <v>455</v>
      </c>
      <c r="F233" s="88" t="s">
        <v>455</v>
      </c>
      <c r="G233" s="88" t="s">
        <v>455</v>
      </c>
      <c r="H233" s="88" t="s">
        <v>455</v>
      </c>
      <c r="I233" s="88" t="s">
        <v>455</v>
      </c>
      <c r="J233" s="88" t="s">
        <v>455</v>
      </c>
      <c r="K233" s="88" t="s">
        <v>455</v>
      </c>
      <c r="L233" s="172">
        <v>0</v>
      </c>
      <c r="M233" s="90">
        <v>0</v>
      </c>
    </row>
    <row r="234" spans="1:13" ht="17.399999999999999" thickBot="1">
      <c r="A234" s="103">
        <v>42</v>
      </c>
      <c r="B234" s="211">
        <v>44286</v>
      </c>
      <c r="D234" s="214" t="s">
        <v>455</v>
      </c>
      <c r="E234" s="106" t="s">
        <v>455</v>
      </c>
      <c r="F234" s="106" t="s">
        <v>455</v>
      </c>
      <c r="G234" s="106" t="s">
        <v>455</v>
      </c>
      <c r="H234" s="106" t="s">
        <v>455</v>
      </c>
      <c r="I234" s="106" t="s">
        <v>455</v>
      </c>
      <c r="J234" s="106" t="s">
        <v>455</v>
      </c>
      <c r="K234" s="106" t="s">
        <v>455</v>
      </c>
      <c r="L234" s="215">
        <v>0</v>
      </c>
      <c r="M234" s="108">
        <v>0</v>
      </c>
    </row>
    <row r="235" spans="1:13" ht="16.8">
      <c r="A235" s="80"/>
      <c r="B235" s="81" t="s">
        <v>313</v>
      </c>
      <c r="D235" s="91">
        <v>0</v>
      </c>
      <c r="E235" s="92">
        <v>0</v>
      </c>
      <c r="F235" s="92">
        <v>0</v>
      </c>
      <c r="G235" s="92">
        <v>0</v>
      </c>
      <c r="H235" s="92">
        <v>0</v>
      </c>
      <c r="I235" s="97">
        <v>0</v>
      </c>
      <c r="J235" s="92">
        <v>0</v>
      </c>
      <c r="K235" s="93">
        <v>0</v>
      </c>
      <c r="L235" s="95">
        <v>0</v>
      </c>
      <c r="M235" s="184">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8">
      <c r="A240" s="86">
        <v>47</v>
      </c>
      <c r="B240" s="98">
        <v>43190</v>
      </c>
      <c r="D240" s="96">
        <v>0</v>
      </c>
      <c r="E240" s="88">
        <v>-0.74723548170331355</v>
      </c>
      <c r="F240" s="88">
        <v>-13.787280588025247</v>
      </c>
      <c r="G240" s="88">
        <v>1.0011710527519853</v>
      </c>
      <c r="H240" s="88">
        <v>3.0471602441516268</v>
      </c>
      <c r="I240" s="88">
        <v>0</v>
      </c>
      <c r="J240" s="88">
        <v>0</v>
      </c>
      <c r="K240" s="89">
        <v>0</v>
      </c>
      <c r="L240" s="90">
        <v>-10.486184772824949</v>
      </c>
      <c r="M240" s="90">
        <v>0</v>
      </c>
    </row>
    <row r="241" spans="1:13" ht="16.8">
      <c r="A241" s="86">
        <v>48</v>
      </c>
      <c r="B241" s="98">
        <v>43555</v>
      </c>
      <c r="D241" s="96">
        <v>0</v>
      </c>
      <c r="E241" s="88">
        <v>-0.74723548170331355</v>
      </c>
      <c r="F241" s="88">
        <v>-13.787280588025247</v>
      </c>
      <c r="G241" s="88">
        <v>1.0011710527519853</v>
      </c>
      <c r="H241" s="88">
        <v>3.0471602441516268</v>
      </c>
      <c r="I241" s="88">
        <v>-7.3017659828011006E-2</v>
      </c>
      <c r="J241" s="88">
        <v>0</v>
      </c>
      <c r="K241" s="89">
        <v>0</v>
      </c>
      <c r="L241" s="90">
        <v>-10.55920243265296</v>
      </c>
      <c r="M241" s="90">
        <v>0</v>
      </c>
    </row>
    <row r="242" spans="1:13" ht="16.8">
      <c r="A242" s="86">
        <v>49</v>
      </c>
      <c r="B242" s="98">
        <v>43921</v>
      </c>
      <c r="D242" s="96" t="s">
        <v>455</v>
      </c>
      <c r="E242" s="88" t="s">
        <v>455</v>
      </c>
      <c r="F242" s="88" t="s">
        <v>455</v>
      </c>
      <c r="G242" s="88" t="s">
        <v>455</v>
      </c>
      <c r="H242" s="88" t="s">
        <v>455</v>
      </c>
      <c r="I242" s="88" t="s">
        <v>455</v>
      </c>
      <c r="J242" s="88" t="s">
        <v>455</v>
      </c>
      <c r="K242" s="89" t="s">
        <v>455</v>
      </c>
      <c r="L242" s="90">
        <v>0</v>
      </c>
      <c r="M242" s="90">
        <v>0</v>
      </c>
    </row>
    <row r="243" spans="1:13" ht="16.8">
      <c r="A243" s="86">
        <v>50</v>
      </c>
      <c r="B243" s="98">
        <v>44286</v>
      </c>
      <c r="D243" s="96" t="s">
        <v>455</v>
      </c>
      <c r="E243" s="88" t="s">
        <v>455</v>
      </c>
      <c r="F243" s="88" t="s">
        <v>455</v>
      </c>
      <c r="G243" s="88" t="s">
        <v>455</v>
      </c>
      <c r="H243" s="88" t="s">
        <v>455</v>
      </c>
      <c r="I243" s="88" t="s">
        <v>455</v>
      </c>
      <c r="J243" s="88" t="s">
        <v>455</v>
      </c>
      <c r="K243" s="89" t="s">
        <v>455</v>
      </c>
      <c r="L243" s="90">
        <v>0</v>
      </c>
      <c r="M243" s="90">
        <v>0</v>
      </c>
    </row>
    <row r="244" spans="1:13" ht="16.8">
      <c r="A244" s="80"/>
      <c r="B244" s="81" t="s">
        <v>314</v>
      </c>
      <c r="D244" s="91">
        <v>0</v>
      </c>
      <c r="E244" s="92">
        <v>0</v>
      </c>
      <c r="F244" s="92">
        <v>0</v>
      </c>
      <c r="G244" s="92">
        <v>0</v>
      </c>
      <c r="H244" s="92">
        <v>0</v>
      </c>
      <c r="I244" s="97">
        <v>0</v>
      </c>
      <c r="J244" s="92">
        <v>0</v>
      </c>
      <c r="K244" s="93">
        <v>0</v>
      </c>
      <c r="L244" s="91">
        <v>0</v>
      </c>
      <c r="M244" s="184">
        <v>0</v>
      </c>
    </row>
    <row r="245" spans="1:13" ht="16.8">
      <c r="A245" s="86">
        <v>51</v>
      </c>
      <c r="B245" s="75" t="s">
        <v>273</v>
      </c>
      <c r="D245" s="87">
        <v>59.103029723239651</v>
      </c>
      <c r="E245" s="88">
        <v>73.480682625158963</v>
      </c>
      <c r="F245" s="88">
        <v>86.979966584281087</v>
      </c>
      <c r="G245" s="88">
        <v>97.700507210010926</v>
      </c>
      <c r="H245" s="88">
        <v>103.33937752792554</v>
      </c>
      <c r="I245" s="88">
        <v>105.26617342195766</v>
      </c>
      <c r="J245" s="88">
        <v>105.69927042754838</v>
      </c>
      <c r="K245" s="89">
        <v>104.76841455474798</v>
      </c>
      <c r="L245" s="90">
        <v>736.33742207487023</v>
      </c>
      <c r="M245" s="90">
        <v>92.042177759358779</v>
      </c>
    </row>
    <row r="246" spans="1:13" ht="16.8">
      <c r="A246" s="86">
        <v>52</v>
      </c>
      <c r="B246" s="75" t="s">
        <v>26</v>
      </c>
      <c r="D246" s="216">
        <v>0.625</v>
      </c>
      <c r="E246" s="217">
        <v>0.625</v>
      </c>
      <c r="F246" s="217">
        <v>0.625</v>
      </c>
      <c r="G246" s="217">
        <v>0.625</v>
      </c>
      <c r="H246" s="217">
        <v>0.625</v>
      </c>
      <c r="I246" s="217">
        <v>0.625</v>
      </c>
      <c r="J246" s="217">
        <v>0.625</v>
      </c>
      <c r="K246" s="218">
        <v>0.625</v>
      </c>
      <c r="L246" s="219">
        <v>0.625</v>
      </c>
      <c r="M246" s="219">
        <v>0.625</v>
      </c>
    </row>
    <row r="247" spans="1:13" ht="16.8">
      <c r="A247" s="86">
        <v>53</v>
      </c>
      <c r="B247" s="75" t="s">
        <v>274</v>
      </c>
      <c r="D247" s="87">
        <v>22.16363614621487</v>
      </c>
      <c r="E247" s="88">
        <v>27.555255984434609</v>
      </c>
      <c r="F247" s="88">
        <v>32.617487469105406</v>
      </c>
      <c r="G247" s="88">
        <v>36.637690203754097</v>
      </c>
      <c r="H247" s="88">
        <v>38.752266572972076</v>
      </c>
      <c r="I247" s="88">
        <v>39.474815033234123</v>
      </c>
      <c r="J247" s="88">
        <v>39.637226410330641</v>
      </c>
      <c r="K247" s="89">
        <v>39.288155458030488</v>
      </c>
      <c r="L247" s="90">
        <v>276.12653327807629</v>
      </c>
      <c r="M247" s="90">
        <v>34.515816659759537</v>
      </c>
    </row>
    <row r="248" spans="1:13" ht="16.8">
      <c r="A248" s="86">
        <v>54</v>
      </c>
      <c r="B248" s="75" t="s">
        <v>275</v>
      </c>
      <c r="D248" s="87">
        <v>1.0786302924491236</v>
      </c>
      <c r="E248" s="88">
        <v>1.2491716046277026</v>
      </c>
      <c r="F248" s="88">
        <v>1.3862432174369799</v>
      </c>
      <c r="G248" s="88">
        <v>1.4532950447489124</v>
      </c>
      <c r="H248" s="88">
        <v>1.433833863199967</v>
      </c>
      <c r="I248" s="88">
        <v>1.3355645752910876</v>
      </c>
      <c r="J248" s="88">
        <v>1.3410594935495201</v>
      </c>
      <c r="K248" s="89">
        <v>1.3292492596633649</v>
      </c>
      <c r="L248" s="90">
        <v>10.607047350966658</v>
      </c>
      <c r="M248" s="90">
        <v>1.3258809188708323</v>
      </c>
    </row>
    <row r="249" spans="1:13" ht="17.399999999999999" thickBot="1">
      <c r="A249" s="103">
        <v>55</v>
      </c>
      <c r="B249" s="104" t="s">
        <v>276</v>
      </c>
      <c r="D249" s="105">
        <v>1.5071272579426109</v>
      </c>
      <c r="E249" s="106">
        <v>1.8737574069415537</v>
      </c>
      <c r="F249" s="106">
        <v>2.2179891478991678</v>
      </c>
      <c r="G249" s="106">
        <v>2.491362933855279</v>
      </c>
      <c r="H249" s="106">
        <v>2.6351541269621008</v>
      </c>
      <c r="I249" s="106">
        <v>2.6842874222599207</v>
      </c>
      <c r="J249" s="106">
        <v>2.6953313959024836</v>
      </c>
      <c r="K249" s="107">
        <v>2.6715945711460738</v>
      </c>
      <c r="L249" s="108">
        <v>18.776604262909188</v>
      </c>
      <c r="M249" s="108">
        <v>2.3470755328636486</v>
      </c>
    </row>
    <row r="254" spans="1:13">
      <c r="B254" t="s">
        <v>315</v>
      </c>
      <c r="D254" s="173">
        <v>68.08137458436687</v>
      </c>
    </row>
    <row r="255" spans="1:13">
      <c r="B255" t="s">
        <v>316</v>
      </c>
      <c r="D255" s="173">
        <v>-2.9550550399825672</v>
      </c>
    </row>
  </sheetData>
  <pageMargins left="0.7" right="0.7" top="0.75" bottom="0.75" header="0.3" footer="0.3"/>
  <pageSetup paperSize="9" orientation="portrait" r:id="rId1"/>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59999389629810485"/>
  </sheetPr>
  <dimension ref="A1:AM155"/>
  <sheetViews>
    <sheetView topLeftCell="A114" workbookViewId="0">
      <selection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411</v>
      </c>
      <c r="C2" s="1" t="s">
        <v>384</v>
      </c>
      <c r="D2" s="2" t="s">
        <v>40</v>
      </c>
      <c r="E2" s="47" t="s">
        <v>41</v>
      </c>
      <c r="G2" s="112" t="s">
        <v>362</v>
      </c>
      <c r="H2" s="113" t="str">
        <f>RPI!$B$1</f>
        <v>Updated Oct 2019</v>
      </c>
      <c r="J2" s="224" t="s">
        <v>398</v>
      </c>
      <c r="K2">
        <f>1-0.4436</f>
        <v>0.55640000000000001</v>
      </c>
    </row>
    <row r="3" spans="1:11" ht="15.6" thickBot="1">
      <c r="C3" s="3" t="s">
        <v>42</v>
      </c>
      <c r="D3" s="62">
        <f>'GT workings 17-18'!V15/1000</f>
        <v>0.25229385799299364</v>
      </c>
      <c r="E3" s="63">
        <f>'GT workings 17-18'!L15/1000</f>
        <v>0.20357287402364305</v>
      </c>
    </row>
    <row r="4" spans="1:11" ht="15.6" thickBot="1">
      <c r="C4" s="3" t="s">
        <v>43</v>
      </c>
      <c r="D4" s="62">
        <f>'GT workings 17-18'!V16/1000</f>
        <v>1.1283043918706692</v>
      </c>
      <c r="E4" s="63">
        <f>'GT workings 17-18'!L16/1000</f>
        <v>0.89423407500752217</v>
      </c>
    </row>
    <row r="5" spans="1:11" ht="15.6" thickBot="1">
      <c r="C5" s="4" t="s">
        <v>44</v>
      </c>
      <c r="D5" s="64">
        <f>'GT workings 17-18'!V20/1000</f>
        <v>0.20173661705217469</v>
      </c>
      <c r="E5" s="63">
        <f>'GT workings 17-18'!L20/1000</f>
        <v>0.16008548752424961</v>
      </c>
    </row>
    <row r="6" spans="1:11" ht="15.6" thickBot="1">
      <c r="C6" s="3" t="s">
        <v>408</v>
      </c>
      <c r="D6" s="62">
        <f>'GT workings 17-18'!V21/1000</f>
        <v>0</v>
      </c>
      <c r="E6" s="63">
        <f>'GT workings 17-18'!L21/1000</f>
        <v>0</v>
      </c>
    </row>
    <row r="7" spans="1:11" ht="15.6" thickBot="1">
      <c r="C7" s="4" t="s">
        <v>46</v>
      </c>
      <c r="D7" s="64">
        <f>'GT workings 17-18'!V17/1000</f>
        <v>0.7704305528603258</v>
      </c>
      <c r="E7" s="63">
        <f>'GT workings 17-18'!L17/1000</f>
        <v>0.60703868961485508</v>
      </c>
    </row>
    <row r="8" spans="1:11" ht="16.2" thickBot="1">
      <c r="C8" s="6" t="s">
        <v>48</v>
      </c>
      <c r="D8" s="65">
        <f>SUM(D3:D7)</f>
        <v>2.3527654197761634</v>
      </c>
      <c r="E8" s="66">
        <f>SUM(E3:E7)</f>
        <v>1.8649311261702701</v>
      </c>
    </row>
    <row r="9" spans="1:11" ht="15.6" thickBot="1">
      <c r="C9" s="4" t="s">
        <v>52</v>
      </c>
      <c r="D9" s="64">
        <f>'GT workings 17-18'!V26/1000</f>
        <v>1.1150810844209129</v>
      </c>
      <c r="E9" s="63">
        <f>'GT workings 17-18'!L26/1000</f>
        <v>0.88225987635099723</v>
      </c>
    </row>
    <row r="10" spans="1:11" ht="15.6" thickBot="1">
      <c r="C10" s="3"/>
      <c r="D10" s="62"/>
      <c r="E10" s="63"/>
    </row>
    <row r="11" spans="1:11" ht="15.6" thickBot="1">
      <c r="C11" s="4" t="s">
        <v>49</v>
      </c>
      <c r="D11" s="64">
        <f>'GT workings 17-18'!V8/1000</f>
        <v>0.1866416825678523</v>
      </c>
      <c r="E11" s="63">
        <f>'GT workings 17-18'!L8/1000</f>
        <v>0.15032504731952542</v>
      </c>
    </row>
    <row r="12" spans="1:11" ht="15.6" thickBot="1">
      <c r="C12" s="3" t="s">
        <v>44</v>
      </c>
      <c r="D12" s="62">
        <f>'GT workings 17-18'!V12/1000</f>
        <v>7.5566537857759533E-2</v>
      </c>
      <c r="E12" s="63">
        <f>'GT workings 17-18'!L12/1000</f>
        <v>6.1157279165104945E-2</v>
      </c>
    </row>
    <row r="13" spans="1:11" ht="15.6" thickBot="1">
      <c r="C13" s="4" t="s">
        <v>45</v>
      </c>
      <c r="D13" s="64">
        <f>'GT workings 17-18'!V13/1000</f>
        <v>0.10963342457264363</v>
      </c>
      <c r="E13" s="63">
        <f>'GT workings 17-18'!L13/1000</f>
        <v>8.6178027958814019E-2</v>
      </c>
    </row>
    <row r="14" spans="1:11" ht="15.6" thickBot="1">
      <c r="C14" s="3" t="s">
        <v>46</v>
      </c>
      <c r="D14" s="62">
        <f>'GT workings 17-18'!V7/1000</f>
        <v>0.3878734949068352</v>
      </c>
      <c r="E14" s="63">
        <f>'GT workings 17-18'!L7/1000</f>
        <v>0.30674480978356433</v>
      </c>
    </row>
    <row r="15" spans="1:11" ht="16.2" thickBot="1">
      <c r="C15" s="5" t="s">
        <v>50</v>
      </c>
      <c r="D15" s="67">
        <f>SUM(D11:D14)</f>
        <v>0.75971513990509065</v>
      </c>
      <c r="E15" s="66">
        <f>SUM(E11:E14)</f>
        <v>0.60440516422700874</v>
      </c>
    </row>
    <row r="16" spans="1:11" ht="15.6" thickBot="1">
      <c r="C16" s="3"/>
      <c r="D16" s="62"/>
      <c r="E16" s="63"/>
    </row>
    <row r="17" spans="1:38" ht="16.2" thickBot="1">
      <c r="C17" s="5" t="s">
        <v>51</v>
      </c>
      <c r="D17" s="67">
        <f>D15+D8</f>
        <v>3.1124805596812539</v>
      </c>
      <c r="E17" s="66">
        <f>E15+E8</f>
        <v>2.4693362903972789</v>
      </c>
    </row>
    <row r="18" spans="1:38" ht="16.2" thickBot="1">
      <c r="C18" s="6"/>
      <c r="D18" s="65"/>
      <c r="E18" s="66"/>
    </row>
    <row r="19" spans="1:38" ht="16.2" thickBot="1">
      <c r="C19" s="5" t="s">
        <v>53</v>
      </c>
      <c r="D19" s="67">
        <f>'GT workings 17-18'!N164/1000</f>
        <v>5.3050164815467582</v>
      </c>
      <c r="E19" s="66">
        <f>'GT workings 17-18'!D161/1000</f>
        <v>4.6150603281741756</v>
      </c>
    </row>
    <row r="20" spans="1:38" ht="16.2" thickBot="1">
      <c r="C20" s="6" t="s">
        <v>54</v>
      </c>
      <c r="D20" s="65">
        <f>'GT workings 17-18'!U165/1000</f>
        <v>7.0218229981944109</v>
      </c>
      <c r="E20" s="66">
        <f>'GT workings 17-18'!K162/1000</f>
        <v>5.0085135280785025</v>
      </c>
    </row>
    <row r="24" spans="1:38" ht="13.8" thickBot="1">
      <c r="A24" s="38" t="s">
        <v>399</v>
      </c>
    </row>
    <row r="25" spans="1:38" ht="12.75" customHeight="1" thickBot="1">
      <c r="C25" s="7" t="s">
        <v>58</v>
      </c>
      <c r="D25" s="8" t="s">
        <v>59</v>
      </c>
      <c r="E25" s="8" t="s">
        <v>60</v>
      </c>
      <c r="F25" s="8" t="s">
        <v>61</v>
      </c>
      <c r="G25" s="8" t="s">
        <v>62</v>
      </c>
      <c r="H25" s="8" t="s">
        <v>63</v>
      </c>
      <c r="I25" s="8" t="s">
        <v>64</v>
      </c>
      <c r="J25" s="8" t="s">
        <v>65</v>
      </c>
      <c r="K25" s="8" t="s">
        <v>66</v>
      </c>
      <c r="L25" s="8" t="s">
        <v>67</v>
      </c>
      <c r="S25" s="7" t="s">
        <v>58</v>
      </c>
      <c r="T25" s="8" t="s">
        <v>59</v>
      </c>
      <c r="U25" s="8" t="s">
        <v>60</v>
      </c>
      <c r="V25" s="8" t="s">
        <v>61</v>
      </c>
      <c r="W25" s="8" t="s">
        <v>62</v>
      </c>
      <c r="X25" s="8" t="s">
        <v>63</v>
      </c>
      <c r="Y25" s="8" t="s">
        <v>64</v>
      </c>
      <c r="Z25" s="8" t="s">
        <v>65</v>
      </c>
      <c r="AA25" s="8" t="s">
        <v>66</v>
      </c>
      <c r="AB25" s="8" t="s">
        <v>67</v>
      </c>
      <c r="AD25" s="164" t="s">
        <v>59</v>
      </c>
      <c r="AE25" s="164" t="s">
        <v>60</v>
      </c>
      <c r="AF25" s="164" t="s">
        <v>61</v>
      </c>
      <c r="AG25" s="164" t="s">
        <v>62</v>
      </c>
      <c r="AH25" s="164" t="s">
        <v>63</v>
      </c>
      <c r="AI25" s="164" t="s">
        <v>64</v>
      </c>
      <c r="AJ25" s="164" t="s">
        <v>65</v>
      </c>
      <c r="AK25" s="164" t="s">
        <v>66</v>
      </c>
      <c r="AL25" s="164" t="s">
        <v>345</v>
      </c>
    </row>
    <row r="26" spans="1:38" ht="12.75" customHeight="1">
      <c r="C26" s="9"/>
      <c r="D26" s="49"/>
      <c r="E26" s="49"/>
      <c r="F26" s="49"/>
      <c r="G26" s="49"/>
      <c r="H26" s="49"/>
      <c r="I26" s="49"/>
      <c r="J26" s="49"/>
      <c r="K26" s="49"/>
      <c r="L26" s="49"/>
      <c r="S26" s="9"/>
      <c r="T26" s="344"/>
      <c r="U26" s="344"/>
      <c r="V26" s="344"/>
      <c r="W26" s="344"/>
      <c r="X26" s="344"/>
      <c r="Y26" s="344"/>
      <c r="Z26" s="344"/>
      <c r="AA26" s="344"/>
      <c r="AB26" s="344"/>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338</v>
      </c>
      <c r="C27" s="10" t="s">
        <v>414</v>
      </c>
      <c r="D27" s="42">
        <f>'GT workings 17-18'!D15</f>
        <v>25.459307795372435</v>
      </c>
      <c r="E27" s="42">
        <f>'GT workings 17-18'!E15</f>
        <v>14.41280752104567</v>
      </c>
      <c r="F27" s="42">
        <f>'GT workings 17-18'!F15</f>
        <v>9.6173202079823099</v>
      </c>
      <c r="G27" s="42">
        <f>'GT workings 17-18'!G15</f>
        <v>60.446777499796859</v>
      </c>
      <c r="H27" s="42">
        <f>'GT workings 17-18'!H15</f>
        <v>84.880198528547851</v>
      </c>
      <c r="I27" s="42">
        <f>'GT workings 17-18'!I15</f>
        <v>8.5249336835233791</v>
      </c>
      <c r="J27" s="42">
        <f>'GT workings 17-18'!J15</f>
        <v>0.23152878737450566</v>
      </c>
      <c r="K27" s="42">
        <f>'GT workings 17-18'!K15</f>
        <v>0</v>
      </c>
      <c r="L27" s="50">
        <f t="shared" ref="L27:L38" si="1">SUM(D27:K27)</f>
        <v>203.57287402364304</v>
      </c>
      <c r="S27" s="10" t="s">
        <v>415</v>
      </c>
      <c r="T27" s="335">
        <v>112</v>
      </c>
      <c r="U27" s="335">
        <v>98</v>
      </c>
      <c r="V27" s="335">
        <v>107</v>
      </c>
      <c r="W27" s="335">
        <v>137</v>
      </c>
      <c r="X27" s="335">
        <v>166</v>
      </c>
      <c r="Y27" s="335">
        <v>85</v>
      </c>
      <c r="Z27" s="335">
        <v>72</v>
      </c>
      <c r="AA27" s="335">
        <v>71</v>
      </c>
      <c r="AB27" s="336">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416</v>
      </c>
      <c r="D28" s="42">
        <f>'GT workings 17-18'!D16+'GT workings 17-18'!D20</f>
        <v>123.99617020428643</v>
      </c>
      <c r="E28" s="42">
        <f>'GT workings 17-18'!E16+'GT workings 17-18'!E20</f>
        <v>128.05157660065038</v>
      </c>
      <c r="F28" s="42">
        <f>'GT workings 17-18'!F16+'GT workings 17-18'!F20</f>
        <v>125.18777913181741</v>
      </c>
      <c r="G28" s="42">
        <f>'GT workings 17-18'!G16+'GT workings 17-18'!G20</f>
        <v>136.63176996298813</v>
      </c>
      <c r="H28" s="42">
        <f>'GT workings 17-18'!H16+'GT workings 17-18'!H20</f>
        <v>170.30377749210527</v>
      </c>
      <c r="I28" s="42">
        <f>'GT workings 17-18'!I16+'GT workings 17-18'!I20</f>
        <v>150.18295316783582</v>
      </c>
      <c r="J28" s="42">
        <f>'GT workings 17-18'!J16+'GT workings 17-18'!J20</f>
        <v>122.37989371526645</v>
      </c>
      <c r="K28" s="42">
        <f>'GT workings 17-18'!K16+'GT workings 17-18'!K20</f>
        <v>97.58564225682187</v>
      </c>
      <c r="L28" s="50">
        <f t="shared" si="1"/>
        <v>1054.3195625317717</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'GT workings 17-18'!D17+'GT workings 17-18'!D21</f>
        <v>64.482672010544718</v>
      </c>
      <c r="E29" s="43">
        <f>'GT workings 17-18'!E17+'GT workings 17-18'!E21</f>
        <v>65.237874215180156</v>
      </c>
      <c r="F29" s="43">
        <f>'GT workings 17-18'!F17+'GT workings 17-18'!F21</f>
        <v>70.772894725011071</v>
      </c>
      <c r="G29" s="43">
        <f>'GT workings 17-18'!G17+'GT workings 17-18'!G21</f>
        <v>79.368338266410362</v>
      </c>
      <c r="H29" s="43">
        <f>'GT workings 17-18'!H17+'GT workings 17-18'!H21</f>
        <v>84.317479134504765</v>
      </c>
      <c r="I29" s="43">
        <f>'GT workings 17-18'!I17+'GT workings 17-18'!I21</f>
        <v>84.641346358196444</v>
      </c>
      <c r="J29" s="43">
        <f>'GT workings 17-18'!J17+'GT workings 17-18'!J21</f>
        <v>80.728014781566515</v>
      </c>
      <c r="K29" s="43">
        <f>'GT workings 17-18'!K17+'GT workings 17-18'!K21</f>
        <v>77.490070123441129</v>
      </c>
      <c r="L29" s="45">
        <f t="shared" si="1"/>
        <v>607.03868961485512</v>
      </c>
      <c r="S29" s="11" t="s">
        <v>417</v>
      </c>
      <c r="T29" s="337">
        <v>90</v>
      </c>
      <c r="U29" s="337">
        <v>89</v>
      </c>
      <c r="V29" s="337">
        <v>92</v>
      </c>
      <c r="W29" s="337">
        <v>92</v>
      </c>
      <c r="X29" s="337">
        <v>94</v>
      </c>
      <c r="Y29" s="337">
        <v>95</v>
      </c>
      <c r="Z29" s="337">
        <v>96</v>
      </c>
      <c r="AA29" s="337">
        <v>96</v>
      </c>
      <c r="AB29" s="338">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71</v>
      </c>
      <c r="D30" s="50">
        <f>SUM(D27:D29)</f>
        <v>213.93815001020357</v>
      </c>
      <c r="E30" s="50">
        <f t="shared" ref="E30:K30" si="2">SUM(E27:E29)</f>
        <v>207.70225833687618</v>
      </c>
      <c r="F30" s="50">
        <f t="shared" si="2"/>
        <v>205.57799406481078</v>
      </c>
      <c r="G30" s="50">
        <f t="shared" si="2"/>
        <v>276.44688572919534</v>
      </c>
      <c r="H30" s="50">
        <f t="shared" si="2"/>
        <v>339.50145515515788</v>
      </c>
      <c r="I30" s="50">
        <f t="shared" si="2"/>
        <v>243.34923320955565</v>
      </c>
      <c r="J30" s="50">
        <f t="shared" si="2"/>
        <v>203.33943728420746</v>
      </c>
      <c r="K30" s="50">
        <f t="shared" si="2"/>
        <v>175.07571238026298</v>
      </c>
      <c r="L30" s="50">
        <f t="shared" si="1"/>
        <v>1864.9311261702699</v>
      </c>
      <c r="S30" s="12" t="s">
        <v>390</v>
      </c>
      <c r="T30" s="336">
        <v>201</v>
      </c>
      <c r="U30" s="336">
        <v>187</v>
      </c>
      <c r="V30" s="336">
        <v>198</v>
      </c>
      <c r="W30" s="336">
        <v>229</v>
      </c>
      <c r="X30" s="336">
        <v>260</v>
      </c>
      <c r="Y30" s="336">
        <v>179</v>
      </c>
      <c r="Z30" s="336">
        <v>167</v>
      </c>
      <c r="AA30" s="336">
        <v>166</v>
      </c>
      <c r="AB30" s="339">
        <v>1588</v>
      </c>
      <c r="AD30" s="50">
        <f t="shared" si="0"/>
        <v>12.938150010203572</v>
      </c>
      <c r="AE30" s="50">
        <f t="shared" si="0"/>
        <v>20.702258336876184</v>
      </c>
      <c r="AF30" s="50">
        <f t="shared" si="0"/>
        <v>7.5779940648107811</v>
      </c>
      <c r="AG30" s="50">
        <f t="shared" si="0"/>
        <v>47.446885729195344</v>
      </c>
      <c r="AH30" s="50">
        <f t="shared" si="0"/>
        <v>79.501455155157885</v>
      </c>
      <c r="AI30" s="50">
        <f t="shared" si="0"/>
        <v>64.349233209555649</v>
      </c>
      <c r="AJ30" s="50">
        <f t="shared" si="0"/>
        <v>36.339437284207463</v>
      </c>
      <c r="AK30" s="50">
        <f t="shared" si="0"/>
        <v>9.0757123802629849</v>
      </c>
      <c r="AL30" s="50">
        <f t="shared" si="0"/>
        <v>276.93112617026986</v>
      </c>
    </row>
    <row r="31" spans="1:38" ht="12.75" customHeight="1">
      <c r="A31" t="s">
        <v>346</v>
      </c>
      <c r="C31" s="10" t="s">
        <v>74</v>
      </c>
      <c r="D31" s="42">
        <f>'GT workings 17-18'!D38+'GT workings 17-18'!D43</f>
        <v>2.9582092617297775</v>
      </c>
      <c r="E31" s="42">
        <f>'GT workings 17-18'!E38+'GT workings 17-18'!E43</f>
        <v>1.224305601014843</v>
      </c>
      <c r="F31" s="42">
        <f>'GT workings 17-18'!F38+'GT workings 17-18'!F43</f>
        <v>1.1459862431889647</v>
      </c>
      <c r="G31" s="42">
        <f>'GT workings 17-18'!G38+'GT workings 17-18'!G43</f>
        <v>60.446777499796859</v>
      </c>
      <c r="H31" s="42">
        <f>'GT workings 17-18'!H38+'GT workings 17-18'!H43</f>
        <v>84.880198528547851</v>
      </c>
      <c r="I31" s="42">
        <f>'GT workings 17-18'!I38+'GT workings 17-18'!I43</f>
        <v>8.5249336835233791</v>
      </c>
      <c r="J31" s="42">
        <f>'GT workings 17-18'!J38+'GT workings 17-18'!J43</f>
        <v>0.23152878737450566</v>
      </c>
      <c r="K31" s="42">
        <f>'GT workings 17-18'!K38+'GT workings 17-18'!K43</f>
        <v>0</v>
      </c>
      <c r="L31" s="50">
        <f t="shared" si="1"/>
        <v>159.4119396051762</v>
      </c>
      <c r="S31" s="10" t="s">
        <v>415</v>
      </c>
      <c r="T31" s="335">
        <v>112</v>
      </c>
      <c r="U31" s="335">
        <v>98</v>
      </c>
      <c r="V31" s="335">
        <v>107</v>
      </c>
      <c r="W31" s="335">
        <v>137</v>
      </c>
      <c r="X31" s="335">
        <v>166</v>
      </c>
      <c r="Y31" s="335">
        <v>85</v>
      </c>
      <c r="Z31" s="335">
        <v>72</v>
      </c>
      <c r="AA31" s="335">
        <v>71</v>
      </c>
      <c r="AB31" s="336">
        <v>846</v>
      </c>
      <c r="AD31" s="42">
        <f t="shared" si="0"/>
        <v>-109.04179073827022</v>
      </c>
      <c r="AE31" s="42">
        <f t="shared" si="0"/>
        <v>-96.775694398985152</v>
      </c>
      <c r="AF31" s="42">
        <f t="shared" si="0"/>
        <v>-105.85401375681104</v>
      </c>
      <c r="AG31" s="42">
        <f t="shared" si="0"/>
        <v>-76.553222500203134</v>
      </c>
      <c r="AH31" s="42">
        <f t="shared" si="0"/>
        <v>-81.119801471452149</v>
      </c>
      <c r="AI31" s="42">
        <f t="shared" si="0"/>
        <v>-76.475066316476614</v>
      </c>
      <c r="AJ31" s="42">
        <f t="shared" si="0"/>
        <v>-71.768471212625499</v>
      </c>
      <c r="AK31" s="42">
        <f t="shared" si="0"/>
        <v>-71</v>
      </c>
      <c r="AL31" s="42">
        <f t="shared" si="0"/>
        <v>-686.58806039482374</v>
      </c>
    </row>
    <row r="32" spans="1:38" ht="12.75" customHeight="1">
      <c r="C32" s="10" t="s">
        <v>75</v>
      </c>
      <c r="D32" s="42">
        <f>'GT workings 17-18'!D39+'GT workings 17-18'!D44</f>
        <v>115.00899569331119</v>
      </c>
      <c r="E32" s="42">
        <f>'GT workings 17-18'!E39+'GT workings 17-18'!E44</f>
        <v>108.17174164207314</v>
      </c>
      <c r="F32" s="42">
        <f>'GT workings 17-18'!F39+'GT workings 17-18'!F44</f>
        <v>111.20152416051451</v>
      </c>
      <c r="G32" s="42">
        <f>'GT workings 17-18'!G39+'GT workings 17-18'!G44</f>
        <v>136.63176996298816</v>
      </c>
      <c r="H32" s="42">
        <f>'GT workings 17-18'!H39+'GT workings 17-18'!H44</f>
        <v>170.30377749210527</v>
      </c>
      <c r="I32" s="42">
        <f>'GT workings 17-18'!I39+'GT workings 17-18'!I44</f>
        <v>150.18295316783582</v>
      </c>
      <c r="J32" s="42">
        <f>'GT workings 17-18'!J39+'GT workings 17-18'!J44</f>
        <v>122.37989371526645</v>
      </c>
      <c r="K32" s="42">
        <f>'GT workings 17-18'!K39+'GT workings 17-18'!K44</f>
        <v>97.58564225682187</v>
      </c>
      <c r="L32" s="50">
        <f t="shared" si="1"/>
        <v>1011.4662980909164</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'GT workings 17-18'!D40+'GT workings 17-18'!D45</f>
        <v>70.079057792480086</v>
      </c>
      <c r="E33" s="43">
        <f>'GT workings 17-18'!E40+'GT workings 17-18'!E45</f>
        <v>72.597345533059766</v>
      </c>
      <c r="F33" s="43">
        <f>'GT workings 17-18'!F40+'GT workings 17-18'!F45</f>
        <v>74.07364722957594</v>
      </c>
      <c r="G33" s="43">
        <f>'GT workings 17-18'!G40+'GT workings 17-18'!G45</f>
        <v>79.368338266410362</v>
      </c>
      <c r="H33" s="43">
        <f>'GT workings 17-18'!H40+'GT workings 17-18'!H45</f>
        <v>84.317479134504765</v>
      </c>
      <c r="I33" s="43">
        <f>'GT workings 17-18'!I40+'GT workings 17-18'!I45</f>
        <v>84.641346358196444</v>
      </c>
      <c r="J33" s="43">
        <f>'GT workings 17-18'!J40+'GT workings 17-18'!J45</f>
        <v>80.728014781566515</v>
      </c>
      <c r="K33" s="43">
        <f>'GT workings 17-18'!K40+'GT workings 17-18'!K45</f>
        <v>77.490070123441129</v>
      </c>
      <c r="L33" s="45">
        <f t="shared" si="1"/>
        <v>623.29529921923506</v>
      </c>
      <c r="S33" s="11" t="s">
        <v>417</v>
      </c>
      <c r="T33" s="337">
        <v>90</v>
      </c>
      <c r="U33" s="337">
        <v>89</v>
      </c>
      <c r="V33" s="337">
        <v>92</v>
      </c>
      <c r="W33" s="337">
        <v>92</v>
      </c>
      <c r="X33" s="337">
        <v>94</v>
      </c>
      <c r="Y33" s="337">
        <v>95</v>
      </c>
      <c r="Z33" s="337">
        <v>96</v>
      </c>
      <c r="AA33" s="337">
        <v>96</v>
      </c>
      <c r="AB33" s="338">
        <v>743</v>
      </c>
      <c r="AD33" s="43">
        <f t="shared" ref="AD33:AL35" si="3">D33-T33</f>
        <v>-19.920942207519914</v>
      </c>
      <c r="AE33" s="43">
        <f t="shared" si="3"/>
        <v>-16.402654466940234</v>
      </c>
      <c r="AF33" s="43">
        <f t="shared" si="3"/>
        <v>-17.92635277042406</v>
      </c>
      <c r="AG33" s="43">
        <f t="shared" si="3"/>
        <v>-12.631661733589638</v>
      </c>
      <c r="AH33" s="43">
        <f t="shared" si="3"/>
        <v>-9.6825208654952348</v>
      </c>
      <c r="AI33" s="43">
        <f t="shared" si="3"/>
        <v>-10.358653641803556</v>
      </c>
      <c r="AJ33" s="43">
        <f t="shared" si="3"/>
        <v>-15.271985218433485</v>
      </c>
      <c r="AK33" s="43">
        <f t="shared" si="3"/>
        <v>-18.509929876558871</v>
      </c>
      <c r="AL33" s="43">
        <f t="shared" si="3"/>
        <v>-119.70470078076494</v>
      </c>
    </row>
    <row r="34" spans="1:39" ht="12.75" customHeight="1">
      <c r="C34" s="12" t="s">
        <v>77</v>
      </c>
      <c r="D34" s="50">
        <f t="shared" ref="D34:K34" si="4">SUM(D31:D33)</f>
        <v>188.04626274752104</v>
      </c>
      <c r="E34" s="50">
        <f t="shared" si="4"/>
        <v>181.99339277614774</v>
      </c>
      <c r="F34" s="50">
        <f t="shared" si="4"/>
        <v>186.42115763327939</v>
      </c>
      <c r="G34" s="50">
        <f t="shared" si="4"/>
        <v>276.4468857291954</v>
      </c>
      <c r="H34" s="50">
        <f t="shared" si="4"/>
        <v>339.50145515515788</v>
      </c>
      <c r="I34" s="50">
        <f t="shared" si="4"/>
        <v>243.34923320955565</v>
      </c>
      <c r="J34" s="50">
        <f t="shared" si="4"/>
        <v>203.33943728420746</v>
      </c>
      <c r="K34" s="50">
        <f t="shared" si="4"/>
        <v>175.07571238026298</v>
      </c>
      <c r="L34" s="50">
        <f t="shared" si="1"/>
        <v>1794.1735369153275</v>
      </c>
      <c r="S34" s="12" t="s">
        <v>390</v>
      </c>
      <c r="T34" s="336">
        <v>201</v>
      </c>
      <c r="U34" s="336">
        <v>187</v>
      </c>
      <c r="V34" s="336">
        <v>198</v>
      </c>
      <c r="W34" s="336">
        <v>229</v>
      </c>
      <c r="X34" s="336">
        <v>260</v>
      </c>
      <c r="Y34" s="336">
        <v>179</v>
      </c>
      <c r="Z34" s="336">
        <v>167</v>
      </c>
      <c r="AA34" s="336">
        <v>166</v>
      </c>
      <c r="AB34" s="339">
        <v>1588</v>
      </c>
      <c r="AD34" s="50">
        <f t="shared" si="3"/>
        <v>-12.953737252478959</v>
      </c>
      <c r="AE34" s="50">
        <f t="shared" si="3"/>
        <v>-5.0066072238522565</v>
      </c>
      <c r="AF34" s="50">
        <f t="shared" si="3"/>
        <v>-11.578842366720608</v>
      </c>
      <c r="AG34" s="50">
        <f t="shared" si="3"/>
        <v>47.446885729195401</v>
      </c>
      <c r="AH34" s="50">
        <f t="shared" si="3"/>
        <v>79.501455155157885</v>
      </c>
      <c r="AI34" s="50">
        <f t="shared" si="3"/>
        <v>64.349233209555649</v>
      </c>
      <c r="AJ34" s="50">
        <f t="shared" si="3"/>
        <v>36.339437284207463</v>
      </c>
      <c r="AK34" s="50">
        <f t="shared" si="3"/>
        <v>9.0757123802629849</v>
      </c>
      <c r="AL34" s="50">
        <f t="shared" si="3"/>
        <v>206.17353691532753</v>
      </c>
    </row>
    <row r="35" spans="1:39" ht="12.75" customHeight="1">
      <c r="A35" t="s">
        <v>233</v>
      </c>
      <c r="C35" s="10" t="s">
        <v>418</v>
      </c>
      <c r="D35" s="42">
        <f>D27-(D27-D31)*$K$2</f>
        <v>12.939696571253661</v>
      </c>
      <c r="E35" s="42">
        <f t="shared" ref="E35:K35" si="5">E27-(E27-E31)*$K$2</f>
        <v>7.0747250527405177</v>
      </c>
      <c r="F35" s="42">
        <f t="shared" si="5"/>
        <v>4.9038699899712928</v>
      </c>
      <c r="G35" s="42">
        <f t="shared" si="5"/>
        <v>60.446777499796859</v>
      </c>
      <c r="H35" s="42">
        <f t="shared" si="5"/>
        <v>84.880198528547851</v>
      </c>
      <c r="I35" s="42">
        <f t="shared" si="5"/>
        <v>8.5249336835233791</v>
      </c>
      <c r="J35" s="42">
        <f t="shared" si="5"/>
        <v>0.23152878737450566</v>
      </c>
      <c r="K35" s="42">
        <f t="shared" si="5"/>
        <v>0</v>
      </c>
      <c r="L35" s="50">
        <f t="shared" si="1"/>
        <v>179.00173011320808</v>
      </c>
      <c r="S35" s="10" t="s">
        <v>415</v>
      </c>
      <c r="T35" s="335">
        <v>112</v>
      </c>
      <c r="U35" s="335">
        <v>98</v>
      </c>
      <c r="V35" s="335">
        <v>107</v>
      </c>
      <c r="W35" s="335">
        <v>137</v>
      </c>
      <c r="X35" s="335">
        <v>166</v>
      </c>
      <c r="Y35" s="335">
        <v>85</v>
      </c>
      <c r="Z35" s="335">
        <v>72</v>
      </c>
      <c r="AA35" s="335">
        <v>71</v>
      </c>
      <c r="AB35" s="336">
        <v>846</v>
      </c>
      <c r="AD35" s="42">
        <f t="shared" si="3"/>
        <v>-99.060303428746337</v>
      </c>
      <c r="AE35" s="42">
        <f t="shared" si="3"/>
        <v>-90.925274947259481</v>
      </c>
      <c r="AF35" s="42">
        <f t="shared" si="3"/>
        <v>-102.0961300100287</v>
      </c>
      <c r="AG35" s="42">
        <f t="shared" si="3"/>
        <v>-76.553222500203134</v>
      </c>
      <c r="AH35" s="42">
        <f t="shared" si="3"/>
        <v>-81.119801471452149</v>
      </c>
      <c r="AI35" s="42">
        <f t="shared" si="3"/>
        <v>-76.475066316476614</v>
      </c>
      <c r="AJ35" s="42">
        <f t="shared" si="3"/>
        <v>-71.768471212625499</v>
      </c>
      <c r="AK35" s="42">
        <f t="shared" si="3"/>
        <v>-71</v>
      </c>
      <c r="AL35" s="42">
        <f t="shared" si="3"/>
        <v>-666.99826988679195</v>
      </c>
    </row>
    <row r="36" spans="1:39" ht="12.75" customHeight="1">
      <c r="C36" s="10" t="s">
        <v>419</v>
      </c>
      <c r="D36" s="42">
        <f t="shared" ref="D36:K38" si="6">D28-(D28-D32)*$K$2</f>
        <v>118.9957063063798</v>
      </c>
      <c r="E36" s="42">
        <f t="shared" si="6"/>
        <v>116.99043642969801</v>
      </c>
      <c r="F36" s="42">
        <f t="shared" si="6"/>
        <v>117.40582686578448</v>
      </c>
      <c r="G36" s="42">
        <f t="shared" si="6"/>
        <v>136.63176996298816</v>
      </c>
      <c r="H36" s="42">
        <f t="shared" si="6"/>
        <v>170.30377749210527</v>
      </c>
      <c r="I36" s="42">
        <f t="shared" si="6"/>
        <v>150.18295316783582</v>
      </c>
      <c r="J36" s="42">
        <f t="shared" si="6"/>
        <v>122.37989371526645</v>
      </c>
      <c r="K36" s="42">
        <f t="shared" si="6"/>
        <v>97.58564225682187</v>
      </c>
      <c r="L36" s="50">
        <f t="shared" si="1"/>
        <v>1030.47600619688</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 t="shared" si="6"/>
        <v>67.596501059613558</v>
      </c>
      <c r="E37" s="43">
        <f t="shared" si="6"/>
        <v>69.332684056448372</v>
      </c>
      <c r="F37" s="43">
        <f t="shared" si="6"/>
        <v>72.609433418550964</v>
      </c>
      <c r="G37" s="43">
        <f t="shared" si="6"/>
        <v>79.368338266410362</v>
      </c>
      <c r="H37" s="43">
        <f t="shared" si="6"/>
        <v>84.317479134504765</v>
      </c>
      <c r="I37" s="43">
        <f t="shared" si="6"/>
        <v>84.641346358196444</v>
      </c>
      <c r="J37" s="43">
        <f t="shared" si="6"/>
        <v>80.728014781566515</v>
      </c>
      <c r="K37" s="43">
        <f t="shared" si="6"/>
        <v>77.490070123441129</v>
      </c>
      <c r="L37" s="45">
        <f t="shared" si="1"/>
        <v>616.08386719873204</v>
      </c>
      <c r="S37" s="11" t="s">
        <v>417</v>
      </c>
      <c r="T37" s="337">
        <v>90</v>
      </c>
      <c r="U37" s="337">
        <v>89</v>
      </c>
      <c r="V37" s="337">
        <v>92</v>
      </c>
      <c r="W37" s="337">
        <v>92</v>
      </c>
      <c r="X37" s="337">
        <v>94</v>
      </c>
      <c r="Y37" s="337">
        <v>95</v>
      </c>
      <c r="Z37" s="337">
        <v>96</v>
      </c>
      <c r="AA37" s="337">
        <v>96</v>
      </c>
      <c r="AB37" s="338">
        <v>743</v>
      </c>
      <c r="AD37" s="43">
        <f t="shared" ref="AD37:AL38" si="7">D37-T37</f>
        <v>-22.403498940386442</v>
      </c>
      <c r="AE37" s="43">
        <f t="shared" si="7"/>
        <v>-19.667315943551628</v>
      </c>
      <c r="AF37" s="43">
        <f t="shared" si="7"/>
        <v>-19.390566581449036</v>
      </c>
      <c r="AG37" s="43">
        <f t="shared" si="7"/>
        <v>-12.631661733589638</v>
      </c>
      <c r="AH37" s="43">
        <f t="shared" si="7"/>
        <v>-9.6825208654952348</v>
      </c>
      <c r="AI37" s="43">
        <f t="shared" si="7"/>
        <v>-10.358653641803556</v>
      </c>
      <c r="AJ37" s="43">
        <f t="shared" si="7"/>
        <v>-15.271985218433485</v>
      </c>
      <c r="AK37" s="43">
        <f t="shared" si="7"/>
        <v>-18.509929876558871</v>
      </c>
      <c r="AL37" s="43">
        <f t="shared" si="7"/>
        <v>-126.91613280126796</v>
      </c>
    </row>
    <row r="38" spans="1:39" ht="12.75" customHeight="1">
      <c r="C38" s="12" t="s">
        <v>78</v>
      </c>
      <c r="D38" s="50">
        <f t="shared" si="6"/>
        <v>199.53190393724702</v>
      </c>
      <c r="E38" s="50">
        <f t="shared" si="6"/>
        <v>193.39784553888688</v>
      </c>
      <c r="F38" s="50">
        <f t="shared" si="6"/>
        <v>194.91913027430672</v>
      </c>
      <c r="G38" s="50">
        <f t="shared" si="6"/>
        <v>276.4468857291954</v>
      </c>
      <c r="H38" s="50">
        <f t="shared" si="6"/>
        <v>339.50145515515788</v>
      </c>
      <c r="I38" s="50">
        <f t="shared" si="6"/>
        <v>243.34923320955565</v>
      </c>
      <c r="J38" s="50">
        <f t="shared" si="6"/>
        <v>203.33943728420746</v>
      </c>
      <c r="K38" s="50">
        <f t="shared" si="6"/>
        <v>175.07571238026298</v>
      </c>
      <c r="L38" s="50">
        <f t="shared" si="1"/>
        <v>1825.5616035088199</v>
      </c>
      <c r="S38" s="12" t="s">
        <v>390</v>
      </c>
      <c r="T38" s="336">
        <v>201</v>
      </c>
      <c r="U38" s="336">
        <v>187</v>
      </c>
      <c r="V38" s="336">
        <v>198</v>
      </c>
      <c r="W38" s="336">
        <v>229</v>
      </c>
      <c r="X38" s="336">
        <v>260</v>
      </c>
      <c r="Y38" s="336">
        <v>179</v>
      </c>
      <c r="Z38" s="336">
        <v>167</v>
      </c>
      <c r="AA38" s="336">
        <v>166</v>
      </c>
      <c r="AB38" s="339">
        <v>1588</v>
      </c>
      <c r="AD38" s="50">
        <f t="shared" si="7"/>
        <v>-1.4680960627529771</v>
      </c>
      <c r="AE38" s="50">
        <f t="shared" si="7"/>
        <v>6.3978455388868838</v>
      </c>
      <c r="AF38" s="50">
        <f t="shared" si="7"/>
        <v>-3.080869725693276</v>
      </c>
      <c r="AG38" s="50">
        <f t="shared" si="7"/>
        <v>47.446885729195401</v>
      </c>
      <c r="AH38" s="50">
        <f t="shared" si="7"/>
        <v>79.501455155157885</v>
      </c>
      <c r="AI38" s="50">
        <f t="shared" si="7"/>
        <v>64.349233209555649</v>
      </c>
      <c r="AJ38" s="50">
        <f t="shared" si="7"/>
        <v>36.339437284207463</v>
      </c>
      <c r="AK38" s="50">
        <f t="shared" si="7"/>
        <v>9.0757123802629849</v>
      </c>
      <c r="AL38" s="50">
        <f t="shared" si="7"/>
        <v>237.56160350881987</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'GT workings 17-18'!D121</f>
        <v>59.712504981101475</v>
      </c>
      <c r="E40" s="43">
        <f>'GT workings 17-18'!E121</f>
        <v>60.94450086820251</v>
      </c>
      <c r="F40" s="43">
        <f>'GT workings 17-18'!F121</f>
        <v>63.877932008524226</v>
      </c>
      <c r="G40" s="43">
        <f>'GT workings 17-18'!G121</f>
        <v>93.907421891247139</v>
      </c>
      <c r="H40" s="43">
        <f>'GT workings 17-18'!H121</f>
        <v>109.46147793559663</v>
      </c>
      <c r="I40" s="43">
        <f>'GT workings 17-18'!I121</f>
        <v>74.998413516027682</v>
      </c>
      <c r="J40" s="43">
        <f>'GT workings 17-18'!J121</f>
        <v>65.089296911713703</v>
      </c>
      <c r="K40" s="43">
        <f>'GT workings 17-18'!K121</f>
        <v>60.038704349459636</v>
      </c>
      <c r="L40" s="45">
        <f>SUM(D40:K40)</f>
        <v>588.03025246187303</v>
      </c>
      <c r="S40" s="11" t="s">
        <v>79</v>
      </c>
      <c r="T40" s="337">
        <v>95</v>
      </c>
      <c r="U40" s="337">
        <v>88</v>
      </c>
      <c r="V40" s="337">
        <v>93</v>
      </c>
      <c r="W40" s="337">
        <v>108</v>
      </c>
      <c r="X40" s="337">
        <v>122</v>
      </c>
      <c r="Y40" s="337">
        <v>84</v>
      </c>
      <c r="Z40" s="337">
        <v>79</v>
      </c>
      <c r="AA40" s="337">
        <v>78</v>
      </c>
      <c r="AB40" s="338">
        <v>747</v>
      </c>
      <c r="AD40" s="43">
        <f t="shared" si="0"/>
        <v>-35.287495018898525</v>
      </c>
      <c r="AE40" s="43">
        <f t="shared" si="0"/>
        <v>-27.05549913179749</v>
      </c>
      <c r="AF40" s="43">
        <f t="shared" si="0"/>
        <v>-29.122067991475774</v>
      </c>
      <c r="AG40" s="43">
        <f t="shared" si="0"/>
        <v>-14.092578108752861</v>
      </c>
      <c r="AH40" s="43">
        <f t="shared" si="0"/>
        <v>-12.538522064403367</v>
      </c>
      <c r="AI40" s="43">
        <f t="shared" si="0"/>
        <v>-9.0015864839723179</v>
      </c>
      <c r="AJ40" s="43">
        <f t="shared" si="0"/>
        <v>-13.910703088286297</v>
      </c>
      <c r="AK40" s="43">
        <f t="shared" si="0"/>
        <v>-17.961295650540364</v>
      </c>
      <c r="AL40" s="43">
        <f t="shared" si="0"/>
        <v>-158.96974753812697</v>
      </c>
    </row>
    <row r="41" spans="1:39" ht="12.75" customHeight="1">
      <c r="C41" s="10" t="s">
        <v>80</v>
      </c>
      <c r="D41" s="42">
        <f>'GT workings 17-18'!D122</f>
        <v>108.01925058379031</v>
      </c>
      <c r="E41" s="42">
        <f>'GT workings 17-18'!E122</f>
        <v>110.24791730090567</v>
      </c>
      <c r="F41" s="42">
        <f>'GT workings 17-18'!F122</f>
        <v>115.55446127384721</v>
      </c>
      <c r="G41" s="42">
        <f>'GT workings 17-18'!G122</f>
        <v>169.87747106169431</v>
      </c>
      <c r="H41" s="42">
        <f>'GT workings 17-18'!H122</f>
        <v>198.01458368124787</v>
      </c>
      <c r="I41" s="42">
        <f>'GT workings 17-18'!I122</f>
        <v>135.67128737169054</v>
      </c>
      <c r="J41" s="42">
        <f>'GT workings 17-18'!J122</f>
        <v>117.74580677287535</v>
      </c>
      <c r="K41" s="42">
        <f>'GT workings 17-18'!K122</f>
        <v>108.60934157598879</v>
      </c>
      <c r="L41" s="50">
        <f>SUM(D41:K41)</f>
        <v>1063.7401196220401</v>
      </c>
      <c r="S41" s="10" t="s">
        <v>80</v>
      </c>
      <c r="T41" s="335">
        <v>107</v>
      </c>
      <c r="U41" s="335">
        <v>99</v>
      </c>
      <c r="V41" s="335">
        <v>105</v>
      </c>
      <c r="W41" s="335">
        <v>121</v>
      </c>
      <c r="X41" s="335">
        <v>138</v>
      </c>
      <c r="Y41" s="335">
        <v>95</v>
      </c>
      <c r="Z41" s="335">
        <v>89</v>
      </c>
      <c r="AA41" s="335">
        <v>88</v>
      </c>
      <c r="AB41" s="336">
        <v>842</v>
      </c>
      <c r="AD41" s="42">
        <f t="shared" si="0"/>
        <v>1.0192505837903099</v>
      </c>
      <c r="AE41" s="42">
        <f t="shared" si="0"/>
        <v>11.247917300905669</v>
      </c>
      <c r="AF41" s="42">
        <f t="shared" si="0"/>
        <v>10.55446127384721</v>
      </c>
      <c r="AG41" s="42">
        <f t="shared" si="0"/>
        <v>48.877471061694308</v>
      </c>
      <c r="AH41" s="42">
        <f t="shared" si="0"/>
        <v>60.014583681247871</v>
      </c>
      <c r="AI41" s="42">
        <f t="shared" si="0"/>
        <v>40.671287371690539</v>
      </c>
      <c r="AJ41" s="42">
        <f t="shared" si="0"/>
        <v>28.745806772875355</v>
      </c>
      <c r="AK41" s="42">
        <f t="shared" si="0"/>
        <v>20.609341575988793</v>
      </c>
      <c r="AL41" s="42">
        <f t="shared" si="0"/>
        <v>221.74011962204008</v>
      </c>
    </row>
    <row r="42" spans="1:39" ht="12.75" customHeight="1">
      <c r="C42" s="39" t="s">
        <v>420</v>
      </c>
      <c r="D42" s="45">
        <f>D41+D40</f>
        <v>167.73175556489178</v>
      </c>
      <c r="E42" s="45">
        <f t="shared" ref="E42:L42" si="8">E41+E40</f>
        <v>171.19241816910818</v>
      </c>
      <c r="F42" s="45">
        <f t="shared" si="8"/>
        <v>179.43239328237144</v>
      </c>
      <c r="G42" s="45">
        <f t="shared" si="8"/>
        <v>263.78489295294145</v>
      </c>
      <c r="H42" s="45">
        <f t="shared" si="8"/>
        <v>307.4760616168445</v>
      </c>
      <c r="I42" s="45">
        <f t="shared" si="8"/>
        <v>210.66970088771822</v>
      </c>
      <c r="J42" s="45">
        <f t="shared" si="8"/>
        <v>182.83510368458906</v>
      </c>
      <c r="K42" s="45">
        <f t="shared" si="8"/>
        <v>168.64804592544843</v>
      </c>
      <c r="L42" s="45">
        <f t="shared" si="8"/>
        <v>1651.7703720839131</v>
      </c>
      <c r="S42" s="39" t="s">
        <v>421</v>
      </c>
      <c r="T42" s="338">
        <v>201</v>
      </c>
      <c r="U42" s="338">
        <v>187</v>
      </c>
      <c r="V42" s="338">
        <v>198</v>
      </c>
      <c r="W42" s="338">
        <v>229</v>
      </c>
      <c r="X42" s="338">
        <v>260</v>
      </c>
      <c r="Y42" s="338">
        <v>179</v>
      </c>
      <c r="Z42" s="338">
        <v>167</v>
      </c>
      <c r="AA42" s="338">
        <v>166</v>
      </c>
      <c r="AB42" s="340">
        <v>1588</v>
      </c>
      <c r="AD42" s="45">
        <f t="shared" si="0"/>
        <v>-33.268244435108215</v>
      </c>
      <c r="AE42" s="45">
        <f t="shared" si="0"/>
        <v>-15.80758183089182</v>
      </c>
      <c r="AF42" s="45">
        <f t="shared" si="0"/>
        <v>-18.567606717628564</v>
      </c>
      <c r="AG42" s="45">
        <f t="shared" si="0"/>
        <v>34.784892952941448</v>
      </c>
      <c r="AH42" s="45">
        <f t="shared" si="0"/>
        <v>47.476061616844504</v>
      </c>
      <c r="AI42" s="45">
        <f t="shared" si="0"/>
        <v>31.669700887718221</v>
      </c>
      <c r="AJ42" s="45">
        <f t="shared" si="0"/>
        <v>15.835103684589058</v>
      </c>
      <c r="AK42" s="45">
        <f t="shared" si="0"/>
        <v>2.6480459254484288</v>
      </c>
      <c r="AL42" s="45">
        <f t="shared" si="0"/>
        <v>63.770372083913117</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'GT workings 17-18'!D123</f>
        <v>3.1800148372355217</v>
      </c>
      <c r="E44" s="43">
        <f>'GT workings 17-18'!E123</f>
        <v>2.2205427369778725</v>
      </c>
      <c r="F44" s="43">
        <f>'GT workings 17-18'!F123</f>
        <v>1.5486736991935306</v>
      </c>
      <c r="G44" s="43">
        <f>'GT workings 17-18'!G123</f>
        <v>1.2661992776253896</v>
      </c>
      <c r="H44" s="43">
        <f>'GT workings 17-18'!H123</f>
        <v>3.2025393538313374</v>
      </c>
      <c r="I44" s="43">
        <f>'GT workings 17-18'!I123</f>
        <v>3.2679532321837392</v>
      </c>
      <c r="J44" s="43">
        <f>'GT workings 17-18'!J123</f>
        <v>2.0504333599618434</v>
      </c>
      <c r="K44" s="43">
        <f>'GT workings 17-18'!K123</f>
        <v>0.64276664548145401</v>
      </c>
      <c r="L44" s="45">
        <f>SUM(D44:K44)</f>
        <v>17.379123142490688</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'GT workings 17-18'!D124</f>
        <v>28.620133535119706</v>
      </c>
      <c r="E45" s="42">
        <f>'GT workings 17-18'!E124</f>
        <v>19.984884632800846</v>
      </c>
      <c r="F45" s="42">
        <f>'GT workings 17-18'!F124</f>
        <v>13.938063292741772</v>
      </c>
      <c r="G45" s="42">
        <f>'GT workings 17-18'!G124</f>
        <v>11.395793498628507</v>
      </c>
      <c r="H45" s="42">
        <f>'GT workings 17-18'!H124</f>
        <v>28.822854184482036</v>
      </c>
      <c r="I45" s="42">
        <f>'GT workings 17-18'!I124</f>
        <v>29.41157908965366</v>
      </c>
      <c r="J45" s="42">
        <f>'GT workings 17-18'!J124</f>
        <v>18.453900239656594</v>
      </c>
      <c r="K45" s="42">
        <f>'GT workings 17-18'!K124</f>
        <v>5.7848998093330914</v>
      </c>
      <c r="L45" s="50">
        <f>SUM(D45:K45)</f>
        <v>156.41210828241623</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D45+D44</f>
        <v>31.800148372355228</v>
      </c>
      <c r="E46" s="45">
        <f t="shared" ref="E46:L46" si="9">E45+E44</f>
        <v>22.205427369778718</v>
      </c>
      <c r="F46" s="45">
        <f t="shared" si="9"/>
        <v>15.486736991935302</v>
      </c>
      <c r="G46" s="45">
        <f t="shared" si="9"/>
        <v>12.661992776253896</v>
      </c>
      <c r="H46" s="45">
        <f t="shared" si="9"/>
        <v>32.025393538313374</v>
      </c>
      <c r="I46" s="45">
        <f t="shared" si="9"/>
        <v>32.679532321837399</v>
      </c>
      <c r="J46" s="45">
        <f t="shared" si="9"/>
        <v>20.504333599618437</v>
      </c>
      <c r="K46" s="45">
        <f t="shared" si="9"/>
        <v>6.4276664548145455</v>
      </c>
      <c r="L46" s="45">
        <f t="shared" si="9"/>
        <v>173.79123142490693</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D41+D45</f>
        <v>136.63938411891002</v>
      </c>
      <c r="E48" s="44">
        <f t="shared" ref="E48:L48" si="10">E41+E45</f>
        <v>130.23280193370653</v>
      </c>
      <c r="F48" s="44">
        <f t="shared" si="10"/>
        <v>129.49252456658897</v>
      </c>
      <c r="G48" s="44">
        <f t="shared" si="10"/>
        <v>181.27326456032281</v>
      </c>
      <c r="H48" s="44">
        <f t="shared" si="10"/>
        <v>226.8374378657299</v>
      </c>
      <c r="I48" s="44">
        <f t="shared" si="10"/>
        <v>165.0828664613442</v>
      </c>
      <c r="J48" s="44">
        <f t="shared" si="10"/>
        <v>136.19970701253195</v>
      </c>
      <c r="K48" s="44">
        <f t="shared" si="10"/>
        <v>114.39424138532189</v>
      </c>
      <c r="L48" s="44">
        <f t="shared" si="10"/>
        <v>1220.1522279044564</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-19.360615881089984</v>
      </c>
      <c r="AE48" s="44">
        <f t="shared" si="0"/>
        <v>-62.767198066293474</v>
      </c>
      <c r="AF48" s="44">
        <f t="shared" si="0"/>
        <v>-170.50747543341103</v>
      </c>
      <c r="AG48" s="44">
        <f t="shared" si="0"/>
        <v>-223.72673543967719</v>
      </c>
      <c r="AH48" s="44">
        <f t="shared" si="0"/>
        <v>-300.1625621342701</v>
      </c>
      <c r="AI48" s="44">
        <f t="shared" si="0"/>
        <v>-302.91713353865578</v>
      </c>
      <c r="AJ48" s="44">
        <f t="shared" si="0"/>
        <v>-377.80029298746808</v>
      </c>
      <c r="AK48" s="44">
        <f t="shared" si="0"/>
        <v>-437.60575861467811</v>
      </c>
      <c r="AL48" s="44">
        <f t="shared" si="0"/>
        <v>-1893.8477720955436</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'GT workings 17-18'!D135</f>
        <v>4562.0597731988728</v>
      </c>
      <c r="E52" s="41">
        <f>D56</f>
        <v>4634.727634619122</v>
      </c>
      <c r="F52" s="41">
        <f t="shared" ref="F52:K52" si="11">E56</f>
        <v>4641.5668771853752</v>
      </c>
      <c r="G52" s="41">
        <f t="shared" si="11"/>
        <v>4689.3234252069342</v>
      </c>
      <c r="H52" s="41">
        <f t="shared" si="11"/>
        <v>4825.0584920819147</v>
      </c>
      <c r="I52" s="41">
        <f t="shared" si="11"/>
        <v>4962.5228022480842</v>
      </c>
      <c r="J52" s="41">
        <f t="shared" si="11"/>
        <v>4984.7531493356819</v>
      </c>
      <c r="K52" s="41">
        <f t="shared" si="11"/>
        <v>4955.6741514230434</v>
      </c>
    </row>
    <row r="53" spans="1:14">
      <c r="C53" s="10" t="s">
        <v>86</v>
      </c>
      <c r="D53" s="42">
        <f>'GT workings 17-18'!D136</f>
        <v>218.87919995748223</v>
      </c>
      <c r="E53" s="42">
        <f>'GT workings 17-18'!E136</f>
        <v>156.24182768489774</v>
      </c>
      <c r="F53" s="42">
        <f>'GT workings 17-18'!F136</f>
        <v>198.95843811555545</v>
      </c>
      <c r="G53" s="42">
        <f>'GT workings 17-18'!G136</f>
        <v>289.68551995390033</v>
      </c>
      <c r="H53" s="42">
        <f>'GT workings 17-18'!H136</f>
        <v>296.17948360419837</v>
      </c>
      <c r="I53" s="42">
        <f>'GT workings 17-18'!I136</f>
        <v>185.85455118807522</v>
      </c>
      <c r="J53" s="42">
        <f>'GT workings 17-18'!J136</f>
        <v>137.00257168548552</v>
      </c>
      <c r="K53" s="42">
        <f>'GT workings 17-18'!K136</f>
        <v>114.38648340521722</v>
      </c>
    </row>
    <row r="54" spans="1:14">
      <c r="C54" s="11" t="s">
        <v>92</v>
      </c>
      <c r="D54" s="42">
        <f>'GT workings 17-18'!D167</f>
        <v>-146.2113385372329</v>
      </c>
      <c r="E54" s="42">
        <f>'GT workings 17-18'!E167</f>
        <v>-144.85340732479523</v>
      </c>
      <c r="F54" s="42">
        <f>'GT workings 17-18'!F167</f>
        <v>-143.75882243451284</v>
      </c>
      <c r="G54" s="42">
        <f>'GT workings 17-18'!G167</f>
        <v>-143.62994616195874</v>
      </c>
      <c r="H54" s="42">
        <f>'GT workings 17-18'!H167</f>
        <v>-144.36654415261825</v>
      </c>
      <c r="I54" s="42">
        <f>'GT workings 17-18'!I167</f>
        <v>-144.23491526205311</v>
      </c>
      <c r="J54" s="42">
        <f>'GT workings 17-18'!J167</f>
        <v>-143.02394501567159</v>
      </c>
      <c r="K54" s="42">
        <f>'GT workings 17-18'!K167</f>
        <v>-141.36922321253945</v>
      </c>
    </row>
    <row r="55" spans="1:14">
      <c r="C55" s="10" t="s">
        <v>93</v>
      </c>
      <c r="D55" s="42">
        <f>'GT workings 17-18'!D168</f>
        <v>0</v>
      </c>
      <c r="E55" s="42">
        <f>'GT workings 17-18'!E168</f>
        <v>-4.5491777938482718</v>
      </c>
      <c r="F55" s="42">
        <f>'GT workings 17-18'!F168</f>
        <v>-7.4430676594838694</v>
      </c>
      <c r="G55" s="42">
        <f>'GT workings 17-18'!G168</f>
        <v>-10.320506916961298</v>
      </c>
      <c r="H55" s="42">
        <f>'GT workings 17-18'!H168</f>
        <v>-14.34862928541059</v>
      </c>
      <c r="I55" s="42">
        <f>'GT workings 17-18'!I168</f>
        <v>-19.389288838424484</v>
      </c>
      <c r="J55" s="42">
        <f>'GT workings 17-18'!J168</f>
        <v>-23.057624582452029</v>
      </c>
      <c r="K55" s="42">
        <f>'GT workings 17-18'!K168</f>
        <v>-26.08411233872819</v>
      </c>
      <c r="N55" s="132" t="s">
        <v>301</v>
      </c>
    </row>
    <row r="56" spans="1:14" ht="13.8" thickBot="1">
      <c r="C56" s="23" t="s">
        <v>94</v>
      </c>
      <c r="D56" s="44">
        <f>SUM(D52:D55)</f>
        <v>4634.727634619122</v>
      </c>
      <c r="E56" s="44">
        <f t="shared" ref="E56:K56" si="12">SUM(E52:E55)</f>
        <v>4641.5668771853752</v>
      </c>
      <c r="F56" s="44">
        <f t="shared" si="12"/>
        <v>4689.3234252069342</v>
      </c>
      <c r="G56" s="44">
        <f t="shared" si="12"/>
        <v>4825.0584920819147</v>
      </c>
      <c r="H56" s="44">
        <f t="shared" si="12"/>
        <v>4962.5228022480842</v>
      </c>
      <c r="I56" s="44">
        <f t="shared" si="12"/>
        <v>4984.7531493356819</v>
      </c>
      <c r="J56" s="44">
        <f t="shared" si="12"/>
        <v>4955.6741514230434</v>
      </c>
      <c r="K56" s="44">
        <f t="shared" si="12"/>
        <v>4902.6072992769932</v>
      </c>
      <c r="N56" s="133">
        <f>(K56/D56)^(1/7)-1</f>
        <v>8.0594080024629644E-3</v>
      </c>
    </row>
    <row r="58" spans="1:14">
      <c r="D58" s="53">
        <f>D56-D65-D66</f>
        <v>0</v>
      </c>
      <c r="E58" s="53">
        <f t="shared" ref="E58:K58" si="13">E56-E65-E66</f>
        <v>-1.5916157281026244E-12</v>
      </c>
      <c r="F58" s="53">
        <f t="shared" si="13"/>
        <v>-1.6484591469634324E-12</v>
      </c>
      <c r="G58" s="53">
        <f t="shared" si="13"/>
        <v>-9.6633812063373625E-13</v>
      </c>
      <c r="H58" s="53">
        <f t="shared" si="13"/>
        <v>-1.3358203432289883E-12</v>
      </c>
      <c r="I58" s="53">
        <f t="shared" si="13"/>
        <v>-3.5527136788005009E-14</v>
      </c>
      <c r="J58" s="53">
        <f t="shared" si="13"/>
        <v>-1.4155343563970746E-13</v>
      </c>
      <c r="K58" s="53">
        <f t="shared" si="13"/>
        <v>0</v>
      </c>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'GT workings 17-18'!D59</f>
        <v>4014.3985484751774</v>
      </c>
      <c r="E61" s="41">
        <f>'GT workings 17-18'!E59</f>
        <v>4319.2414651580702</v>
      </c>
      <c r="F61" s="41">
        <f>'GT workings 17-18'!F59</f>
        <v>4309.3651497654646</v>
      </c>
      <c r="G61" s="41">
        <f>'GT workings 17-18'!G59</f>
        <v>4297.832555337659</v>
      </c>
      <c r="H61" s="41">
        <f>'GT workings 17-18'!H59</f>
        <v>4349.2363516300566</v>
      </c>
      <c r="I61" s="41">
        <f>'GT workings 17-18'!I59</f>
        <v>4893.1729985295124</v>
      </c>
      <c r="J61" s="41">
        <f>'GT workings 17-18'!J59</f>
        <v>4963.9737066288462</v>
      </c>
      <c r="K61" s="41">
        <f>'GT workings 17-18'!K59</f>
        <v>4954.8635287699854</v>
      </c>
    </row>
    <row r="62" spans="1:14">
      <c r="C62" s="10" t="s">
        <v>85</v>
      </c>
      <c r="D62" s="42">
        <f>'GT workings 17-18'!D60</f>
        <v>238.90848777994489</v>
      </c>
      <c r="E62" s="42">
        <f>'GT workings 17-18'!E60</f>
        <v>1.5889649604528906</v>
      </c>
      <c r="F62" s="42">
        <f>'GT workings 17-18'!F60</f>
        <v>1.9371656435515117</v>
      </c>
      <c r="G62" s="42">
        <f>'GT workings 17-18'!G60</f>
        <v>14.654700839030934</v>
      </c>
      <c r="H62" s="42">
        <f>'GT workings 17-18'!H60</f>
        <v>475.82214045185901</v>
      </c>
      <c r="I62" s="42">
        <f>'GT workings 17-18'!I60</f>
        <v>69.349803718573156</v>
      </c>
      <c r="J62" s="42">
        <f>'GT workings 17-18'!J60</f>
        <v>20.779442706835688</v>
      </c>
      <c r="K62" s="42">
        <f>'GT workings 17-18'!K60</f>
        <v>0.81062265305823133</v>
      </c>
    </row>
    <row r="63" spans="1:14">
      <c r="C63" s="11" t="s">
        <v>86</v>
      </c>
      <c r="D63" s="43">
        <f>'GT workings 17-18'!D62</f>
        <v>204.71300072317223</v>
      </c>
      <c r="E63" s="43">
        <f>'GT workings 17-18'!E62</f>
        <v>130.22504395360187</v>
      </c>
      <c r="F63" s="43">
        <f>'GT workings 17-18'!F62</f>
        <v>129.48476658648431</v>
      </c>
      <c r="G63" s="43">
        <f>'GT workings 17-18'!G62</f>
        <v>181.26550658021816</v>
      </c>
      <c r="H63" s="43">
        <f>'GT workings 17-18'!H62</f>
        <v>226.82967988562524</v>
      </c>
      <c r="I63" s="43">
        <f>'GT workings 17-18'!I62</f>
        <v>165.07510848123954</v>
      </c>
      <c r="J63" s="43">
        <f>'GT workings 17-18'!J62</f>
        <v>136.19194903242729</v>
      </c>
      <c r="K63" s="43">
        <f>'GT workings 17-18'!K62</f>
        <v>114.38648340521722</v>
      </c>
    </row>
    <row r="64" spans="1:14">
      <c r="C64" s="10" t="s">
        <v>87</v>
      </c>
      <c r="D64" s="42">
        <f>'GT workings 17-18'!D63</f>
        <v>-138.77857182022461</v>
      </c>
      <c r="E64" s="42">
        <f>'GT workings 17-18'!E63</f>
        <v>-141.69032430666061</v>
      </c>
      <c r="F64" s="42">
        <f>'GT workings 17-18'!F63</f>
        <v>-142.95452665784171</v>
      </c>
      <c r="G64" s="42">
        <f>'GT workings 17-18'!G63</f>
        <v>-144.51641112685095</v>
      </c>
      <c r="H64" s="42">
        <f>'GT workings 17-18'!H63</f>
        <v>-158.71517343802884</v>
      </c>
      <c r="I64" s="42">
        <f>'GT workings 17-18'!I63</f>
        <v>-163.62420410047758</v>
      </c>
      <c r="J64" s="42">
        <f>'GT workings 17-18'!J63</f>
        <v>-166.08156959812362</v>
      </c>
      <c r="K64" s="42">
        <f>'GT workings 17-18'!K63</f>
        <v>-167.45333555126766</v>
      </c>
    </row>
    <row r="65" spans="1:14">
      <c r="C65" s="39" t="s">
        <v>94</v>
      </c>
      <c r="D65" s="45">
        <f>SUM(D61:D64)</f>
        <v>4319.2414651580702</v>
      </c>
      <c r="E65" s="45">
        <f t="shared" ref="E65:K65" si="14">SUM(E61:E64)</f>
        <v>4309.3651497654646</v>
      </c>
      <c r="F65" s="45">
        <f t="shared" si="14"/>
        <v>4297.832555337659</v>
      </c>
      <c r="G65" s="45">
        <f t="shared" si="14"/>
        <v>4349.2363516300566</v>
      </c>
      <c r="H65" s="45">
        <f t="shared" si="14"/>
        <v>4893.1729985295124</v>
      </c>
      <c r="I65" s="45">
        <f t="shared" si="14"/>
        <v>4963.9737066288462</v>
      </c>
      <c r="J65" s="45">
        <f t="shared" si="14"/>
        <v>4954.8635287699854</v>
      </c>
      <c r="K65" s="45">
        <f t="shared" si="14"/>
        <v>4902.6072992769932</v>
      </c>
    </row>
    <row r="66" spans="1:14">
      <c r="C66" s="10" t="s">
        <v>89</v>
      </c>
      <c r="D66" s="42">
        <f>'GT workings 17-18'!D133</f>
        <v>315.48616946105216</v>
      </c>
      <c r="E66" s="42">
        <f>'GT workings 17-18'!E133</f>
        <v>332.20172741991223</v>
      </c>
      <c r="F66" s="42">
        <f>'GT workings 17-18'!F133</f>
        <v>391.49086986927688</v>
      </c>
      <c r="G66" s="42">
        <f>'GT workings 17-18'!G133</f>
        <v>475.82214045185907</v>
      </c>
      <c r="H66" s="42">
        <f>'GT workings 17-18'!H133</f>
        <v>69.349803718573156</v>
      </c>
      <c r="I66" s="42">
        <f>'GT workings 17-18'!I133</f>
        <v>20.779442706835688</v>
      </c>
      <c r="J66" s="42">
        <f>'GT workings 17-18'!J133</f>
        <v>0.81062265305823133</v>
      </c>
      <c r="K66" s="42">
        <f>'GT workings 17-18'!K133</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'GT workings 17-18'!D75</f>
        <v>62.892519818336993</v>
      </c>
      <c r="E70" s="42">
        <f>'GT workings 17-18'!E75</f>
        <v>63.165043605180387</v>
      </c>
      <c r="F70" s="42">
        <f>'GT workings 17-18'!F75</f>
        <v>65.426605707717755</v>
      </c>
      <c r="G70" s="42">
        <f>'GT workings 17-18'!G75</f>
        <v>95.173621168872529</v>
      </c>
      <c r="H70" s="42">
        <f>'GT workings 17-18'!H75</f>
        <v>112.66401728942797</v>
      </c>
      <c r="I70" s="42">
        <f>'GT workings 17-18'!I75</f>
        <v>78.266366748211425</v>
      </c>
      <c r="J70" s="42">
        <f>'GT workings 17-18'!J75</f>
        <v>67.139730271675546</v>
      </c>
      <c r="K70" s="42">
        <f>'GT workings 17-18'!K75</f>
        <v>60.681470994941087</v>
      </c>
    </row>
    <row r="71" spans="1:14">
      <c r="C71" s="11" t="s">
        <v>98</v>
      </c>
      <c r="D71" s="43">
        <f>'GT workings 17-18'!D76</f>
        <v>110.11544616012048</v>
      </c>
      <c r="E71" s="43">
        <f>'GT workings 17-18'!E76</f>
        <v>110.29121834911521</v>
      </c>
      <c r="F71" s="43">
        <f>'GT workings 17-18'!F76</f>
        <v>110.32860169190292</v>
      </c>
      <c r="G71" s="43">
        <f>'GT workings 17-18'!G76</f>
        <v>110.3596633646699</v>
      </c>
      <c r="H71" s="43">
        <f>'GT workings 17-18'!H76</f>
        <v>110.27343835902431</v>
      </c>
      <c r="I71" s="43">
        <f>'GT workings 17-18'!I76</f>
        <v>110.27662588032852</v>
      </c>
      <c r="J71" s="43">
        <f>'GT workings 17-18'!J76</f>
        <v>110.30420904525512</v>
      </c>
      <c r="K71" s="43">
        <f>'GT workings 17-18'!K76</f>
        <v>110.31067350058066</v>
      </c>
    </row>
    <row r="72" spans="1:14">
      <c r="C72" s="10" t="s">
        <v>99</v>
      </c>
      <c r="D72" s="42">
        <f>'GT workings 17-18'!D145</f>
        <v>40.732299345663577</v>
      </c>
      <c r="E72" s="42">
        <f>'GT workings 17-18'!E145</f>
        <v>41.126253271024638</v>
      </c>
      <c r="F72" s="42">
        <f>'GT workings 17-18'!F145</f>
        <v>64.595975561248082</v>
      </c>
      <c r="G72" s="42">
        <f>'GT workings 17-18'!G145</f>
        <v>65.205446389282784</v>
      </c>
      <c r="H72" s="42">
        <f>'GT workings 17-18'!H145</f>
        <v>65.622359158650369</v>
      </c>
      <c r="I72" s="42">
        <f>'GT workings 17-18'!I145</f>
        <v>66.159625368311794</v>
      </c>
      <c r="J72" s="42">
        <f>'GT workings 17-18'!J145</f>
        <v>66.818046434978655</v>
      </c>
      <c r="K72" s="42">
        <f>'GT workings 17-18'!K145</f>
        <v>67.298455331145519</v>
      </c>
    </row>
    <row r="73" spans="1:14">
      <c r="C73" s="11" t="s">
        <v>100</v>
      </c>
      <c r="D73" s="43">
        <f>'GT workings 17-18'!D79</f>
        <v>0</v>
      </c>
      <c r="E73" s="43">
        <f>'GT workings 17-18'!E79</f>
        <v>0</v>
      </c>
      <c r="F73" s="43">
        <f>'GT workings 17-18'!F79</f>
        <v>0</v>
      </c>
      <c r="G73" s="43">
        <f>'GT workings 17-18'!G79</f>
        <v>0</v>
      </c>
      <c r="H73" s="43">
        <f>'GT workings 17-18'!H79</f>
        <v>0</v>
      </c>
      <c r="I73" s="43">
        <f>'GT workings 17-18'!I79</f>
        <v>0</v>
      </c>
      <c r="J73" s="43">
        <f>'GT workings 17-18'!J79</f>
        <v>0</v>
      </c>
      <c r="K73" s="43">
        <f>'GT workings 17-18'!K79</f>
        <v>0</v>
      </c>
    </row>
    <row r="74" spans="1:14">
      <c r="C74" s="10" t="s">
        <v>101</v>
      </c>
      <c r="D74" s="42">
        <f>'GT workings 17-18'!D80</f>
        <v>-1.1295718210052885</v>
      </c>
      <c r="E74" s="42">
        <f>'GT workings 17-18'!E80</f>
        <v>-1.1444007312827333</v>
      </c>
      <c r="F74" s="42">
        <f>'GT workings 17-18'!F80</f>
        <v>-1.1763817360750841</v>
      </c>
      <c r="G74" s="42">
        <f>'GT workings 17-18'!G80</f>
        <v>-1.5927557463957547</v>
      </c>
      <c r="H74" s="42">
        <f>'GT workings 17-18'!H80</f>
        <v>-1.8565667598967899</v>
      </c>
      <c r="I74" s="42">
        <f>'GT workings 17-18'!I80</f>
        <v>-1.2720416735170972</v>
      </c>
      <c r="J74" s="42">
        <f>'GT workings 17-18'!J80</f>
        <v>-1.1039739947823479</v>
      </c>
      <c r="K74" s="42">
        <f>'GT workings 17-18'!K80</f>
        <v>-1.018311326547777</v>
      </c>
    </row>
    <row r="75" spans="1:14">
      <c r="C75" s="11" t="s">
        <v>102</v>
      </c>
      <c r="D75" s="43">
        <f>'GT workings 17-18'!D82</f>
        <v>9.4360462313909768</v>
      </c>
      <c r="E75" s="43">
        <f>'GT workings 17-18'!E82</f>
        <v>11.740216183090423</v>
      </c>
      <c r="F75" s="43">
        <f>'GT workings 17-18'!F82</f>
        <v>14.854232411461277</v>
      </c>
      <c r="G75" s="43">
        <f>'GT workings 17-18'!G82</f>
        <v>21.982933795297036</v>
      </c>
      <c r="H75" s="43">
        <f>'GT workings 17-18'!H82</f>
        <v>27.815638481774076</v>
      </c>
      <c r="I75" s="43">
        <f>'GT workings 17-18'!I82</f>
        <v>21.506622795562084</v>
      </c>
      <c r="J75" s="43">
        <f>'GT workings 17-18'!J82</f>
        <v>22.999644235375552</v>
      </c>
      <c r="K75" s="43">
        <f>'GT workings 17-18'!K82</f>
        <v>26.330197352302296</v>
      </c>
    </row>
    <row r="76" spans="1:14">
      <c r="C76" s="10" t="s">
        <v>103</v>
      </c>
      <c r="D76" s="42">
        <f>'GT workings 17-18'!D77+'GT workings 17-18'!D78</f>
        <v>322.34268795718714</v>
      </c>
      <c r="E76" s="42">
        <f>'GT workings 17-18'!E77+'GT workings 17-18'!E78</f>
        <v>321.34874738074745</v>
      </c>
      <c r="F76" s="42">
        <f>'GT workings 17-18'!F77+'GT workings 17-18'!F78</f>
        <v>317.78202162491465</v>
      </c>
      <c r="G76" s="42">
        <f>'GT workings 17-18'!G77+'GT workings 17-18'!G78</f>
        <v>315.96759523656419</v>
      </c>
      <c r="H76" s="42">
        <f>'GT workings 17-18'!H77+'GT workings 17-18'!H78</f>
        <v>346.39338890117995</v>
      </c>
      <c r="I76" s="42">
        <f>'GT workings 17-18'!I77+'GT workings 17-18'!I78</f>
        <v>355.34983193739083</v>
      </c>
      <c r="J76" s="42">
        <f>'GT workings 17-18'!J77+'GT workings 17-18'!J78</f>
        <v>358.072295395396</v>
      </c>
      <c r="K76" s="42">
        <f>'GT workings 17-18'!K77+'GT workings 17-18'!K78</f>
        <v>357.88174823496462</v>
      </c>
    </row>
    <row r="77" spans="1:14">
      <c r="C77" s="11" t="s">
        <v>104</v>
      </c>
      <c r="D77" s="43">
        <f>'GT workings 17-18'!D153</f>
        <v>-9.8631906988581406</v>
      </c>
      <c r="E77" s="43">
        <f>'GT workings 17-18'!E153</f>
        <v>-9.1771263035596125</v>
      </c>
      <c r="F77" s="43">
        <f>'GT workings 17-18'!F153</f>
        <v>-8.9830722247633616</v>
      </c>
      <c r="G77" s="43">
        <f>'GT workings 17-18'!G153</f>
        <v>-8.6817387658381833</v>
      </c>
      <c r="H77" s="43">
        <f>'GT workings 17-18'!H153</f>
        <v>10.426917770256935</v>
      </c>
      <c r="I77" s="43">
        <f>'GT workings 17-18'!I153</f>
        <v>10.955602657460803</v>
      </c>
      <c r="J77" s="43">
        <f>'GT workings 17-18'!J153</f>
        <v>11.50510451209832</v>
      </c>
      <c r="K77" s="43">
        <f>'GT workings 17-18'!K153</f>
        <v>12.076243002262192</v>
      </c>
    </row>
    <row r="78" spans="1:14">
      <c r="C78" s="12" t="s">
        <v>105</v>
      </c>
      <c r="D78" s="50">
        <f>SUM(D70:D77)</f>
        <v>534.52623699283572</v>
      </c>
      <c r="E78" s="50">
        <f t="shared" ref="E78:K78" si="15">SUM(E70:E77)</f>
        <v>537.34995175431573</v>
      </c>
      <c r="F78" s="50">
        <f t="shared" si="15"/>
        <v>562.82798303640629</v>
      </c>
      <c r="G78" s="50">
        <f t="shared" si="15"/>
        <v>598.41476544245245</v>
      </c>
      <c r="H78" s="50">
        <f t="shared" si="15"/>
        <v>671.33919320041684</v>
      </c>
      <c r="I78" s="50">
        <f t="shared" si="15"/>
        <v>641.24263371374832</v>
      </c>
      <c r="J78" s="50">
        <f t="shared" si="15"/>
        <v>635.73505589999695</v>
      </c>
      <c r="K78" s="50">
        <f t="shared" si="15"/>
        <v>633.56047708964866</v>
      </c>
    </row>
    <row r="79" spans="1:14">
      <c r="C79" s="11" t="s">
        <v>106</v>
      </c>
      <c r="D79" s="43">
        <f>'GT workings 17-18'!D89</f>
        <v>3.5</v>
      </c>
      <c r="E79" s="43">
        <f>'GT workings 17-18'!E89</f>
        <v>2.9</v>
      </c>
      <c r="F79" s="43">
        <f>'GT workings 17-18'!F89</f>
        <v>3</v>
      </c>
      <c r="G79" s="43">
        <f>'GT workings 17-18'!G89</f>
        <v>3.1</v>
      </c>
      <c r="H79" s="43">
        <f>'GT workings 17-18'!H89</f>
        <v>3</v>
      </c>
      <c r="I79" s="43">
        <f>'GT workings 17-18'!I89</f>
        <v>3</v>
      </c>
      <c r="J79" s="43">
        <f>'GT workings 17-18'!J89</f>
        <v>3</v>
      </c>
      <c r="K79" s="43">
        <f>'GT workings 17-18'!K89</f>
        <v>3</v>
      </c>
      <c r="N79" s="132" t="s">
        <v>301</v>
      </c>
    </row>
    <row r="80" spans="1:14" ht="13.8" thickBot="1">
      <c r="A80" s="38"/>
      <c r="C80" s="13" t="s">
        <v>107</v>
      </c>
      <c r="D80" s="52">
        <f>D78+D79</f>
        <v>538.02623699283572</v>
      </c>
      <c r="E80" s="52">
        <f t="shared" ref="E80:K80" si="16">E78+E79</f>
        <v>540.2499517543157</v>
      </c>
      <c r="F80" s="52">
        <f t="shared" si="16"/>
        <v>565.82798303640629</v>
      </c>
      <c r="G80" s="52">
        <f t="shared" si="16"/>
        <v>601.51476544245247</v>
      </c>
      <c r="H80" s="52">
        <f t="shared" si="16"/>
        <v>674.33919320041684</v>
      </c>
      <c r="I80" s="52">
        <f t="shared" si="16"/>
        <v>644.24263371374832</v>
      </c>
      <c r="J80" s="52">
        <f t="shared" si="16"/>
        <v>638.73505589999695</v>
      </c>
      <c r="K80" s="52">
        <f t="shared" si="16"/>
        <v>636.56047708964866</v>
      </c>
      <c r="N80" s="133">
        <f>(K80/D80)^(1/7)-1</f>
        <v>2.4315501392105476E-2</v>
      </c>
    </row>
    <row r="82" spans="3:14" ht="13.8" thickBot="1">
      <c r="D82" s="109">
        <f>'GT workings 17-18'!D90-D80</f>
        <v>4.1599043994908698</v>
      </c>
      <c r="E82" s="109">
        <f>'GT workings 17-18'!E90-E80</f>
        <v>13.237370977127057</v>
      </c>
      <c r="F82" s="109">
        <f>'GT workings 17-18'!F90-F80</f>
        <v>-4.9597439107672017</v>
      </c>
      <c r="G82" s="109">
        <f>'GT workings 17-18'!G90-G80</f>
        <v>-7.3824516551070474</v>
      </c>
      <c r="H82" s="109">
        <f>'GT workings 17-18'!H90-H80</f>
        <v>-6.8020498409666743</v>
      </c>
      <c r="I82" s="109">
        <f>'GT workings 17-18'!I90-I80</f>
        <v>-14.372674077336114</v>
      </c>
      <c r="J82" s="109">
        <f>'GT workings 17-18'!J90-J80</f>
        <v>-14.010586665769665</v>
      </c>
      <c r="K82" s="109">
        <f>'GT workings 17-18'!K90-K80</f>
        <v>-13.222347244681146</v>
      </c>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42</v>
      </c>
      <c r="D85" s="126">
        <f>'GT workings 17-18'!D15</f>
        <v>25.459307795372435</v>
      </c>
      <c r="E85" s="126">
        <f>'GT workings 17-18'!E15</f>
        <v>14.41280752104567</v>
      </c>
      <c r="F85" s="126">
        <f>'GT workings 17-18'!F15</f>
        <v>9.6173202079823099</v>
      </c>
      <c r="G85" s="126">
        <f>'GT workings 17-18'!G15</f>
        <v>60.446777499796859</v>
      </c>
      <c r="H85" s="126">
        <f>'GT workings 17-18'!H15</f>
        <v>84.880198528547851</v>
      </c>
      <c r="I85" s="126">
        <f>'GT workings 17-18'!I15</f>
        <v>8.5249336835233791</v>
      </c>
      <c r="J85" s="126">
        <f>'GT workings 17-18'!J15</f>
        <v>0.23152878737450566</v>
      </c>
      <c r="K85" s="126">
        <f>'GT workings 17-18'!K15</f>
        <v>0</v>
      </c>
      <c r="L85" s="126">
        <f>SUM(D85:K85)</f>
        <v>203.57287402364304</v>
      </c>
      <c r="M85" s="53">
        <f t="shared" ref="M85:M90" si="17">E3</f>
        <v>0.20357287402364305</v>
      </c>
      <c r="N85" s="53"/>
    </row>
    <row r="86" spans="3:14">
      <c r="C86" s="17" t="s">
        <v>43</v>
      </c>
      <c r="D86" s="126">
        <f>'GT workings 17-18'!D16</f>
        <v>97.132518315217595</v>
      </c>
      <c r="E86" s="126">
        <f>'GT workings 17-18'!E16</f>
        <v>109.87971241227922</v>
      </c>
      <c r="F86" s="126">
        <f>'GT workings 17-18'!F16</f>
        <v>114.43672637584547</v>
      </c>
      <c r="G86" s="126">
        <f>'GT workings 17-18'!G16</f>
        <v>123.96977718673423</v>
      </c>
      <c r="H86" s="126">
        <f>'GT workings 17-18'!H16</f>
        <v>138.27838395379189</v>
      </c>
      <c r="I86" s="126">
        <f>'GT workings 17-18'!I16</f>
        <v>117.50342084599842</v>
      </c>
      <c r="J86" s="126">
        <f>'GT workings 17-18'!J16</f>
        <v>101.87556011564801</v>
      </c>
      <c r="K86" s="126">
        <f>'GT workings 17-18'!K16</f>
        <v>91.157975802007329</v>
      </c>
      <c r="L86" s="126">
        <f>SUM(D86:K86)</f>
        <v>894.23407500752216</v>
      </c>
      <c r="M86" s="53">
        <f t="shared" si="17"/>
        <v>0.89423407500752217</v>
      </c>
      <c r="N86" s="53"/>
    </row>
    <row r="87" spans="3:14">
      <c r="C87" s="18" t="s">
        <v>44</v>
      </c>
      <c r="D87" s="128">
        <f>'GT workings 17-18'!D20</f>
        <v>26.86365188906883</v>
      </c>
      <c r="E87" s="128">
        <f>'GT workings 17-18'!E20</f>
        <v>18.171864188371163</v>
      </c>
      <c r="F87" s="128">
        <f>'GT workings 17-18'!F20</f>
        <v>10.751052755971946</v>
      </c>
      <c r="G87" s="128">
        <f>'GT workings 17-18'!G20</f>
        <v>12.661992776253896</v>
      </c>
      <c r="H87" s="128">
        <f>'GT workings 17-18'!H20</f>
        <v>32.025393538313374</v>
      </c>
      <c r="I87" s="128">
        <f>'GT workings 17-18'!I20</f>
        <v>32.679532321837399</v>
      </c>
      <c r="J87" s="128">
        <f>'GT workings 17-18'!J20</f>
        <v>20.504333599618437</v>
      </c>
      <c r="K87" s="128">
        <f>'GT workings 17-18'!K20</f>
        <v>6.4276664548145455</v>
      </c>
      <c r="L87" s="128">
        <f t="shared" ref="L87:L101" si="18">SUM(D87:K87)</f>
        <v>160.0854875242496</v>
      </c>
      <c r="M87" s="53">
        <f t="shared" si="17"/>
        <v>0.16008548752424961</v>
      </c>
      <c r="N87" s="53"/>
    </row>
    <row r="88" spans="3:14">
      <c r="C88" s="17" t="s">
        <v>408</v>
      </c>
      <c r="D88" s="126">
        <f>'GT workings 17-18'!D21</f>
        <v>0</v>
      </c>
      <c r="E88" s="126">
        <f>'GT workings 17-18'!E21</f>
        <v>0</v>
      </c>
      <c r="F88" s="126">
        <f>'GT workings 17-18'!F21</f>
        <v>0</v>
      </c>
      <c r="G88" s="126">
        <f>'GT workings 17-18'!G21</f>
        <v>0</v>
      </c>
      <c r="H88" s="126">
        <f>'GT workings 17-18'!H21</f>
        <v>0</v>
      </c>
      <c r="I88" s="126">
        <f>'GT workings 17-18'!I21</f>
        <v>0</v>
      </c>
      <c r="J88" s="126">
        <f>'GT workings 17-18'!J21</f>
        <v>0</v>
      </c>
      <c r="K88" s="126">
        <f>'GT workings 17-18'!K21</f>
        <v>0</v>
      </c>
      <c r="L88" s="126">
        <f t="shared" si="18"/>
        <v>0</v>
      </c>
      <c r="M88" s="53">
        <f t="shared" si="17"/>
        <v>0</v>
      </c>
      <c r="N88" s="53"/>
    </row>
    <row r="89" spans="3:14">
      <c r="C89" s="18" t="s">
        <v>46</v>
      </c>
      <c r="D89" s="127">
        <f>'GT workings 17-18'!D17</f>
        <v>64.482672010544718</v>
      </c>
      <c r="E89" s="127">
        <f>'GT workings 17-18'!E17</f>
        <v>65.237874215180156</v>
      </c>
      <c r="F89" s="127">
        <f>'GT workings 17-18'!F17</f>
        <v>70.772894725011071</v>
      </c>
      <c r="G89" s="127">
        <f>'GT workings 17-18'!G17</f>
        <v>79.368338266410362</v>
      </c>
      <c r="H89" s="127">
        <f>'GT workings 17-18'!H17</f>
        <v>84.317479134504765</v>
      </c>
      <c r="I89" s="127">
        <f>'GT workings 17-18'!I17</f>
        <v>84.641346358196444</v>
      </c>
      <c r="J89" s="127">
        <f>'GT workings 17-18'!J17</f>
        <v>80.728014781566515</v>
      </c>
      <c r="K89" s="127">
        <f>'GT workings 17-18'!K17</f>
        <v>77.490070123441129</v>
      </c>
      <c r="L89" s="127">
        <f t="shared" si="18"/>
        <v>607.03868961485512</v>
      </c>
      <c r="M89" s="53">
        <f t="shared" si="17"/>
        <v>0.60703868961485508</v>
      </c>
      <c r="N89" s="53"/>
    </row>
    <row r="90" spans="3:14">
      <c r="C90" s="18" t="s">
        <v>137</v>
      </c>
      <c r="D90" s="127">
        <f>D38-D30</f>
        <v>-14.406246072956549</v>
      </c>
      <c r="E90" s="127">
        <f t="shared" ref="E90:K90" si="19">E38-E30</f>
        <v>-14.304412797989301</v>
      </c>
      <c r="F90" s="127">
        <f t="shared" si="19"/>
        <v>-10.658863790504057</v>
      </c>
      <c r="G90" s="127">
        <f t="shared" si="19"/>
        <v>0</v>
      </c>
      <c r="H90" s="127">
        <f t="shared" si="19"/>
        <v>0</v>
      </c>
      <c r="I90" s="127">
        <f t="shared" si="19"/>
        <v>0</v>
      </c>
      <c r="J90" s="127">
        <f t="shared" si="19"/>
        <v>0</v>
      </c>
      <c r="K90" s="127">
        <f t="shared" si="19"/>
        <v>0</v>
      </c>
      <c r="L90" s="127">
        <f t="shared" si="18"/>
        <v>-39.369522661449906</v>
      </c>
      <c r="M90" s="53">
        <f t="shared" si="17"/>
        <v>1.8649311261702701</v>
      </c>
      <c r="N90" s="53"/>
    </row>
    <row r="91" spans="3:14">
      <c r="C91" s="19" t="s">
        <v>48</v>
      </c>
      <c r="D91" s="129">
        <f>SUM(D85:D90)</f>
        <v>199.53190393724702</v>
      </c>
      <c r="E91" s="129">
        <f t="shared" ref="E91:K91" si="20">SUM(E85:E90)</f>
        <v>193.39784553888688</v>
      </c>
      <c r="F91" s="129">
        <f t="shared" si="20"/>
        <v>194.91913027430675</v>
      </c>
      <c r="G91" s="129">
        <f t="shared" si="20"/>
        <v>276.44688572919534</v>
      </c>
      <c r="H91" s="129">
        <f t="shared" si="20"/>
        <v>339.50145515515788</v>
      </c>
      <c r="I91" s="129">
        <f t="shared" si="20"/>
        <v>243.34923320955565</v>
      </c>
      <c r="J91" s="129">
        <f t="shared" si="20"/>
        <v>203.33943728420746</v>
      </c>
      <c r="K91" s="129">
        <f t="shared" si="20"/>
        <v>175.07571238026298</v>
      </c>
      <c r="L91" s="129">
        <f t="shared" si="18"/>
        <v>1825.5616035088199</v>
      </c>
      <c r="M91" s="53">
        <f t="shared" ref="M91:M97" si="21">E8</f>
        <v>1.8649311261702701</v>
      </c>
      <c r="N91" s="53"/>
    </row>
    <row r="92" spans="3:14">
      <c r="C92" s="18" t="s">
        <v>52</v>
      </c>
      <c r="D92" s="128">
        <f>'GT workings 17-18'!D26</f>
        <v>110.11544616012048</v>
      </c>
      <c r="E92" s="128">
        <f>'GT workings 17-18'!E26</f>
        <v>110.29121834911521</v>
      </c>
      <c r="F92" s="128">
        <f>'GT workings 17-18'!F26</f>
        <v>110.32860169190292</v>
      </c>
      <c r="G92" s="128">
        <f>'GT workings 17-18'!G26</f>
        <v>110.3596633646699</v>
      </c>
      <c r="H92" s="128">
        <f>'GT workings 17-18'!H26</f>
        <v>110.27343835902431</v>
      </c>
      <c r="I92" s="128">
        <f>'GT workings 17-18'!I26</f>
        <v>110.27662588032852</v>
      </c>
      <c r="J92" s="128">
        <f>'GT workings 17-18'!J26</f>
        <v>110.30420904525512</v>
      </c>
      <c r="K92" s="128">
        <f>'GT workings 17-18'!K26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49</v>
      </c>
      <c r="D94" s="127">
        <f>'GT workings 17-18'!D8</f>
        <v>33.734064323833628</v>
      </c>
      <c r="E94" s="127">
        <f>'GT workings 17-18'!E8</f>
        <v>27.39346022326454</v>
      </c>
      <c r="F94" s="127">
        <f>'GT workings 17-18'!F8</f>
        <v>18.58964637976759</v>
      </c>
      <c r="G94" s="127">
        <f>'GT workings 17-18'!G8</f>
        <v>15.690053681814245</v>
      </c>
      <c r="H94" s="127">
        <f>'GT workings 17-18'!H8</f>
        <v>14.117331818843784</v>
      </c>
      <c r="I94" s="127">
        <f>'GT workings 17-18'!I8</f>
        <v>12.8424465294623</v>
      </c>
      <c r="J94" s="127">
        <f>'GT workings 17-18'!J8</f>
        <v>15.120708694627556</v>
      </c>
      <c r="K94" s="127">
        <f>'GT workings 17-18'!K8</f>
        <v>12.837335667911791</v>
      </c>
      <c r="L94" s="127">
        <f t="shared" si="18"/>
        <v>150.32504731952542</v>
      </c>
      <c r="M94" s="53">
        <f t="shared" si="21"/>
        <v>0.15032504731952542</v>
      </c>
      <c r="N94" s="53"/>
    </row>
    <row r="95" spans="3:14">
      <c r="C95" s="17" t="s">
        <v>44</v>
      </c>
      <c r="D95" s="126">
        <f>'GT workings 17-18'!D12</f>
        <v>19.755956161710287</v>
      </c>
      <c r="E95" s="126">
        <f>'GT workings 17-18'!E12</f>
        <v>4.9640550676615947</v>
      </c>
      <c r="F95" s="126">
        <f>'GT workings 17-18'!F12</f>
        <v>6.5763559685269639</v>
      </c>
      <c r="G95" s="126">
        <f>'GT workings 17-18'!G12</f>
        <v>9.0508060165981838</v>
      </c>
      <c r="H95" s="126">
        <f>'GT workings 17-18'!H12</f>
        <v>5.9819689306581099</v>
      </c>
      <c r="I95" s="126">
        <f>'GT workings 17-18'!I12</f>
        <v>5.5276076383456436</v>
      </c>
      <c r="J95" s="126">
        <f>'GT workings 17-18'!J12</f>
        <v>5.2043642179094656</v>
      </c>
      <c r="K95" s="126">
        <f>'GT workings 17-18'!K12</f>
        <v>4.0961651636946899</v>
      </c>
      <c r="L95" s="126">
        <f t="shared" si="18"/>
        <v>61.157279165104946</v>
      </c>
      <c r="M95" s="53">
        <f t="shared" si="21"/>
        <v>6.1157279165104945E-2</v>
      </c>
      <c r="N95" s="53"/>
    </row>
    <row r="96" spans="3:14">
      <c r="C96" s="18" t="s">
        <v>45</v>
      </c>
      <c r="D96" s="127">
        <f>'GT workings 17-18'!D13</f>
        <v>6.3163697463774593</v>
      </c>
      <c r="E96" s="127">
        <f>'GT workings 17-18'!E13</f>
        <v>7.5127863565785153</v>
      </c>
      <c r="F96" s="127">
        <f>'GT workings 17-18'!F13</f>
        <v>11.755221166240313</v>
      </c>
      <c r="G96" s="127">
        <f>'GT workings 17-18'!G13</f>
        <v>14.858131955957658</v>
      </c>
      <c r="H96" s="127">
        <f>'GT workings 17-18'!H13</f>
        <v>9.9935426477652847</v>
      </c>
      <c r="I96" s="127">
        <f>'GT workings 17-18'!I13</f>
        <v>12.155160387098473</v>
      </c>
      <c r="J96" s="127">
        <f>'GT workings 17-18'!J13</f>
        <v>12.398863612479254</v>
      </c>
      <c r="K96" s="127">
        <f>'GT workings 17-18'!K13</f>
        <v>11.187952086317051</v>
      </c>
      <c r="L96" s="127">
        <f t="shared" si="18"/>
        <v>86.178027958814013</v>
      </c>
      <c r="M96" s="53">
        <f t="shared" si="21"/>
        <v>8.6178027958814019E-2</v>
      </c>
      <c r="N96" s="53"/>
    </row>
    <row r="97" spans="1:14">
      <c r="C97" s="17" t="s">
        <v>46</v>
      </c>
      <c r="D97" s="126">
        <f>'GT workings 17-18'!D7</f>
        <v>37.780581733294433</v>
      </c>
      <c r="E97" s="126">
        <f>'GT workings 17-18'!E7</f>
        <v>38.765251453029641</v>
      </c>
      <c r="F97" s="126">
        <f>'GT workings 17-18'!F7</f>
        <v>38.935734544913359</v>
      </c>
      <c r="G97" s="126">
        <f>'GT workings 17-18'!G7</f>
        <v>37.194366497168517</v>
      </c>
      <c r="H97" s="126">
        <f>'GT workings 17-18'!H7</f>
        <v>37.663363739263652</v>
      </c>
      <c r="I97" s="126">
        <f>'GT workings 17-18'!I7</f>
        <v>38.166072267177746</v>
      </c>
      <c r="J97" s="126">
        <f>'GT workings 17-18'!J7</f>
        <v>38.821758225100261</v>
      </c>
      <c r="K97" s="126">
        <f>'GT workings 17-18'!K7</f>
        <v>39.417681323616755</v>
      </c>
      <c r="L97" s="126">
        <f t="shared" si="18"/>
        <v>306.74480978356434</v>
      </c>
      <c r="M97" s="53">
        <f t="shared" si="21"/>
        <v>0.30674480978356433</v>
      </c>
      <c r="N97" s="53"/>
    </row>
    <row r="98" spans="1:14">
      <c r="C98" s="17" t="s">
        <v>137</v>
      </c>
      <c r="D98" s="126">
        <f>D136-D130</f>
        <v>-21.474389069202743</v>
      </c>
      <c r="E98" s="126">
        <f t="shared" ref="E98:L98" si="22">E136-E130</f>
        <v>-2.8994495383891774</v>
      </c>
      <c r="F98" s="126">
        <f t="shared" si="22"/>
        <v>3.9213391800322199</v>
      </c>
      <c r="G98" s="126">
        <f t="shared" si="22"/>
        <v>0</v>
      </c>
      <c r="H98" s="126">
        <f t="shared" si="22"/>
        <v>0</v>
      </c>
      <c r="I98" s="126">
        <f t="shared" si="22"/>
        <v>0</v>
      </c>
      <c r="J98" s="126">
        <f t="shared" si="22"/>
        <v>0</v>
      </c>
      <c r="K98" s="126">
        <f t="shared" si="22"/>
        <v>0</v>
      </c>
      <c r="L98" s="126">
        <f t="shared" si="22"/>
        <v>-20.452499427559701</v>
      </c>
      <c r="M98" s="53"/>
      <c r="N98" s="53"/>
    </row>
    <row r="99" spans="1:14">
      <c r="C99" s="123" t="s">
        <v>50</v>
      </c>
      <c r="D99" s="130">
        <f>SUM(D94:D98)</f>
        <v>76.112582896013066</v>
      </c>
      <c r="E99" s="130">
        <f t="shared" ref="E99:L99" si="23">SUM(E94:E98)</f>
        <v>75.736103562145118</v>
      </c>
      <c r="F99" s="130">
        <f t="shared" si="23"/>
        <v>79.778297239480452</v>
      </c>
      <c r="G99" s="130">
        <f t="shared" si="23"/>
        <v>76.793358151538598</v>
      </c>
      <c r="H99" s="130">
        <f t="shared" si="23"/>
        <v>67.756207136530833</v>
      </c>
      <c r="I99" s="130">
        <f t="shared" si="23"/>
        <v>68.691286822084166</v>
      </c>
      <c r="J99" s="130">
        <f t="shared" si="23"/>
        <v>71.545694750116525</v>
      </c>
      <c r="K99" s="130">
        <f t="shared" si="23"/>
        <v>67.539134241540282</v>
      </c>
      <c r="L99" s="130">
        <f t="shared" si="23"/>
        <v>583.95266479944905</v>
      </c>
      <c r="M99" s="53">
        <f>E15</f>
        <v>0.60440516422700874</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8" thickBot="1">
      <c r="C101" s="23" t="s">
        <v>51</v>
      </c>
      <c r="D101" s="131">
        <f t="shared" ref="D101:K101" si="25">D99+D91</f>
        <v>275.64448683326009</v>
      </c>
      <c r="E101" s="131">
        <f t="shared" si="25"/>
        <v>269.13394910103199</v>
      </c>
      <c r="F101" s="131">
        <f t="shared" si="25"/>
        <v>274.6974275137872</v>
      </c>
      <c r="G101" s="131">
        <f t="shared" si="25"/>
        <v>353.24024388073394</v>
      </c>
      <c r="H101" s="131">
        <f t="shared" si="25"/>
        <v>407.25766229168869</v>
      </c>
      <c r="I101" s="131">
        <f t="shared" si="25"/>
        <v>312.0405200316398</v>
      </c>
      <c r="J101" s="131">
        <f t="shared" si="25"/>
        <v>274.88513203432399</v>
      </c>
      <c r="K101" s="131">
        <f t="shared" si="25"/>
        <v>242.61484662180328</v>
      </c>
      <c r="L101" s="131">
        <f t="shared" si="18"/>
        <v>2409.514268308269</v>
      </c>
      <c r="M101" s="53">
        <f>E17</f>
        <v>2.4693362903972789</v>
      </c>
      <c r="N101" s="53" t="b">
        <f t="shared" si="24"/>
        <v>0</v>
      </c>
    </row>
    <row r="102" spans="1:14">
      <c r="C102" s="39"/>
      <c r="D102" s="203"/>
      <c r="E102" s="203"/>
      <c r="F102" s="203"/>
      <c r="G102" s="203"/>
      <c r="H102" s="203"/>
      <c r="I102" s="203"/>
      <c r="J102" s="203"/>
      <c r="K102" s="203"/>
      <c r="L102" s="203"/>
      <c r="M102" s="53"/>
      <c r="N102" s="53"/>
    </row>
    <row r="103" spans="1:14">
      <c r="A103" s="38" t="s">
        <v>409</v>
      </c>
    </row>
    <row r="104" spans="1:14" ht="13.8" thickBot="1">
      <c r="C104" s="38" t="s">
        <v>140</v>
      </c>
    </row>
    <row r="105" spans="1:14" ht="13.8" thickBot="1">
      <c r="C105" s="7" t="s">
        <v>58</v>
      </c>
      <c r="D105" s="8" t="s">
        <v>59</v>
      </c>
      <c r="E105" s="8" t="s">
        <v>60</v>
      </c>
      <c r="F105" s="8" t="s">
        <v>61</v>
      </c>
      <c r="G105" s="8" t="s">
        <v>62</v>
      </c>
      <c r="H105" s="8" t="s">
        <v>63</v>
      </c>
      <c r="I105" s="8" t="s">
        <v>64</v>
      </c>
      <c r="J105" s="8" t="s">
        <v>65</v>
      </c>
      <c r="K105" s="8" t="s">
        <v>66</v>
      </c>
    </row>
    <row r="106" spans="1:14">
      <c r="C106" s="22" t="s">
        <v>91</v>
      </c>
      <c r="D106" s="175">
        <f>'GT workings 17-18'!D135+'GT workings 17-18'!D156</f>
        <v>4615.060328174176</v>
      </c>
      <c r="E106" s="175">
        <f>'GT workings 17-18'!E135+'GT workings 17-18'!E156</f>
        <v>4702.6942060667079</v>
      </c>
      <c r="F106" s="175">
        <f>'GT workings 17-18'!F135+'GT workings 17-18'!F156</f>
        <v>4723.6692810224868</v>
      </c>
      <c r="G106" s="175">
        <f>'GT workings 17-18'!G135+'GT workings 17-18'!G156</f>
        <v>4784.5958552837401</v>
      </c>
      <c r="H106" s="175">
        <f>'GT workings 17-18'!H135+'GT workings 17-18'!H156</f>
        <v>4929.2088073789018</v>
      </c>
      <c r="I106" s="175">
        <f>'GT workings 17-18'!I135+'GT workings 17-18'!I156</f>
        <v>5069.5150060072574</v>
      </c>
      <c r="J106" s="175">
        <f>'GT workings 17-18'!J135+'GT workings 17-18'!J156</f>
        <v>5092.6317299095299</v>
      </c>
      <c r="K106" s="175">
        <f>'GT workings 17-18'!K135+'GT workings 17-18'!K156</f>
        <v>5063.4898305023135</v>
      </c>
    </row>
    <row r="107" spans="1:14">
      <c r="C107" s="10" t="s">
        <v>86</v>
      </c>
      <c r="D107" s="176">
        <f>'GT workings 17-18'!D136+'GT workings 17-18'!D157</f>
        <v>244.39025092060854</v>
      </c>
      <c r="E107" s="176">
        <f>'GT workings 17-18'!E136+'GT workings 17-18'!E157</f>
        <v>184.56713041714002</v>
      </c>
      <c r="F107" s="176">
        <f>'GT workings 17-18'!F136+'GT workings 17-18'!F157</f>
        <v>228.79552128312113</v>
      </c>
      <c r="G107" s="176">
        <f>'GT workings 17-18'!G136+'GT workings 17-18'!G157</f>
        <v>318.40623590257576</v>
      </c>
      <c r="H107" s="176">
        <f>'GT workings 17-18'!H136+'GT workings 17-18'!H157</f>
        <v>321.52030507326089</v>
      </c>
      <c r="I107" s="176">
        <f>'GT workings 17-18'!I136+'GT workings 17-18'!I157</f>
        <v>211.54509245953469</v>
      </c>
      <c r="J107" s="176">
        <f>'GT workings 17-18'!J136+'GT workings 17-18'!J157</f>
        <v>163.7606615220291</v>
      </c>
      <c r="K107" s="176">
        <f>'GT workings 17-18'!K136+'GT workings 17-18'!K157</f>
        <v>139.6461196115533</v>
      </c>
    </row>
    <row r="108" spans="1:14">
      <c r="C108" s="11" t="s">
        <v>87</v>
      </c>
      <c r="D108" s="177">
        <f>'GT workings 17-18'!D137+'GT workings 17-18'!D158</f>
        <v>-156.75637302807576</v>
      </c>
      <c r="E108" s="177">
        <f>'GT workings 17-18'!E137+'GT workings 17-18'!E158</f>
        <v>-163.59205546136153</v>
      </c>
      <c r="F108" s="177">
        <f>'GT workings 17-18'!F137+'GT workings 17-18'!F158</f>
        <v>-167.86894702186774</v>
      </c>
      <c r="G108" s="177">
        <f>'GT workings 17-18'!G137+'GT workings 17-18'!G158</f>
        <v>-173.7932838074143</v>
      </c>
      <c r="H108" s="177">
        <f>'GT workings 17-18'!H137+'GT workings 17-18'!H158</f>
        <v>-181.2141064449053</v>
      </c>
      <c r="I108" s="177">
        <f>'GT workings 17-18'!I137+'GT workings 17-18'!I158</f>
        <v>-188.42836855726262</v>
      </c>
      <c r="J108" s="177">
        <f>'GT workings 17-18'!J137+'GT workings 17-18'!J158</f>
        <v>-192.90256092924497</v>
      </c>
      <c r="K108" s="177">
        <f>'GT workings 17-18'!K137+'GT workings 17-18'!K158</f>
        <v>-194.62242203536414</v>
      </c>
    </row>
    <row r="109" spans="1:14" ht="13.8" thickBot="1">
      <c r="C109" s="13" t="s">
        <v>94</v>
      </c>
      <c r="D109" s="178">
        <f>'GT workings 17-18'!D138+'GT workings 17-18'!D159</f>
        <v>4702.6942060667079</v>
      </c>
      <c r="E109" s="178">
        <f>'GT workings 17-18'!E138+'GT workings 17-18'!E159</f>
        <v>4723.6692810224868</v>
      </c>
      <c r="F109" s="178">
        <f>'GT workings 17-18'!F138+'GT workings 17-18'!F159</f>
        <v>4784.5958552837401</v>
      </c>
      <c r="G109" s="178">
        <f>'GT workings 17-18'!G138+'GT workings 17-18'!G159</f>
        <v>4929.2088073789018</v>
      </c>
      <c r="H109" s="178">
        <f>'GT workings 17-18'!H138+'GT workings 17-18'!H159</f>
        <v>5069.5150060072574</v>
      </c>
      <c r="I109" s="178">
        <f>'GT workings 17-18'!I138+'GT workings 17-18'!I159</f>
        <v>5092.6317299095299</v>
      </c>
      <c r="J109" s="178">
        <f>'GT workings 17-18'!J138+'GT workings 17-18'!J159</f>
        <v>5063.4898305023135</v>
      </c>
      <c r="K109" s="178">
        <f>'GT workings 17-18'!K138+'GT workings 17-18'!K159</f>
        <v>5008.5135280785025</v>
      </c>
    </row>
    <row r="111" spans="1:14" ht="13.8" thickBot="1"/>
    <row r="112" spans="1:14" ht="13.8" thickBot="1">
      <c r="C112" s="7" t="s">
        <v>58</v>
      </c>
      <c r="D112" s="8" t="s">
        <v>59</v>
      </c>
      <c r="E112" s="8" t="s">
        <v>60</v>
      </c>
      <c r="F112" s="8" t="s">
        <v>61</v>
      </c>
      <c r="G112" s="8" t="s">
        <v>62</v>
      </c>
      <c r="H112" s="8" t="s">
        <v>63</v>
      </c>
      <c r="I112" s="8" t="s">
        <v>64</v>
      </c>
      <c r="J112" s="8" t="s">
        <v>65</v>
      </c>
      <c r="K112" s="8" t="s">
        <v>66</v>
      </c>
    </row>
    <row r="113" spans="1:14">
      <c r="C113" s="11" t="s">
        <v>142</v>
      </c>
      <c r="D113" s="171">
        <f>'GT workings 17-18'!D119</f>
        <v>94.224999999999994</v>
      </c>
      <c r="E113" s="171">
        <f>'GT workings 17-18'!E119</f>
        <v>87.484999999999999</v>
      </c>
      <c r="F113" s="171">
        <f>'GT workings 17-18'!F119</f>
        <v>79.322999999999993</v>
      </c>
      <c r="G113" s="171">
        <f>'GT workings 17-18'!G119</f>
        <v>58.722999999999999</v>
      </c>
      <c r="H113" s="171">
        <f>'GT workings 17-18'!H119</f>
        <v>3.3000000000000002E-2</v>
      </c>
      <c r="I113" s="171">
        <f>'GT workings 17-18'!I119</f>
        <v>3.3000000000000002E-2</v>
      </c>
      <c r="J113" s="171">
        <f>'GT workings 17-18'!J119</f>
        <v>0</v>
      </c>
      <c r="K113" s="171">
        <f>'GT workings 17-18'!K119</f>
        <v>0</v>
      </c>
    </row>
    <row r="114" spans="1:14" ht="13.8" thickBot="1">
      <c r="C114" s="40" t="s">
        <v>143</v>
      </c>
      <c r="D114" s="174">
        <f>'GT workings 17-18'!D174</f>
        <v>14.16619923431</v>
      </c>
      <c r="E114" s="174">
        <f>'GT workings 17-18'!E174</f>
        <v>26.016783731295874</v>
      </c>
      <c r="F114" s="174">
        <f>'GT workings 17-18'!F174</f>
        <v>69.473671529071126</v>
      </c>
      <c r="G114" s="174">
        <f>'GT workings 17-18'!G174</f>
        <v>108.4200133736822</v>
      </c>
      <c r="H114" s="174">
        <f>'GT workings 17-18'!H174</f>
        <v>69.349803718573156</v>
      </c>
      <c r="I114" s="174">
        <f>'GT workings 17-18'!I174</f>
        <v>20.779442706835688</v>
      </c>
      <c r="J114" s="174">
        <f>'GT workings 17-18'!J174</f>
        <v>0.81062265305823133</v>
      </c>
      <c r="K114" s="174">
        <f>'GT workings 17-18'!K174</f>
        <v>0</v>
      </c>
    </row>
    <row r="117" spans="1:14" ht="13.8" thickBot="1">
      <c r="C117" s="38" t="s">
        <v>122</v>
      </c>
    </row>
    <row r="118" spans="1:14" ht="13.8" thickBot="1">
      <c r="C118" s="7" t="s">
        <v>58</v>
      </c>
      <c r="D118" s="8" t="s">
        <v>59</v>
      </c>
      <c r="E118" s="8" t="s">
        <v>60</v>
      </c>
      <c r="F118" s="8" t="s">
        <v>61</v>
      </c>
      <c r="G118" s="8" t="s">
        <v>62</v>
      </c>
      <c r="H118" s="8" t="s">
        <v>63</v>
      </c>
      <c r="I118" s="8" t="s">
        <v>64</v>
      </c>
      <c r="J118" s="8" t="s">
        <v>65</v>
      </c>
      <c r="K118" s="8" t="s">
        <v>66</v>
      </c>
    </row>
    <row r="119" spans="1:14">
      <c r="C119" s="22" t="s">
        <v>91</v>
      </c>
      <c r="D119" s="41">
        <f>'GT workings 17-18'!D156</f>
        <v>53.000554975302876</v>
      </c>
      <c r="E119" s="41">
        <f>'GT workings 17-18'!E156</f>
        <v>67.966571447586361</v>
      </c>
      <c r="F119" s="41">
        <f>'GT workings 17-18'!F156</f>
        <v>82.102403837110614</v>
      </c>
      <c r="G119" s="41">
        <f>'GT workings 17-18'!G156</f>
        <v>95.27243007680525</v>
      </c>
      <c r="H119" s="41">
        <f>'GT workings 17-18'!H156</f>
        <v>104.15031529698642</v>
      </c>
      <c r="I119" s="41">
        <f>'GT workings 17-18'!I156</f>
        <v>106.9922037591725</v>
      </c>
      <c r="J119" s="41">
        <f>'GT workings 17-18'!J156</f>
        <v>107.87858057384695</v>
      </c>
      <c r="K119" s="41">
        <f>'GT workings 17-18'!K156</f>
        <v>107.81567907926919</v>
      </c>
    </row>
    <row r="120" spans="1:14">
      <c r="C120" s="10" t="s">
        <v>86</v>
      </c>
      <c r="D120" s="42">
        <f>'GT workings 17-18'!D157</f>
        <v>25.511050963126319</v>
      </c>
      <c r="E120" s="42">
        <f>'GT workings 17-18'!E157</f>
        <v>28.325302732242275</v>
      </c>
      <c r="F120" s="42">
        <f>'GT workings 17-18'!F157</f>
        <v>29.837083167565687</v>
      </c>
      <c r="G120" s="42">
        <f>'GT workings 17-18'!G157</f>
        <v>28.720715948675441</v>
      </c>
      <c r="H120" s="42">
        <f>'GT workings 17-18'!H157</f>
        <v>25.340821469062533</v>
      </c>
      <c r="I120" s="42">
        <f>'GT workings 17-18'!I157</f>
        <v>25.690541271459477</v>
      </c>
      <c r="J120" s="42">
        <f>'GT workings 17-18'!J157</f>
        <v>26.758089836543586</v>
      </c>
      <c r="K120" s="42">
        <f>'GT workings 17-18'!K157</f>
        <v>25.259636206336072</v>
      </c>
    </row>
    <row r="121" spans="1:14">
      <c r="C121" s="11" t="s">
        <v>87</v>
      </c>
      <c r="D121" s="43">
        <f>'GT workings 17-18'!D158</f>
        <v>-10.545034490842841</v>
      </c>
      <c r="E121" s="43">
        <f>'GT workings 17-18'!E158</f>
        <v>-14.18947034271803</v>
      </c>
      <c r="F121" s="43">
        <f>'GT workings 17-18'!F158</f>
        <v>-16.667056927871048</v>
      </c>
      <c r="G121" s="43">
        <f>'GT workings 17-18'!G158</f>
        <v>-19.84283072849426</v>
      </c>
      <c r="H121" s="43">
        <f>'GT workings 17-18'!H158</f>
        <v>-22.498933006876463</v>
      </c>
      <c r="I121" s="43">
        <f>'GT workings 17-18'!I158</f>
        <v>-24.804164456785017</v>
      </c>
      <c r="J121" s="43">
        <f>'GT workings 17-18'!J158</f>
        <v>-26.820991331121348</v>
      </c>
      <c r="K121" s="43">
        <f>'GT workings 17-18'!K158</f>
        <v>-27.169086484096475</v>
      </c>
    </row>
    <row r="122" spans="1:14" ht="13.8" thickBot="1">
      <c r="C122" s="13" t="s">
        <v>94</v>
      </c>
      <c r="D122" s="52">
        <f>'GT workings 17-18'!D159</f>
        <v>67.966571447586361</v>
      </c>
      <c r="E122" s="52">
        <f>'GT workings 17-18'!E159</f>
        <v>82.102403837110614</v>
      </c>
      <c r="F122" s="52">
        <f>'GT workings 17-18'!F159</f>
        <v>95.27243007680525</v>
      </c>
      <c r="G122" s="52">
        <f>'GT workings 17-18'!G159</f>
        <v>104.15031529698642</v>
      </c>
      <c r="H122" s="52">
        <f>'GT workings 17-18'!H159</f>
        <v>106.9922037591725</v>
      </c>
      <c r="I122" s="52">
        <f>'GT workings 17-18'!I159</f>
        <v>107.87858057384695</v>
      </c>
      <c r="J122" s="52">
        <f>'GT workings 17-18'!J159</f>
        <v>107.81567907926919</v>
      </c>
      <c r="K122" s="52">
        <f>'GT workings 17-18'!K159</f>
        <v>105.90622880150877</v>
      </c>
    </row>
    <row r="124" spans="1:14">
      <c r="A124" s="38" t="s">
        <v>402</v>
      </c>
    </row>
    <row r="125" spans="1:14" ht="13.8" thickBot="1">
      <c r="C125" s="38" t="s">
        <v>395</v>
      </c>
    </row>
    <row r="126" spans="1:14" ht="13.8" thickBot="1">
      <c r="C126" s="14" t="s">
        <v>58</v>
      </c>
      <c r="D126" s="15" t="s">
        <v>59</v>
      </c>
      <c r="E126" s="15" t="s">
        <v>60</v>
      </c>
      <c r="F126" s="15" t="s">
        <v>61</v>
      </c>
      <c r="G126" s="15" t="s">
        <v>62</v>
      </c>
      <c r="H126" s="15" t="s">
        <v>63</v>
      </c>
      <c r="I126" s="15" t="s">
        <v>64</v>
      </c>
      <c r="J126" s="15" t="s">
        <v>65</v>
      </c>
      <c r="K126" s="15" t="s">
        <v>66</v>
      </c>
      <c r="L126" s="15" t="s">
        <v>118</v>
      </c>
    </row>
    <row r="127" spans="1:14">
      <c r="C127" s="16"/>
      <c r="D127" s="26"/>
      <c r="E127" s="26"/>
      <c r="F127" s="26"/>
      <c r="G127" s="26"/>
      <c r="H127" s="26"/>
      <c r="I127" s="26"/>
      <c r="J127" s="26"/>
      <c r="K127" s="26"/>
      <c r="L127" s="26"/>
    </row>
    <row r="128" spans="1:14">
      <c r="A128" t="s">
        <v>338</v>
      </c>
      <c r="C128" s="17" t="s">
        <v>119</v>
      </c>
      <c r="D128" s="27">
        <f>'GT workings 17-18'!D8+'GT workings 17-18'!D12</f>
        <v>53.490020485543916</v>
      </c>
      <c r="E128" s="27">
        <f>'GT workings 17-18'!E8+'GT workings 17-18'!E12</f>
        <v>32.357515290926138</v>
      </c>
      <c r="F128" s="27">
        <f>'GT workings 17-18'!F8+'GT workings 17-18'!F12</f>
        <v>25.166002348294555</v>
      </c>
      <c r="G128" s="27">
        <f>'GT workings 17-18'!G8+'GT workings 17-18'!G12</f>
        <v>24.740859698412429</v>
      </c>
      <c r="H128" s="27">
        <f>'GT workings 17-18'!H8+'GT workings 17-18'!H12</f>
        <v>20.099300749501893</v>
      </c>
      <c r="I128" s="27">
        <f>'GT workings 17-18'!I8+'GT workings 17-18'!I12</f>
        <v>18.370054167807943</v>
      </c>
      <c r="J128" s="27">
        <f>'GT workings 17-18'!J8+'GT workings 17-18'!J12</f>
        <v>20.325072912537021</v>
      </c>
      <c r="K128" s="27">
        <f>'GT workings 17-18'!K8+'GT workings 17-18'!K12</f>
        <v>16.93350083160648</v>
      </c>
      <c r="L128" s="28">
        <f>SUM(D128:K128)</f>
        <v>211.48232648463039</v>
      </c>
      <c r="N128" s="53" t="b">
        <f>(E11+E12)*1000=L128</f>
        <v>1</v>
      </c>
    </row>
    <row r="129" spans="1:16">
      <c r="C129" s="18" t="s">
        <v>396</v>
      </c>
      <c r="D129" s="29">
        <f>'GT workings 17-18'!D7+'GT workings 17-18'!D13</f>
        <v>44.096951479671894</v>
      </c>
      <c r="E129" s="29">
        <f>'GT workings 17-18'!E7+'GT workings 17-18'!E13</f>
        <v>46.278037809608158</v>
      </c>
      <c r="F129" s="29">
        <f>'GT workings 17-18'!F7+'GT workings 17-18'!F13</f>
        <v>50.69095571115367</v>
      </c>
      <c r="G129" s="29">
        <f>'GT workings 17-18'!G7+'GT workings 17-18'!G13</f>
        <v>52.052498453126177</v>
      </c>
      <c r="H129" s="29">
        <f>'GT workings 17-18'!H7+'GT workings 17-18'!H13</f>
        <v>47.65690638702894</v>
      </c>
      <c r="I129" s="29">
        <f>'GT workings 17-18'!I7+'GT workings 17-18'!I13</f>
        <v>50.321232654276216</v>
      </c>
      <c r="J129" s="29">
        <f>'GT workings 17-18'!J7+'GT workings 17-18'!J13</f>
        <v>51.220621837579515</v>
      </c>
      <c r="K129" s="29">
        <f>'GT workings 17-18'!K7+'GT workings 17-18'!K13</f>
        <v>50.605633409933802</v>
      </c>
      <c r="L129" s="30">
        <f t="shared" ref="L129:L130" si="26">SUM(D129:K129)</f>
        <v>392.92283774237842</v>
      </c>
      <c r="N129" s="53" t="b">
        <f>(E13+E14)*1000=L129</f>
        <v>1</v>
      </c>
    </row>
    <row r="130" spans="1:16">
      <c r="C130" s="19" t="s">
        <v>71</v>
      </c>
      <c r="D130" s="31">
        <f>SUM(D128:D129)</f>
        <v>97.58697196521581</v>
      </c>
      <c r="E130" s="31">
        <f t="shared" ref="E130:K130" si="27">SUM(E128:E129)</f>
        <v>78.635553100534295</v>
      </c>
      <c r="F130" s="31">
        <f t="shared" si="27"/>
        <v>75.856958059448232</v>
      </c>
      <c r="G130" s="31">
        <f t="shared" si="27"/>
        <v>76.793358151538598</v>
      </c>
      <c r="H130" s="31">
        <f t="shared" si="27"/>
        <v>67.756207136530833</v>
      </c>
      <c r="I130" s="31">
        <f t="shared" si="27"/>
        <v>68.691286822084152</v>
      </c>
      <c r="J130" s="31">
        <f t="shared" si="27"/>
        <v>71.545694750116539</v>
      </c>
      <c r="K130" s="31">
        <f t="shared" si="27"/>
        <v>67.539134241540282</v>
      </c>
      <c r="L130" s="28">
        <f t="shared" si="26"/>
        <v>604.40516422700887</v>
      </c>
    </row>
    <row r="131" spans="1:16">
      <c r="A131" t="s">
        <v>346</v>
      </c>
      <c r="C131" s="17" t="s">
        <v>121</v>
      </c>
      <c r="D131" s="27">
        <f>'GT workings 17-18'!D31+'GT workings 17-18'!D35</f>
        <v>17.732199171749642</v>
      </c>
      <c r="E131" s="27">
        <f>'GT workings 17-18'!E31+'GT workings 17-18'!E35</f>
        <v>27.268714530475275</v>
      </c>
      <c r="F131" s="27">
        <f>'GT workings 17-18'!F31+'GT workings 17-18'!F35</f>
        <v>35.752448387857044</v>
      </c>
      <c r="G131" s="27">
        <f>'GT workings 17-18'!G31+'GT workings 17-18'!G35</f>
        <v>24.740859698412429</v>
      </c>
      <c r="H131" s="27">
        <f>'GT workings 17-18'!H31+'GT workings 17-18'!H35</f>
        <v>20.099300749501893</v>
      </c>
      <c r="I131" s="27">
        <f>'GT workings 17-18'!I31+'GT workings 17-18'!I35</f>
        <v>18.370054167807943</v>
      </c>
      <c r="J131" s="27">
        <f>'GT workings 17-18'!J31+'GT workings 17-18'!J35</f>
        <v>20.325072912537021</v>
      </c>
      <c r="K131" s="27">
        <f>'GT workings 17-18'!K31+'GT workings 17-18'!K35</f>
        <v>16.93350083160648</v>
      </c>
      <c r="L131" s="28">
        <f>SUM(D131:K131)</f>
        <v>181.22215044994772</v>
      </c>
      <c r="N131" s="53"/>
      <c r="P131" s="53"/>
    </row>
    <row r="132" spans="1:16">
      <c r="C132" s="18" t="s">
        <v>387</v>
      </c>
      <c r="D132" s="29">
        <f>'GT workings 17-18'!D30+'GT workings 17-18'!D36</f>
        <v>41.25953722696233</v>
      </c>
      <c r="E132" s="29">
        <f>'GT workings 17-18'!E30+'GT workings 17-18'!E36</f>
        <v>46.155750255197084</v>
      </c>
      <c r="F132" s="29">
        <f>'GT workings 17-18'!F30+'GT workings 17-18'!F36</f>
        <v>47.152207694654116</v>
      </c>
      <c r="G132" s="29">
        <f>'GT workings 17-18'!G30+'GT workings 17-18'!G36</f>
        <v>52.052498453126177</v>
      </c>
      <c r="H132" s="29">
        <f>'GT workings 17-18'!H30+'GT workings 17-18'!H36</f>
        <v>47.65690638702894</v>
      </c>
      <c r="I132" s="29">
        <f>'GT workings 17-18'!I30+'GT workings 17-18'!I36</f>
        <v>50.321232654276216</v>
      </c>
      <c r="J132" s="29">
        <f>'GT workings 17-18'!J30+'GT workings 17-18'!J36</f>
        <v>51.220621837579515</v>
      </c>
      <c r="K132" s="29">
        <f>'GT workings 17-18'!K30+'GT workings 17-18'!K36</f>
        <v>50.605633409933802</v>
      </c>
      <c r="L132" s="30">
        <f t="shared" ref="L132:L136" si="28">SUM(D132:K132)</f>
        <v>386.42438791875816</v>
      </c>
      <c r="N132" s="53"/>
      <c r="P132" s="53"/>
    </row>
    <row r="133" spans="1:16">
      <c r="C133" s="19" t="s">
        <v>77</v>
      </c>
      <c r="D133" s="31">
        <f>SUM(D131:D132)</f>
        <v>58.991736398711971</v>
      </c>
      <c r="E133" s="31">
        <f t="shared" ref="E133:K133" si="29">SUM(E131:E132)</f>
        <v>73.424464785672356</v>
      </c>
      <c r="F133" s="31">
        <f t="shared" si="29"/>
        <v>82.904656082511167</v>
      </c>
      <c r="G133" s="31">
        <f t="shared" si="29"/>
        <v>76.793358151538598</v>
      </c>
      <c r="H133" s="31">
        <f t="shared" si="29"/>
        <v>67.756207136530833</v>
      </c>
      <c r="I133" s="31">
        <f t="shared" si="29"/>
        <v>68.691286822084152</v>
      </c>
      <c r="J133" s="31">
        <f t="shared" si="29"/>
        <v>71.545694750116539</v>
      </c>
      <c r="K133" s="31">
        <f t="shared" si="29"/>
        <v>67.539134241540282</v>
      </c>
      <c r="L133" s="28">
        <f t="shared" si="28"/>
        <v>567.64653836870593</v>
      </c>
    </row>
    <row r="134" spans="1:16">
      <c r="A134" t="s">
        <v>233</v>
      </c>
      <c r="C134" s="17" t="s">
        <v>388</v>
      </c>
      <c r="D134" s="42">
        <f>D128-(D128-D131)*$K$2</f>
        <v>33.594368706548778</v>
      </c>
      <c r="E134" s="42">
        <f t="shared" ref="E134:K135" si="30">E128-(E128-E131)*$K$2</f>
        <v>29.526106547811278</v>
      </c>
      <c r="F134" s="42">
        <f t="shared" si="30"/>
        <v>31.056300924707124</v>
      </c>
      <c r="G134" s="42">
        <f t="shared" si="30"/>
        <v>24.740859698412429</v>
      </c>
      <c r="H134" s="42">
        <f t="shared" si="30"/>
        <v>20.099300749501893</v>
      </c>
      <c r="I134" s="42">
        <f t="shared" si="30"/>
        <v>18.370054167807943</v>
      </c>
      <c r="J134" s="42">
        <f t="shared" si="30"/>
        <v>20.325072912537021</v>
      </c>
      <c r="K134" s="42">
        <f t="shared" si="30"/>
        <v>16.93350083160648</v>
      </c>
      <c r="L134" s="28">
        <f>SUM(D134:K134)</f>
        <v>194.645564538933</v>
      </c>
      <c r="N134" s="53"/>
      <c r="P134" s="53"/>
    </row>
    <row r="135" spans="1:16">
      <c r="C135" s="18" t="s">
        <v>389</v>
      </c>
      <c r="D135" s="43">
        <f>D129-(D129-D132)*$K$2</f>
        <v>42.518214189464295</v>
      </c>
      <c r="E135" s="43">
        <f t="shared" si="30"/>
        <v>46.209997014333837</v>
      </c>
      <c r="F135" s="43">
        <f t="shared" si="30"/>
        <v>48.721996314773321</v>
      </c>
      <c r="G135" s="43">
        <f t="shared" si="30"/>
        <v>52.052498453126177</v>
      </c>
      <c r="H135" s="43">
        <f t="shared" si="30"/>
        <v>47.65690638702894</v>
      </c>
      <c r="I135" s="43">
        <f t="shared" si="30"/>
        <v>50.321232654276216</v>
      </c>
      <c r="J135" s="43">
        <f t="shared" si="30"/>
        <v>51.220621837579515</v>
      </c>
      <c r="K135" s="43">
        <f t="shared" si="30"/>
        <v>50.605633409933802</v>
      </c>
      <c r="L135" s="30">
        <f t="shared" si="28"/>
        <v>389.30710026051611</v>
      </c>
      <c r="N135" s="53"/>
      <c r="P135" s="53"/>
    </row>
    <row r="136" spans="1:16">
      <c r="C136" s="19" t="s">
        <v>78</v>
      </c>
      <c r="D136" s="50">
        <f>SUM(D134:D135)</f>
        <v>76.112582896013066</v>
      </c>
      <c r="E136" s="50">
        <f t="shared" ref="E136:K136" si="31">SUM(E134:E135)</f>
        <v>75.736103562145118</v>
      </c>
      <c r="F136" s="50">
        <f t="shared" si="31"/>
        <v>79.778297239480452</v>
      </c>
      <c r="G136" s="50">
        <f t="shared" si="31"/>
        <v>76.793358151538598</v>
      </c>
      <c r="H136" s="50">
        <f t="shared" si="31"/>
        <v>67.756207136530833</v>
      </c>
      <c r="I136" s="50">
        <f t="shared" si="31"/>
        <v>68.691286822084152</v>
      </c>
      <c r="J136" s="50">
        <f t="shared" si="31"/>
        <v>71.545694750116539</v>
      </c>
      <c r="K136" s="50">
        <f t="shared" si="31"/>
        <v>67.539134241540282</v>
      </c>
      <c r="L136" s="28">
        <f t="shared" si="28"/>
        <v>583.95266479944917</v>
      </c>
    </row>
    <row r="137" spans="1:16">
      <c r="C137" s="20"/>
      <c r="D137" s="32"/>
      <c r="E137" s="32"/>
      <c r="F137" s="32"/>
      <c r="G137" s="32"/>
      <c r="H137" s="32"/>
      <c r="I137" s="32"/>
      <c r="J137" s="32"/>
      <c r="K137" s="32"/>
      <c r="L137" s="33"/>
    </row>
    <row r="138" spans="1:16">
      <c r="C138" s="17" t="s">
        <v>79</v>
      </c>
      <c r="D138" s="27">
        <f>'GT workings 17-18'!D179</f>
        <v>47.646476892904182</v>
      </c>
      <c r="E138" s="27">
        <f>'GT workings 17-18'!E179</f>
        <v>47.410800829902847</v>
      </c>
      <c r="F138" s="27">
        <f>'GT workings 17-18'!F179</f>
        <v>49.941214071914764</v>
      </c>
      <c r="G138" s="27">
        <f>'GT workings 17-18'!G179</f>
        <v>48.072642202863172</v>
      </c>
      <c r="H138" s="27">
        <f>'GT workings 17-18'!H179</f>
        <v>42.4153856674683</v>
      </c>
      <c r="I138" s="27">
        <f>'GT workings 17-18'!I179</f>
        <v>43.000745550624686</v>
      </c>
      <c r="J138" s="27">
        <f>'GT workings 17-18'!J179</f>
        <v>44.787604913572956</v>
      </c>
      <c r="K138" s="27">
        <f>'GT workings 17-18'!K179</f>
        <v>42.279498035204227</v>
      </c>
      <c r="L138" s="28">
        <f t="shared" ref="L138:L140" si="32">SUM(D138:K138)</f>
        <v>365.55436816445513</v>
      </c>
    </row>
    <row r="139" spans="1:16">
      <c r="C139" s="18" t="s">
        <v>80</v>
      </c>
      <c r="D139" s="29">
        <f>'GT workings 17-18'!D178</f>
        <v>28.466106003108887</v>
      </c>
      <c r="E139" s="29">
        <f>'GT workings 17-18'!E178</f>
        <v>28.325302732242275</v>
      </c>
      <c r="F139" s="29">
        <f>'GT workings 17-18'!F178</f>
        <v>29.837083167565687</v>
      </c>
      <c r="G139" s="29">
        <f>'GT workings 17-18'!G178</f>
        <v>28.720715948675441</v>
      </c>
      <c r="H139" s="29">
        <f>'GT workings 17-18'!H178</f>
        <v>25.340821469062533</v>
      </c>
      <c r="I139" s="29">
        <f>'GT workings 17-18'!I178</f>
        <v>25.690541271459477</v>
      </c>
      <c r="J139" s="29">
        <f>'GT workings 17-18'!J178</f>
        <v>26.758089836543586</v>
      </c>
      <c r="K139" s="29">
        <f>'GT workings 17-18'!K178</f>
        <v>25.259636206336072</v>
      </c>
      <c r="L139" s="30">
        <f t="shared" si="32"/>
        <v>218.39829663499395</v>
      </c>
    </row>
    <row r="140" spans="1:16" ht="13.8" thickBot="1">
      <c r="C140" s="21" t="s">
        <v>390</v>
      </c>
      <c r="D140" s="34">
        <f t="shared" ref="D140:K140" si="33">SUM(D138:D139)</f>
        <v>76.112582896013066</v>
      </c>
      <c r="E140" s="34">
        <f t="shared" si="33"/>
        <v>75.736103562145118</v>
      </c>
      <c r="F140" s="34">
        <f t="shared" si="33"/>
        <v>79.778297239480452</v>
      </c>
      <c r="G140" s="34">
        <f t="shared" si="33"/>
        <v>76.793358151538612</v>
      </c>
      <c r="H140" s="34">
        <f t="shared" si="33"/>
        <v>67.756207136530833</v>
      </c>
      <c r="I140" s="34">
        <f t="shared" si="33"/>
        <v>68.691286822084166</v>
      </c>
      <c r="J140" s="34">
        <f t="shared" si="33"/>
        <v>71.545694750116539</v>
      </c>
      <c r="K140" s="34">
        <f t="shared" si="33"/>
        <v>67.539134241540296</v>
      </c>
      <c r="L140" s="35">
        <f t="shared" si="32"/>
        <v>583.95266479944917</v>
      </c>
    </row>
    <row r="142" spans="1:16" ht="13.8" thickBot="1">
      <c r="A142" s="38" t="s">
        <v>410</v>
      </c>
    </row>
    <row r="143" spans="1:16" ht="13.8" thickBot="1">
      <c r="C143" s="7" t="s">
        <v>58</v>
      </c>
      <c r="D143" s="8" t="s">
        <v>59</v>
      </c>
      <c r="E143" s="8" t="s">
        <v>60</v>
      </c>
      <c r="F143" s="8" t="s">
        <v>61</v>
      </c>
      <c r="G143" s="8" t="s">
        <v>62</v>
      </c>
      <c r="H143" s="8" t="s">
        <v>63</v>
      </c>
      <c r="I143" s="8" t="s">
        <v>64</v>
      </c>
      <c r="J143" s="8" t="s">
        <v>65</v>
      </c>
      <c r="K143" s="8" t="s">
        <v>66</v>
      </c>
    </row>
    <row r="144" spans="1:16">
      <c r="C144" s="10" t="s">
        <v>79</v>
      </c>
      <c r="D144" s="42">
        <f>'GT workings 17-18'!D207</f>
        <v>47.646476892904182</v>
      </c>
      <c r="E144" s="42">
        <f>'GT workings 17-18'!E207</f>
        <v>47.410800829902847</v>
      </c>
      <c r="F144" s="42">
        <f>'GT workings 17-18'!F207</f>
        <v>49.941214071914764</v>
      </c>
      <c r="G144" s="42">
        <f>'GT workings 17-18'!G207</f>
        <v>48.072642202863172</v>
      </c>
      <c r="H144" s="42">
        <f>'GT workings 17-18'!H207</f>
        <v>42.4153856674683</v>
      </c>
      <c r="I144" s="42">
        <f>'GT workings 17-18'!I207</f>
        <v>43.000745550624686</v>
      </c>
      <c r="J144" s="42">
        <f>'GT workings 17-18'!J207</f>
        <v>44.787604913572956</v>
      </c>
      <c r="K144" s="42">
        <f>'GT workings 17-18'!K207</f>
        <v>42.279498035204227</v>
      </c>
    </row>
    <row r="145" spans="3:11">
      <c r="C145" s="11" t="s">
        <v>98</v>
      </c>
      <c r="D145" s="43">
        <f>'GT workings 17-18'!D208</f>
        <v>0</v>
      </c>
      <c r="E145" s="43">
        <f>'GT workings 17-18'!E208</f>
        <v>0</v>
      </c>
      <c r="F145" s="43">
        <f>'GT workings 17-18'!F208</f>
        <v>0</v>
      </c>
      <c r="G145" s="43">
        <f>'GT workings 17-18'!G208</f>
        <v>0</v>
      </c>
      <c r="H145" s="43">
        <f>'GT workings 17-18'!H208</f>
        <v>0</v>
      </c>
      <c r="I145" s="43">
        <f>'GT workings 17-18'!I208</f>
        <v>0</v>
      </c>
      <c r="J145" s="43">
        <f>'GT workings 17-18'!J208</f>
        <v>0</v>
      </c>
      <c r="K145" s="43">
        <f>'GT workings 17-18'!K208</f>
        <v>0</v>
      </c>
    </row>
    <row r="146" spans="3:11">
      <c r="C146" s="11" t="s">
        <v>100</v>
      </c>
      <c r="D146" s="43">
        <f>'GT workings 17-18'!D211</f>
        <v>0</v>
      </c>
      <c r="E146" s="43">
        <f>'GT workings 17-18'!E211</f>
        <v>0</v>
      </c>
      <c r="F146" s="43">
        <f>'GT workings 17-18'!F211</f>
        <v>0</v>
      </c>
      <c r="G146" s="43">
        <f>'GT workings 17-18'!G211</f>
        <v>0</v>
      </c>
      <c r="H146" s="43">
        <f>'GT workings 17-18'!H211</f>
        <v>0</v>
      </c>
      <c r="I146" s="43">
        <f>'GT workings 17-18'!I211</f>
        <v>0</v>
      </c>
      <c r="J146" s="43">
        <f>'GT workings 17-18'!J211</f>
        <v>0</v>
      </c>
      <c r="K146" s="43">
        <f>'GT workings 17-18'!K211</f>
        <v>0</v>
      </c>
    </row>
    <row r="147" spans="3:11">
      <c r="C147" s="10" t="s">
        <v>101</v>
      </c>
      <c r="D147" s="42">
        <f>'GT workings 17-18'!D212</f>
        <v>-0.43181154987245485</v>
      </c>
      <c r="E147" s="42">
        <f>'GT workings 17-18'!E212</f>
        <v>-0.39947195996305995</v>
      </c>
      <c r="F147" s="42">
        <f>'GT workings 17-18'!F212</f>
        <v>-0.34734317043598018</v>
      </c>
      <c r="G147" s="42">
        <f>'GT workings 17-18'!G212</f>
        <v>-0.3193206524905472</v>
      </c>
      <c r="H147" s="42">
        <f>'GT workings 17-18'!H212</f>
        <v>-0.31265626882301373</v>
      </c>
      <c r="I147" s="42">
        <f>'GT workings 17-18'!I212</f>
        <v>-0.30799379948941219</v>
      </c>
      <c r="J147" s="42">
        <f>'GT workings 17-18'!J212</f>
        <v>-0.32570922921081308</v>
      </c>
      <c r="K147" s="42">
        <f>'GT workings 17-18'!K212</f>
        <v>-0.31552026220892354</v>
      </c>
    </row>
    <row r="148" spans="3:11">
      <c r="C148" s="11" t="s">
        <v>102</v>
      </c>
      <c r="D148" s="43">
        <f>'GT workings 17-18'!D214</f>
        <v>1.2043822108714655</v>
      </c>
      <c r="E148" s="43">
        <f>'GT workings 17-18'!E214</f>
        <v>0.18164238082154902</v>
      </c>
      <c r="F148" s="43">
        <f>'GT workings 17-18'!F214</f>
        <v>0.45728479321275822</v>
      </c>
      <c r="G148" s="43">
        <f>'GT workings 17-18'!G214</f>
        <v>0</v>
      </c>
      <c r="H148" s="43">
        <f>'GT workings 17-18'!H214</f>
        <v>0</v>
      </c>
      <c r="I148" s="43">
        <f>'GT workings 17-18'!I214</f>
        <v>0</v>
      </c>
      <c r="J148" s="43">
        <f>'GT workings 17-18'!J214</f>
        <v>0.22535369474763309</v>
      </c>
      <c r="K148" s="43">
        <f>'GT workings 17-18'!K214</f>
        <v>0.692237710160019</v>
      </c>
    </row>
    <row r="149" spans="3:11">
      <c r="C149" s="10" t="s">
        <v>103</v>
      </c>
      <c r="D149" s="42">
        <f>'GT workings 17-18'!D210+'GT workings 17-18'!D209</f>
        <v>13.128870733122515</v>
      </c>
      <c r="E149" s="42">
        <f>'GT workings 17-18'!E210+'GT workings 17-18'!E209</f>
        <v>17.307310184097801</v>
      </c>
      <c r="F149" s="42">
        <f>'GT workings 17-18'!F210+'GT workings 17-18'!F209</f>
        <v>20.263501726435035</v>
      </c>
      <c r="G149" s="42">
        <f>'GT workings 17-18'!G210+'GT workings 17-18'!G209</f>
        <v>23.787081985578247</v>
      </c>
      <c r="H149" s="42">
        <f>'GT workings 17-18'!H210+'GT workings 17-18'!H209</f>
        <v>26.576003534964737</v>
      </c>
      <c r="I149" s="42">
        <f>'GT workings 17-18'!I210+'GT workings 17-18'!I209</f>
        <v>28.95397412257886</v>
      </c>
      <c r="J149" s="42">
        <f>'GT workings 17-18'!J210+'GT workings 17-18'!J209</f>
        <v>30.987060080995768</v>
      </c>
      <c r="K149" s="42">
        <f>'GT workings 17-18'!K210+'GT workings 17-18'!K209</f>
        <v>31.297748680550178</v>
      </c>
    </row>
    <row r="150" spans="3:11">
      <c r="C150" s="11" t="s">
        <v>104</v>
      </c>
      <c r="D150" s="43">
        <f>'GT workings 17-18'!D213</f>
        <v>8.3082796001737652E-2</v>
      </c>
      <c r="E150" s="43">
        <f>'GT workings 17-18'!E213</f>
        <v>7.976923323919452E-2</v>
      </c>
      <c r="F150" s="43">
        <f>'GT workings 17-18'!F213</f>
        <v>0.75266180631023005</v>
      </c>
      <c r="G150" s="43">
        <f>'GT workings 17-18'!G213</f>
        <v>0.74924415240021436</v>
      </c>
      <c r="H150" s="43">
        <f>'GT workings 17-18'!H213</f>
        <v>0.74577657614235293</v>
      </c>
      <c r="I150" s="43">
        <f>'GT workings 17-18'!I213</f>
        <v>0.74217246406933812</v>
      </c>
      <c r="J150" s="43">
        <f>'GT workings 17-18'!J213</f>
        <v>0.73842644008344849</v>
      </c>
      <c r="K150" s="43">
        <f>'GT workings 17-18'!K213</f>
        <v>0.73453291640311436</v>
      </c>
    </row>
    <row r="151" spans="3:11">
      <c r="C151" s="12" t="s">
        <v>105</v>
      </c>
      <c r="D151" s="50">
        <f>SUM(D144:D150)</f>
        <v>61.631001083027449</v>
      </c>
      <c r="E151" s="50">
        <f t="shared" ref="E151:K151" si="34">SUM(E144:E150)</f>
        <v>64.580050668098337</v>
      </c>
      <c r="F151" s="50">
        <f t="shared" si="34"/>
        <v>71.067319227436812</v>
      </c>
      <c r="G151" s="50">
        <f t="shared" si="34"/>
        <v>72.289647688351081</v>
      </c>
      <c r="H151" s="50">
        <f t="shared" si="34"/>
        <v>69.424509509752369</v>
      </c>
      <c r="I151" s="50">
        <f t="shared" si="34"/>
        <v>72.388898337783473</v>
      </c>
      <c r="J151" s="50">
        <f t="shared" si="34"/>
        <v>76.412735900188991</v>
      </c>
      <c r="K151" s="50">
        <f t="shared" si="34"/>
        <v>74.688497080108618</v>
      </c>
    </row>
    <row r="152" spans="3:11">
      <c r="C152" s="11" t="s">
        <v>126</v>
      </c>
      <c r="D152" s="43">
        <f>'GT workings 17-18'!D220</f>
        <v>94.224999999999994</v>
      </c>
      <c r="E152" s="43">
        <f>'GT workings 17-18'!E220</f>
        <v>87.484999999999999</v>
      </c>
      <c r="F152" s="43">
        <f>'GT workings 17-18'!F220</f>
        <v>79.322999999999993</v>
      </c>
      <c r="G152" s="43">
        <f>'GT workings 17-18'!G220</f>
        <v>58.722999999999999</v>
      </c>
      <c r="H152" s="43">
        <f>'GT workings 17-18'!H220</f>
        <v>3.3000000000000002E-2</v>
      </c>
      <c r="I152" s="43">
        <f>'GT workings 17-18'!I220</f>
        <v>3.3000000000000002E-2</v>
      </c>
      <c r="J152" s="43">
        <f>'GT workings 17-18'!J220</f>
        <v>0</v>
      </c>
      <c r="K152" s="43">
        <f>'GT workings 17-18'!K220</f>
        <v>0</v>
      </c>
    </row>
    <row r="153" spans="3:11" ht="13.8" thickBot="1">
      <c r="C153" s="13" t="s">
        <v>107</v>
      </c>
      <c r="D153" s="52">
        <f>D151+D152</f>
        <v>155.85600108302745</v>
      </c>
      <c r="E153" s="52">
        <f t="shared" ref="E153:K153" si="35">E151+E152</f>
        <v>152.06505066809834</v>
      </c>
      <c r="F153" s="52">
        <f t="shared" si="35"/>
        <v>150.39031922743681</v>
      </c>
      <c r="G153" s="52">
        <f t="shared" si="35"/>
        <v>131.01264768835108</v>
      </c>
      <c r="H153" s="52">
        <f t="shared" si="35"/>
        <v>69.45750950975237</v>
      </c>
      <c r="I153" s="52">
        <f t="shared" si="35"/>
        <v>72.421898337783475</v>
      </c>
      <c r="J153" s="52">
        <f t="shared" si="35"/>
        <v>76.412735900188991</v>
      </c>
      <c r="K153" s="52">
        <f t="shared" si="35"/>
        <v>74.688497080108618</v>
      </c>
    </row>
    <row r="155" spans="3:11">
      <c r="D155" s="53">
        <f>'GT workings 17-18'!D229-D151</f>
        <v>-5.558763556434144</v>
      </c>
      <c r="E155" s="53">
        <f>'GT workings 17-18'!E229-E151</f>
        <v>1.2994709003094442</v>
      </c>
      <c r="F155" s="53">
        <f>'GT workings 17-18'!F229-F151</f>
        <v>-3.4164949361364307</v>
      </c>
      <c r="G155" s="53">
        <f>'GT workings 17-18'!G229-G151</f>
        <v>-0.6361049299056134</v>
      </c>
      <c r="H155" s="53">
        <f>'GT workings 17-18'!H229-H151</f>
        <v>3.0803431811643378</v>
      </c>
      <c r="I155" s="53">
        <f>'GT workings 17-18'!I229-I151</f>
        <v>-0.74774061578747819</v>
      </c>
      <c r="J155" s="53">
        <f>'GT workings 17-18'!J229-J151</f>
        <v>-2.6257844622929696</v>
      </c>
      <c r="K155" s="53">
        <f>'GT workings 17-18'!K229-K151</f>
        <v>-1.3245523395865746</v>
      </c>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59999389629810485"/>
  </sheetPr>
  <dimension ref="A1:Y255"/>
  <sheetViews>
    <sheetView zoomScale="70" zoomScaleNormal="70" workbookViewId="0">
      <pane xSplit="2" ySplit="4" topLeftCell="C55" activePane="bottomRight" state="frozen"/>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426</v>
      </c>
    </row>
    <row r="7" spans="2:22">
      <c r="B7" t="s">
        <v>204</v>
      </c>
      <c r="D7" s="196">
        <v>37.780581733294433</v>
      </c>
      <c r="E7" s="196">
        <v>38.765251453029641</v>
      </c>
      <c r="F7" s="196">
        <v>38.935734544913359</v>
      </c>
      <c r="G7" s="196">
        <v>37.194366497168517</v>
      </c>
      <c r="H7" s="196">
        <v>37.663363739263652</v>
      </c>
      <c r="I7" s="196">
        <v>38.166072267177746</v>
      </c>
      <c r="J7" s="196">
        <v>38.821758225100261</v>
      </c>
      <c r="K7" s="196">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52.370551845660252</v>
      </c>
      <c r="U7" s="53">
        <f t="shared" si="0"/>
        <v>54.711741677180051</v>
      </c>
      <c r="V7" s="53">
        <f>SUM(N7:U7)</f>
        <v>387.87349490683522</v>
      </c>
    </row>
    <row r="8" spans="2:22">
      <c r="B8" t="s">
        <v>206</v>
      </c>
      <c r="D8" s="196">
        <v>33.734064323833628</v>
      </c>
      <c r="E8" s="196">
        <v>27.39346022326454</v>
      </c>
      <c r="F8" s="196">
        <v>18.58964637976759</v>
      </c>
      <c r="G8" s="196">
        <v>15.690053681814245</v>
      </c>
      <c r="H8" s="196">
        <v>14.117331818843784</v>
      </c>
      <c r="I8" s="196">
        <v>12.8424465294623</v>
      </c>
      <c r="J8" s="196">
        <v>15.120708694627556</v>
      </c>
      <c r="K8" s="196">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20.397836029052574</v>
      </c>
      <c r="U8" s="53">
        <f t="shared" si="0"/>
        <v>17.818221907061567</v>
      </c>
      <c r="V8" s="53">
        <f>SUM(N8:U8)</f>
        <v>186.64168256785229</v>
      </c>
    </row>
    <row r="9" spans="2:22">
      <c r="B9" s="38" t="s">
        <v>207</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72.768387874712829</v>
      </c>
      <c r="U9" s="57">
        <f t="shared" si="2"/>
        <v>72.529963584241614</v>
      </c>
      <c r="V9" s="57">
        <f t="shared" si="2"/>
        <v>574.51517747468756</v>
      </c>
    </row>
    <row r="10" spans="2:22">
      <c r="D10" s="53"/>
      <c r="E10" s="53"/>
      <c r="F10" s="53"/>
      <c r="G10" s="53"/>
      <c r="H10" s="53"/>
      <c r="I10" s="53"/>
      <c r="J10" s="53"/>
      <c r="K10" s="53"/>
      <c r="N10" s="53"/>
      <c r="O10" s="53"/>
      <c r="P10" s="53"/>
      <c r="Q10" s="53"/>
      <c r="R10" s="53"/>
      <c r="S10" s="53"/>
      <c r="T10" s="53"/>
      <c r="U10" s="53"/>
      <c r="V10" s="53"/>
    </row>
    <row r="11" spans="2:22">
      <c r="B11" s="38" t="s">
        <v>427</v>
      </c>
      <c r="D11" s="53"/>
      <c r="E11" s="53"/>
      <c r="F11" s="53"/>
      <c r="G11" s="53"/>
      <c r="H11" s="53"/>
      <c r="I11" s="53"/>
      <c r="J11" s="53"/>
      <c r="K11" s="53"/>
      <c r="N11" s="53"/>
      <c r="O11" s="53"/>
      <c r="P11" s="53"/>
      <c r="Q11" s="53"/>
      <c r="R11" s="53"/>
      <c r="S11" s="53"/>
      <c r="T11" s="53"/>
      <c r="U11" s="53"/>
      <c r="V11" s="53"/>
    </row>
    <row r="12" spans="2:22">
      <c r="B12" t="s">
        <v>210</v>
      </c>
      <c r="D12" s="196">
        <v>19.755956161710287</v>
      </c>
      <c r="E12" s="196">
        <v>4.9640550676615947</v>
      </c>
      <c r="F12" s="196">
        <v>6.5763559685269639</v>
      </c>
      <c r="G12" s="196">
        <v>9.0508060165981838</v>
      </c>
      <c r="H12" s="196">
        <v>5.9819689306581099</v>
      </c>
      <c r="I12" s="196">
        <v>5.5276076383456436</v>
      </c>
      <c r="J12" s="196">
        <v>5.2043642179094656</v>
      </c>
      <c r="K12" s="196">
        <v>4.0961651636946899</v>
      </c>
      <c r="L12" s="53">
        <f t="shared" ref="L12:L13" si="3">SUM(D12:K12)</f>
        <v>61.157279165104946</v>
      </c>
      <c r="N12" s="53">
        <f t="shared" ref="N12:U13" si="4">D12*N$1</f>
        <v>23.055200840715905</v>
      </c>
      <c r="O12" s="53">
        <f t="shared" si="4"/>
        <v>5.9072255305172972</v>
      </c>
      <c r="P12" s="53">
        <f t="shared" si="4"/>
        <v>7.9047798741694102</v>
      </c>
      <c r="Q12" s="53">
        <f t="shared" si="4"/>
        <v>11.114389788382569</v>
      </c>
      <c r="R12" s="53">
        <f t="shared" si="4"/>
        <v>7.6210284176584322</v>
      </c>
      <c r="S12" s="53">
        <f t="shared" si="4"/>
        <v>7.2577488291478298</v>
      </c>
      <c r="T12" s="53">
        <f t="shared" si="4"/>
        <v>7.0206873299598689</v>
      </c>
      <c r="U12" s="53">
        <f t="shared" si="4"/>
        <v>5.6854772472082296</v>
      </c>
      <c r="V12" s="53">
        <f>SUM(N12:U12)</f>
        <v>75.566537857759528</v>
      </c>
    </row>
    <row r="13" spans="2:22">
      <c r="B13" t="s">
        <v>212</v>
      </c>
      <c r="D13" s="196">
        <v>6.3163697463774593</v>
      </c>
      <c r="E13" s="196">
        <v>7.5127863565785153</v>
      </c>
      <c r="F13" s="196">
        <v>11.755221166240313</v>
      </c>
      <c r="G13" s="196">
        <v>14.858131955957658</v>
      </c>
      <c r="H13" s="196">
        <v>9.9935426477652847</v>
      </c>
      <c r="I13" s="196">
        <v>12.155160387098473</v>
      </c>
      <c r="J13" s="196">
        <v>12.398863612479254</v>
      </c>
      <c r="K13" s="196">
        <v>11.187952086317051</v>
      </c>
      <c r="L13" s="53">
        <f t="shared" si="3"/>
        <v>86.178027958814013</v>
      </c>
      <c r="N13" s="53">
        <f t="shared" si="4"/>
        <v>7.3712034940224953</v>
      </c>
      <c r="O13" s="53">
        <f t="shared" si="4"/>
        <v>8.9402157643284337</v>
      </c>
      <c r="P13" s="53">
        <f t="shared" si="4"/>
        <v>14.129775841820855</v>
      </c>
      <c r="Q13" s="53">
        <f t="shared" si="4"/>
        <v>18.245786041916006</v>
      </c>
      <c r="R13" s="53">
        <f t="shared" si="4"/>
        <v>12.731773333252972</v>
      </c>
      <c r="S13" s="53">
        <f t="shared" si="4"/>
        <v>15.959725588260294</v>
      </c>
      <c r="T13" s="53">
        <f t="shared" si="4"/>
        <v>16.726067013234513</v>
      </c>
      <c r="U13" s="53">
        <f t="shared" si="4"/>
        <v>15.528877495808064</v>
      </c>
      <c r="V13" s="53">
        <f>SUM(N13:U13)</f>
        <v>109.63342457264363</v>
      </c>
    </row>
    <row r="14" spans="2:22">
      <c r="B14" s="38" t="s">
        <v>428</v>
      </c>
      <c r="N14" s="53"/>
      <c r="O14" s="53"/>
      <c r="P14" s="53"/>
      <c r="Q14" s="53"/>
      <c r="R14" s="53"/>
      <c r="S14" s="53"/>
      <c r="T14" s="53"/>
      <c r="U14" s="53"/>
      <c r="V14" s="53"/>
    </row>
    <row r="15" spans="2:22">
      <c r="B15" t="s">
        <v>215</v>
      </c>
      <c r="D15" s="196">
        <v>25.459307795372435</v>
      </c>
      <c r="E15" s="196">
        <v>14.41280752104567</v>
      </c>
      <c r="F15" s="196">
        <v>9.6173202079823099</v>
      </c>
      <c r="G15" s="196">
        <v>60.446777499796859</v>
      </c>
      <c r="H15" s="196">
        <v>84.880198528547851</v>
      </c>
      <c r="I15" s="196">
        <v>8.5249336835233791</v>
      </c>
      <c r="J15" s="196">
        <v>0.23152878737450566</v>
      </c>
      <c r="K15" s="196">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0.31233233416820816</v>
      </c>
      <c r="U15" s="53">
        <f t="shared" si="5"/>
        <v>0</v>
      </c>
      <c r="V15" s="53">
        <f>SUM(N15:U15)</f>
        <v>252.29385799299362</v>
      </c>
    </row>
    <row r="16" spans="2:22">
      <c r="B16" t="s">
        <v>217</v>
      </c>
      <c r="D16" s="196">
        <v>97.132518315217595</v>
      </c>
      <c r="E16" s="196">
        <v>109.87971241227922</v>
      </c>
      <c r="F16" s="196">
        <v>114.43672637584547</v>
      </c>
      <c r="G16" s="196">
        <v>123.96977718673423</v>
      </c>
      <c r="H16" s="196">
        <v>138.27838395379189</v>
      </c>
      <c r="I16" s="196">
        <v>117.50342084599842</v>
      </c>
      <c r="J16" s="196">
        <v>101.87556011564801</v>
      </c>
      <c r="K16" s="196">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137.43013059600918</v>
      </c>
      <c r="U16" s="53">
        <f t="shared" si="5"/>
        <v>126.52727041318616</v>
      </c>
      <c r="V16" s="53">
        <f>SUM(N16:U16)</f>
        <v>1128.3043918706692</v>
      </c>
    </row>
    <row r="17" spans="1:22">
      <c r="B17" t="s">
        <v>204</v>
      </c>
      <c r="D17" s="196">
        <v>64.482672010544718</v>
      </c>
      <c r="E17" s="196">
        <v>65.237874215180156</v>
      </c>
      <c r="F17" s="196">
        <v>70.772894725011071</v>
      </c>
      <c r="G17" s="196">
        <v>79.368338266410362</v>
      </c>
      <c r="H17" s="196">
        <v>84.317479134504765</v>
      </c>
      <c r="I17" s="196">
        <v>84.641346358196444</v>
      </c>
      <c r="J17" s="196">
        <v>80.728014781566515</v>
      </c>
      <c r="K17" s="196">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108.90209194033322</v>
      </c>
      <c r="U17" s="53">
        <f t="shared" si="5"/>
        <v>107.55621733133628</v>
      </c>
      <c r="V17" s="53">
        <f>SUM(N17:U17)</f>
        <v>770.43055286032575</v>
      </c>
    </row>
    <row r="18" spans="1:22">
      <c r="N18" s="53"/>
      <c r="O18" s="53"/>
      <c r="P18" s="53"/>
      <c r="Q18" s="53"/>
      <c r="R18" s="53"/>
      <c r="S18" s="53"/>
      <c r="T18" s="53"/>
      <c r="U18" s="53"/>
      <c r="V18" s="53"/>
    </row>
    <row r="19" spans="1:22">
      <c r="B19" s="38" t="s">
        <v>429</v>
      </c>
      <c r="N19" s="53"/>
      <c r="O19" s="53"/>
      <c r="P19" s="53"/>
      <c r="Q19" s="53"/>
      <c r="R19" s="53"/>
      <c r="S19" s="53"/>
      <c r="T19" s="53"/>
      <c r="U19" s="53"/>
      <c r="V19" s="53"/>
    </row>
    <row r="20" spans="1:22">
      <c r="B20" t="s">
        <v>206</v>
      </c>
      <c r="D20" s="196">
        <v>26.86365188906883</v>
      </c>
      <c r="E20" s="196">
        <v>18.171864188371163</v>
      </c>
      <c r="F20" s="196">
        <v>10.751052755971946</v>
      </c>
      <c r="G20" s="196">
        <v>12.661992776253896</v>
      </c>
      <c r="H20" s="196">
        <v>32.025393538313374</v>
      </c>
      <c r="I20" s="196">
        <v>32.679532321837399</v>
      </c>
      <c r="J20" s="196">
        <v>20.504333599618437</v>
      </c>
      <c r="K20" s="196">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42.908225938572507</v>
      </c>
      <c r="T20" s="53">
        <f t="shared" si="6"/>
        <v>27.660346025885271</v>
      </c>
      <c r="U20" s="53">
        <f t="shared" si="6"/>
        <v>8.9216010392825886</v>
      </c>
      <c r="V20" s="53">
        <f>SUM(N20:U20)</f>
        <v>201.73661705217469</v>
      </c>
    </row>
    <row r="21" spans="1:22">
      <c r="B21" t="s">
        <v>204</v>
      </c>
      <c r="D21" s="196">
        <v>0</v>
      </c>
      <c r="E21" s="196">
        <v>0</v>
      </c>
      <c r="F21" s="196">
        <v>0</v>
      </c>
      <c r="G21" s="196">
        <v>0</v>
      </c>
      <c r="H21" s="196">
        <v>0</v>
      </c>
      <c r="I21" s="196">
        <v>0</v>
      </c>
      <c r="J21" s="196">
        <v>0</v>
      </c>
      <c r="K21" s="196">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345</v>
      </c>
      <c r="C23" s="60"/>
      <c r="D23" s="61">
        <f t="shared" ref="D23:L23" si="7">SUM(D15:D21)</f>
        <v>213.93815001020357</v>
      </c>
      <c r="E23" s="61">
        <f t="shared" si="7"/>
        <v>207.70225833687618</v>
      </c>
      <c r="F23" s="61">
        <f t="shared" si="7"/>
        <v>205.57799406481081</v>
      </c>
      <c r="G23" s="61">
        <f t="shared" si="7"/>
        <v>276.44688572919534</v>
      </c>
      <c r="H23" s="61">
        <f t="shared" si="7"/>
        <v>339.50145515515788</v>
      </c>
      <c r="I23" s="61">
        <f t="shared" si="7"/>
        <v>243.34923320955565</v>
      </c>
      <c r="J23" s="61">
        <f t="shared" si="7"/>
        <v>203.33943728420746</v>
      </c>
      <c r="K23" s="61">
        <f t="shared" si="7"/>
        <v>175.07571238026301</v>
      </c>
      <c r="L23" s="61">
        <f t="shared" si="7"/>
        <v>1864.9311261702699</v>
      </c>
      <c r="N23" s="61">
        <f t="shared" ref="N23:V23" si="8">SUM(N15:N21)</f>
        <v>249.66582106190759</v>
      </c>
      <c r="O23" s="61">
        <f t="shared" si="8"/>
        <v>247.16568742088268</v>
      </c>
      <c r="P23" s="61">
        <f t="shared" si="8"/>
        <v>247.10474886590254</v>
      </c>
      <c r="Q23" s="61">
        <f t="shared" si="8"/>
        <v>339.47677567545185</v>
      </c>
      <c r="R23" s="61">
        <f t="shared" si="8"/>
        <v>432.52485386767114</v>
      </c>
      <c r="S23" s="61">
        <f t="shared" si="8"/>
        <v>319.51754320414659</v>
      </c>
      <c r="T23" s="61">
        <f t="shared" si="8"/>
        <v>274.30490089639585</v>
      </c>
      <c r="U23" s="61">
        <f t="shared" si="8"/>
        <v>243.00508878380504</v>
      </c>
      <c r="V23" s="61">
        <f t="shared" si="8"/>
        <v>2352.7654197761631</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7">
        <v>110.11544616012048</v>
      </c>
      <c r="E26" s="197">
        <v>110.29121834911521</v>
      </c>
      <c r="F26" s="197">
        <v>110.32860169190292</v>
      </c>
      <c r="G26" s="197">
        <v>110.3596633646699</v>
      </c>
      <c r="H26" s="197">
        <v>110.27343835902431</v>
      </c>
      <c r="I26" s="197">
        <v>110.27662588032852</v>
      </c>
      <c r="J26" s="197">
        <v>110.30420904525512</v>
      </c>
      <c r="K26" s="197">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148.80037800204914</v>
      </c>
      <c r="U26" s="58">
        <f t="shared" si="9"/>
        <v>153.11121481880596</v>
      </c>
      <c r="V26" s="58">
        <f>SUM(N26:U26)</f>
        <v>1115.0810844209129</v>
      </c>
    </row>
    <row r="27" spans="1:22">
      <c r="N27" s="53"/>
      <c r="O27" s="53"/>
      <c r="P27" s="53"/>
      <c r="Q27" s="53"/>
      <c r="R27" s="53"/>
      <c r="S27" s="53"/>
      <c r="T27" s="53"/>
      <c r="U27" s="53"/>
      <c r="V27" s="53"/>
    </row>
    <row r="28" spans="1:22">
      <c r="A28" t="s">
        <v>346</v>
      </c>
      <c r="N28" s="53"/>
      <c r="O28" s="53"/>
      <c r="P28" s="53"/>
      <c r="Q28" s="53"/>
      <c r="R28" s="53"/>
      <c r="S28" s="53"/>
      <c r="T28" s="53"/>
      <c r="U28" s="53"/>
      <c r="V28" s="53"/>
    </row>
    <row r="29" spans="1:22">
      <c r="B29" s="38" t="s">
        <v>426</v>
      </c>
    </row>
    <row r="30" spans="1:22">
      <c r="B30" t="s">
        <v>204</v>
      </c>
      <c r="D30" s="223">
        <v>41.25953722696233</v>
      </c>
      <c r="E30" s="223">
        <v>46.155750255197084</v>
      </c>
      <c r="F30" s="223">
        <v>47.152207694654116</v>
      </c>
      <c r="G30" s="223">
        <v>52.052498453126177</v>
      </c>
      <c r="H30" s="223">
        <v>47.65690638702894</v>
      </c>
      <c r="I30" s="223">
        <v>50.321232654276216</v>
      </c>
      <c r="J30" s="223">
        <v>51.220621837579515</v>
      </c>
      <c r="K30" s="223">
        <v>50.605633409933802</v>
      </c>
      <c r="L30" s="53">
        <f>SUM(D30:K30)</f>
        <v>386.42438791875816</v>
      </c>
      <c r="N30" s="53">
        <f t="shared" ref="N30:U31" si="10">D30*N$1</f>
        <v>48.149879943865038</v>
      </c>
      <c r="O30" s="53">
        <f t="shared" si="10"/>
        <v>54.925342803684529</v>
      </c>
      <c r="P30" s="53">
        <f t="shared" si="10"/>
        <v>56.676953648974248</v>
      </c>
      <c r="Q30" s="53">
        <f t="shared" si="10"/>
        <v>63.920468100438946</v>
      </c>
      <c r="R30" s="53">
        <f t="shared" si="10"/>
        <v>60.714898737074869</v>
      </c>
      <c r="S30" s="53">
        <f t="shared" si="10"/>
        <v>66.071778475064662</v>
      </c>
      <c r="T30" s="53">
        <f t="shared" si="10"/>
        <v>69.096618858894757</v>
      </c>
      <c r="U30" s="53">
        <f t="shared" si="10"/>
        <v>70.240619172988119</v>
      </c>
      <c r="V30" s="53">
        <f>SUM(N30:U30)</f>
        <v>489.79655974098512</v>
      </c>
    </row>
    <row r="31" spans="1:22">
      <c r="B31" t="s">
        <v>206</v>
      </c>
      <c r="D31" s="223">
        <v>17.732199171749642</v>
      </c>
      <c r="E31" s="223">
        <v>27.268714530475275</v>
      </c>
      <c r="F31" s="223">
        <v>35.752448387857044</v>
      </c>
      <c r="G31" s="223">
        <v>24.740859698412429</v>
      </c>
      <c r="H31" s="223">
        <v>20.099300749501893</v>
      </c>
      <c r="I31" s="223">
        <v>18.370054167807943</v>
      </c>
      <c r="J31" s="223">
        <v>20.325072912537021</v>
      </c>
      <c r="K31" s="223">
        <v>16.93350083160648</v>
      </c>
      <c r="L31" s="53">
        <f>SUM(D31:K31)</f>
        <v>181.22215044994772</v>
      </c>
      <c r="N31" s="53">
        <f t="shared" si="10"/>
        <v>20.693476433431833</v>
      </c>
      <c r="O31" s="53">
        <f t="shared" si="10"/>
        <v>32.44977029126558</v>
      </c>
      <c r="P31" s="53">
        <f t="shared" si="10"/>
        <v>42.974442962204165</v>
      </c>
      <c r="Q31" s="53">
        <f t="shared" si="10"/>
        <v>30.381775709650462</v>
      </c>
      <c r="R31" s="53">
        <f t="shared" si="10"/>
        <v>25.606509154865414</v>
      </c>
      <c r="S31" s="53">
        <f t="shared" si="10"/>
        <v>24.119881122331829</v>
      </c>
      <c r="T31" s="53">
        <f t="shared" si="10"/>
        <v>27.41852335901244</v>
      </c>
      <c r="U31" s="53">
        <f t="shared" si="10"/>
        <v>23.503699154269793</v>
      </c>
      <c r="V31" s="53">
        <f>SUM(N31:U31)</f>
        <v>227.1480781870315</v>
      </c>
    </row>
    <row r="32" spans="1:22">
      <c r="B32" s="38" t="s">
        <v>207</v>
      </c>
      <c r="D32" s="57">
        <f t="shared" ref="D32:L32" si="11">SUM(D30:D31)</f>
        <v>58.991736398711971</v>
      </c>
      <c r="E32" s="57">
        <f t="shared" si="11"/>
        <v>73.424464785672356</v>
      </c>
      <c r="F32" s="57">
        <f t="shared" si="11"/>
        <v>82.904656082511167</v>
      </c>
      <c r="G32" s="57">
        <f t="shared" si="11"/>
        <v>76.793358151538598</v>
      </c>
      <c r="H32" s="57">
        <f t="shared" si="11"/>
        <v>67.756207136530833</v>
      </c>
      <c r="I32" s="57">
        <f t="shared" si="11"/>
        <v>68.691286822084152</v>
      </c>
      <c r="J32" s="57">
        <f t="shared" si="11"/>
        <v>71.545694750116539</v>
      </c>
      <c r="K32" s="57">
        <f t="shared" si="11"/>
        <v>67.539134241540282</v>
      </c>
      <c r="L32" s="57">
        <f t="shared" si="11"/>
        <v>567.64653836870593</v>
      </c>
      <c r="N32" s="57">
        <f t="shared" ref="N32:V32" si="12">SUM(N30:N31)</f>
        <v>68.843356377296871</v>
      </c>
      <c r="O32" s="57">
        <f t="shared" si="12"/>
        <v>87.375113094950109</v>
      </c>
      <c r="P32" s="57">
        <f t="shared" si="12"/>
        <v>99.651396611178413</v>
      </c>
      <c r="Q32" s="57">
        <f t="shared" si="12"/>
        <v>94.302243810089408</v>
      </c>
      <c r="R32" s="57">
        <f t="shared" si="12"/>
        <v>86.321407891940282</v>
      </c>
      <c r="S32" s="57">
        <f t="shared" si="12"/>
        <v>90.191659597396495</v>
      </c>
      <c r="T32" s="57">
        <f t="shared" si="12"/>
        <v>96.515142217907197</v>
      </c>
      <c r="U32" s="57">
        <f t="shared" si="12"/>
        <v>93.744318327257915</v>
      </c>
      <c r="V32" s="57">
        <f t="shared" si="12"/>
        <v>716.94463792801662</v>
      </c>
    </row>
    <row r="33" spans="2:22">
      <c r="D33" s="53"/>
      <c r="E33" s="53"/>
      <c r="F33" s="53"/>
      <c r="G33" s="53"/>
      <c r="H33" s="53"/>
      <c r="I33" s="53"/>
      <c r="J33" s="53"/>
      <c r="K33" s="53"/>
      <c r="N33" s="53"/>
      <c r="O33" s="53"/>
      <c r="P33" s="53"/>
      <c r="Q33" s="53"/>
      <c r="R33" s="53"/>
      <c r="S33" s="53"/>
      <c r="T33" s="53"/>
      <c r="U33" s="53"/>
      <c r="V33" s="53"/>
    </row>
    <row r="34" spans="2:22">
      <c r="B34" s="38" t="s">
        <v>427</v>
      </c>
      <c r="D34" s="53"/>
      <c r="E34" s="53"/>
      <c r="F34" s="53"/>
      <c r="G34" s="53"/>
      <c r="H34" s="53"/>
      <c r="I34" s="53"/>
      <c r="J34" s="53"/>
      <c r="K34" s="53"/>
      <c r="N34" s="53"/>
      <c r="O34" s="53"/>
      <c r="P34" s="53"/>
      <c r="Q34" s="53"/>
      <c r="R34" s="53"/>
      <c r="S34" s="53"/>
      <c r="T34" s="53"/>
      <c r="U34" s="53"/>
      <c r="V34" s="53"/>
    </row>
    <row r="35" spans="2:22">
      <c r="B35" t="s">
        <v>210</v>
      </c>
      <c r="D35" s="223">
        <v>0</v>
      </c>
      <c r="E35" s="223">
        <v>0</v>
      </c>
      <c r="F35" s="223">
        <v>0</v>
      </c>
      <c r="G35" s="223">
        <v>0</v>
      </c>
      <c r="H35" s="223">
        <v>0</v>
      </c>
      <c r="I35" s="223">
        <v>0</v>
      </c>
      <c r="J35" s="223">
        <v>0</v>
      </c>
      <c r="K35" s="223">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212</v>
      </c>
      <c r="D36" s="223">
        <v>0</v>
      </c>
      <c r="E36" s="223">
        <v>0</v>
      </c>
      <c r="F36" s="223">
        <v>0</v>
      </c>
      <c r="G36" s="223">
        <v>0</v>
      </c>
      <c r="H36" s="223">
        <v>0</v>
      </c>
      <c r="I36" s="223">
        <v>0</v>
      </c>
      <c r="J36" s="223">
        <v>0</v>
      </c>
      <c r="K36" s="223">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428</v>
      </c>
      <c r="N37" s="53"/>
      <c r="O37" s="53"/>
      <c r="P37" s="53"/>
      <c r="Q37" s="53"/>
      <c r="R37" s="53"/>
      <c r="S37" s="53"/>
      <c r="T37" s="53"/>
      <c r="U37" s="53"/>
      <c r="V37" s="53"/>
    </row>
    <row r="38" spans="2:22">
      <c r="B38" t="s">
        <v>215</v>
      </c>
      <c r="D38" s="223">
        <v>2.9582092617297775</v>
      </c>
      <c r="E38" s="223">
        <v>1.224305601014843</v>
      </c>
      <c r="F38" s="223">
        <v>1.1459862431889647</v>
      </c>
      <c r="G38" s="223">
        <v>60.446777499796859</v>
      </c>
      <c r="H38" s="223">
        <v>84.880198528547851</v>
      </c>
      <c r="I38" s="223">
        <v>8.5249336835233791</v>
      </c>
      <c r="J38" s="223">
        <v>0.23152878737450566</v>
      </c>
      <c r="K38" s="223">
        <v>0</v>
      </c>
      <c r="L38" s="53">
        <f>SUM(D38:K38)</f>
        <v>159.4119396051762</v>
      </c>
      <c r="N38" s="53">
        <f t="shared" ref="N38:U40" si="15">D38*N$1</f>
        <v>3.4522302084386505</v>
      </c>
      <c r="O38" s="53">
        <f t="shared" si="15"/>
        <v>1.4569236652076631</v>
      </c>
      <c r="P38" s="53">
        <f t="shared" si="15"/>
        <v>1.3774754643131355</v>
      </c>
      <c r="Q38" s="53">
        <f t="shared" si="15"/>
        <v>74.228642769750536</v>
      </c>
      <c r="R38" s="53">
        <f t="shared" si="15"/>
        <v>108.13737292536996</v>
      </c>
      <c r="S38" s="53">
        <f t="shared" si="15"/>
        <v>11.193237926466196</v>
      </c>
      <c r="T38" s="53">
        <f t="shared" si="15"/>
        <v>0.31233233416820816</v>
      </c>
      <c r="U38" s="53">
        <f t="shared" si="15"/>
        <v>0</v>
      </c>
      <c r="V38" s="53">
        <f>SUM(N38:U38)</f>
        <v>200.15821529371436</v>
      </c>
    </row>
    <row r="39" spans="2:22">
      <c r="B39" t="s">
        <v>217</v>
      </c>
      <c r="D39" s="223">
        <v>84.412296254868096</v>
      </c>
      <c r="E39" s="223">
        <v>86.3743352369832</v>
      </c>
      <c r="F39" s="223">
        <v>97.045054927824125</v>
      </c>
      <c r="G39" s="223">
        <v>136.63176996298816</v>
      </c>
      <c r="H39" s="223">
        <v>170.30377749210527</v>
      </c>
      <c r="I39" s="223">
        <v>150.18295316783582</v>
      </c>
      <c r="J39" s="223">
        <v>122.37989371526645</v>
      </c>
      <c r="K39" s="223">
        <v>97.58564225682187</v>
      </c>
      <c r="L39" s="53">
        <f>SUM(D39:K39)</f>
        <v>944.91572301469307</v>
      </c>
      <c r="N39" s="53">
        <f t="shared" si="15"/>
        <v>98.509149729431073</v>
      </c>
      <c r="O39" s="53">
        <f t="shared" si="15"/>
        <v>102.78545893201</v>
      </c>
      <c r="P39" s="53">
        <f t="shared" si="15"/>
        <v>116.6481560232446</v>
      </c>
      <c r="Q39" s="53">
        <f t="shared" si="15"/>
        <v>167.78381351454945</v>
      </c>
      <c r="R39" s="53">
        <f t="shared" si="15"/>
        <v>216.96701252494211</v>
      </c>
      <c r="S39" s="53">
        <f t="shared" si="15"/>
        <v>197.19021750936841</v>
      </c>
      <c r="T39" s="53">
        <f t="shared" si="15"/>
        <v>165.09047662189442</v>
      </c>
      <c r="U39" s="53">
        <f t="shared" si="15"/>
        <v>135.44887145246875</v>
      </c>
      <c r="V39" s="53">
        <f>SUM(N39:U39)</f>
        <v>1200.4231563079088</v>
      </c>
    </row>
    <row r="40" spans="2:22">
      <c r="B40" t="s">
        <v>204</v>
      </c>
      <c r="D40" s="223">
        <v>64.939897427967949</v>
      </c>
      <c r="E40" s="223">
        <v>68.973493103107884</v>
      </c>
      <c r="F40" s="223">
        <v>68.96776924913523</v>
      </c>
      <c r="G40" s="223">
        <v>79.368338266410362</v>
      </c>
      <c r="H40" s="223">
        <v>84.317479134504765</v>
      </c>
      <c r="I40" s="223">
        <v>84.641346358196444</v>
      </c>
      <c r="J40" s="223">
        <v>80.728014781566515</v>
      </c>
      <c r="K40" s="223">
        <v>77.490070123441129</v>
      </c>
      <c r="L40" s="53">
        <f>SUM(D40:K40)</f>
        <v>609.42640844433038</v>
      </c>
      <c r="N40" s="53">
        <f t="shared" si="15"/>
        <v>75.784860298438602</v>
      </c>
      <c r="O40" s="53">
        <f t="shared" si="15"/>
        <v>82.078456792698375</v>
      </c>
      <c r="P40" s="53">
        <f t="shared" si="15"/>
        <v>82.899258637460548</v>
      </c>
      <c r="Q40" s="53">
        <f t="shared" si="15"/>
        <v>97.464319391151918</v>
      </c>
      <c r="R40" s="53">
        <f t="shared" si="15"/>
        <v>107.42046841735907</v>
      </c>
      <c r="S40" s="53">
        <f t="shared" si="15"/>
        <v>111.13408776831193</v>
      </c>
      <c r="T40" s="53">
        <f t="shared" si="15"/>
        <v>108.90209194033322</v>
      </c>
      <c r="U40" s="53">
        <f t="shared" si="15"/>
        <v>107.55621733133628</v>
      </c>
      <c r="V40" s="53">
        <f>SUM(N40:U40)</f>
        <v>773.2397605770899</v>
      </c>
    </row>
    <row r="41" spans="2:22">
      <c r="N41" s="53"/>
      <c r="O41" s="53"/>
      <c r="P41" s="53"/>
      <c r="Q41" s="53"/>
      <c r="R41" s="53"/>
      <c r="S41" s="53"/>
      <c r="T41" s="53"/>
      <c r="U41" s="53"/>
      <c r="V41" s="53"/>
    </row>
    <row r="42" spans="2:22">
      <c r="B42" s="38" t="s">
        <v>429</v>
      </c>
      <c r="N42" s="53"/>
      <c r="O42" s="53"/>
      <c r="P42" s="53"/>
      <c r="Q42" s="53"/>
      <c r="R42" s="53"/>
      <c r="S42" s="53"/>
      <c r="T42" s="53"/>
      <c r="U42" s="53"/>
      <c r="V42" s="53"/>
    </row>
    <row r="43" spans="2:22">
      <c r="B43" t="s">
        <v>215</v>
      </c>
      <c r="D43" s="223">
        <v>0</v>
      </c>
      <c r="E43" s="223">
        <v>0</v>
      </c>
      <c r="F43" s="223">
        <v>0</v>
      </c>
      <c r="G43" s="223">
        <v>0</v>
      </c>
      <c r="H43" s="223">
        <v>0</v>
      </c>
      <c r="I43" s="223">
        <v>0</v>
      </c>
      <c r="J43" s="223">
        <v>0</v>
      </c>
      <c r="K43" s="223">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217</v>
      </c>
      <c r="D44" s="223">
        <v>30.596699438443096</v>
      </c>
      <c r="E44" s="223">
        <v>21.797406405089944</v>
      </c>
      <c r="F44" s="223">
        <v>14.156469232690387</v>
      </c>
      <c r="G44" s="223">
        <v>0</v>
      </c>
      <c r="H44" s="223">
        <v>0</v>
      </c>
      <c r="I44" s="223">
        <v>0</v>
      </c>
      <c r="J44" s="223">
        <v>0</v>
      </c>
      <c r="K44" s="223">
        <v>0</v>
      </c>
      <c r="L44" s="53">
        <f>SUM(D44:K44)</f>
        <v>66.550575076223424</v>
      </c>
      <c r="N44" s="53">
        <f t="shared" si="16"/>
        <v>35.706348244663097</v>
      </c>
      <c r="O44" s="53">
        <f t="shared" si="16"/>
        <v>25.938913622057033</v>
      </c>
      <c r="P44" s="53">
        <f t="shared" si="16"/>
        <v>17.016076017693845</v>
      </c>
      <c r="Q44" s="53">
        <f t="shared" si="16"/>
        <v>0</v>
      </c>
      <c r="R44" s="53">
        <f t="shared" si="16"/>
        <v>0</v>
      </c>
      <c r="S44" s="53">
        <f t="shared" si="16"/>
        <v>0</v>
      </c>
      <c r="T44" s="53">
        <f t="shared" si="16"/>
        <v>0</v>
      </c>
      <c r="U44" s="53">
        <f t="shared" si="16"/>
        <v>0</v>
      </c>
      <c r="V44" s="53">
        <f>SUM(N44:U44)</f>
        <v>78.661337884413982</v>
      </c>
    </row>
    <row r="45" spans="2:22">
      <c r="B45" t="s">
        <v>204</v>
      </c>
      <c r="D45" s="223">
        <v>5.1391603645121426</v>
      </c>
      <c r="E45" s="223">
        <v>3.6238524299518828</v>
      </c>
      <c r="F45" s="223">
        <v>5.1058779804407157</v>
      </c>
      <c r="G45" s="223">
        <v>0</v>
      </c>
      <c r="H45" s="223">
        <v>0</v>
      </c>
      <c r="I45" s="223">
        <v>0</v>
      </c>
      <c r="J45" s="223">
        <v>0</v>
      </c>
      <c r="K45" s="223">
        <v>0</v>
      </c>
      <c r="L45" s="53">
        <f>SUM(D45:K45)</f>
        <v>13.868890774904742</v>
      </c>
      <c r="N45" s="53">
        <f t="shared" si="16"/>
        <v>5.9974001453856705</v>
      </c>
      <c r="O45" s="53">
        <f t="shared" si="16"/>
        <v>4.3123843916427402</v>
      </c>
      <c r="P45" s="53">
        <f t="shared" si="16"/>
        <v>6.1372653324897399</v>
      </c>
      <c r="Q45" s="53">
        <f t="shared" si="16"/>
        <v>0</v>
      </c>
      <c r="R45" s="53">
        <f t="shared" si="16"/>
        <v>0</v>
      </c>
      <c r="S45" s="53">
        <f t="shared" si="16"/>
        <v>0</v>
      </c>
      <c r="T45" s="53">
        <f t="shared" si="16"/>
        <v>0</v>
      </c>
      <c r="U45" s="53">
        <f t="shared" si="16"/>
        <v>0</v>
      </c>
      <c r="V45" s="53">
        <f>SUM(N45:U45)</f>
        <v>16.44704986951815</v>
      </c>
    </row>
    <row r="46" spans="2:22">
      <c r="N46" s="53"/>
      <c r="O46" s="53"/>
      <c r="P46" s="53"/>
      <c r="Q46" s="53"/>
      <c r="R46" s="53"/>
      <c r="S46" s="53"/>
      <c r="T46" s="53"/>
      <c r="U46" s="53"/>
      <c r="V46" s="53"/>
    </row>
    <row r="47" spans="2:22" ht="15.6">
      <c r="B47" s="59" t="s">
        <v>345</v>
      </c>
      <c r="C47" s="60"/>
      <c r="D47" s="61">
        <f t="shared" ref="D47:L47" si="17">SUM(D38:D45)</f>
        <v>188.04626274752107</v>
      </c>
      <c r="E47" s="61">
        <f t="shared" si="17"/>
        <v>181.99339277614777</v>
      </c>
      <c r="F47" s="61">
        <f t="shared" si="17"/>
        <v>186.42115763327942</v>
      </c>
      <c r="G47" s="61">
        <f t="shared" si="17"/>
        <v>276.4468857291954</v>
      </c>
      <c r="H47" s="61">
        <f t="shared" si="17"/>
        <v>339.50145515515788</v>
      </c>
      <c r="I47" s="61">
        <f t="shared" si="17"/>
        <v>243.34923320955565</v>
      </c>
      <c r="J47" s="61">
        <f t="shared" si="17"/>
        <v>203.33943728420746</v>
      </c>
      <c r="K47" s="61">
        <f t="shared" si="17"/>
        <v>175.07571238026298</v>
      </c>
      <c r="L47" s="61">
        <f t="shared" si="17"/>
        <v>1794.1735369153278</v>
      </c>
      <c r="N47" s="61">
        <f t="shared" ref="N47:V47" si="18">SUM(N38:N45)</f>
        <v>219.44998862635711</v>
      </c>
      <c r="O47" s="61">
        <f t="shared" si="18"/>
        <v>216.57213740361584</v>
      </c>
      <c r="P47" s="61">
        <f t="shared" si="18"/>
        <v>224.07823147520187</v>
      </c>
      <c r="Q47" s="61">
        <f t="shared" si="18"/>
        <v>339.4767756754519</v>
      </c>
      <c r="R47" s="61">
        <f t="shared" si="18"/>
        <v>432.52485386767114</v>
      </c>
      <c r="S47" s="61">
        <f t="shared" si="18"/>
        <v>319.51754320414653</v>
      </c>
      <c r="T47" s="61">
        <f t="shared" si="18"/>
        <v>274.30490089639585</v>
      </c>
      <c r="U47" s="61">
        <f t="shared" si="18"/>
        <v>243.00508878380504</v>
      </c>
      <c r="V47" s="61">
        <f t="shared" si="18"/>
        <v>2268.9295199326452</v>
      </c>
    </row>
    <row r="48" spans="2:22">
      <c r="N48" s="53"/>
      <c r="O48" s="53"/>
      <c r="P48" s="53"/>
      <c r="Q48" s="53"/>
      <c r="R48" s="53"/>
      <c r="S48" s="53"/>
      <c r="T48" s="53"/>
      <c r="U48" s="53"/>
      <c r="V48" s="53"/>
    </row>
    <row r="49" spans="1:16">
      <c r="D49" s="53"/>
      <c r="E49" s="53"/>
      <c r="F49" s="53"/>
      <c r="G49" s="53"/>
      <c r="H49" s="53"/>
      <c r="I49" s="53"/>
      <c r="J49" s="53"/>
      <c r="K49" s="53"/>
      <c r="L49" s="53"/>
    </row>
    <row r="50" spans="1:16" s="195" customFormat="1">
      <c r="D50" s="196"/>
      <c r="E50" s="196"/>
      <c r="F50" s="196"/>
      <c r="G50" s="196"/>
      <c r="H50" s="196"/>
      <c r="I50" s="196"/>
      <c r="J50" s="196"/>
      <c r="K50" s="196"/>
      <c r="L50" s="196"/>
    </row>
    <row r="51" spans="1:16" ht="13.8" thickBot="1"/>
    <row r="52" spans="1:16" ht="16.8">
      <c r="A52" s="68"/>
      <c r="B52" s="69" t="s">
        <v>237</v>
      </c>
      <c r="D52" s="70">
        <v>41729</v>
      </c>
      <c r="E52" s="71">
        <v>42094</v>
      </c>
      <c r="F52" s="71">
        <v>42460</v>
      </c>
      <c r="G52" s="71">
        <v>42825</v>
      </c>
      <c r="H52" s="71">
        <v>43190</v>
      </c>
      <c r="I52" s="71">
        <v>43555</v>
      </c>
      <c r="J52" s="71">
        <v>43921</v>
      </c>
      <c r="K52" s="72">
        <v>44286</v>
      </c>
      <c r="L52" s="73" t="s">
        <v>238</v>
      </c>
    </row>
    <row r="53" spans="1:16" ht="16.8">
      <c r="A53" s="74"/>
      <c r="B53" s="75" t="s">
        <v>239</v>
      </c>
      <c r="D53" s="76" t="s">
        <v>240</v>
      </c>
      <c r="E53" s="77" t="s">
        <v>240</v>
      </c>
      <c r="F53" s="77" t="s">
        <v>240</v>
      </c>
      <c r="G53" s="77" t="s">
        <v>240</v>
      </c>
      <c r="H53" s="77" t="s">
        <v>240</v>
      </c>
      <c r="I53" s="77" t="s">
        <v>240</v>
      </c>
      <c r="J53" s="77" t="s">
        <v>240</v>
      </c>
      <c r="K53" s="78" t="s">
        <v>240</v>
      </c>
      <c r="L53" s="79" t="s">
        <v>240</v>
      </c>
    </row>
    <row r="54" spans="1:16" ht="16.8">
      <c r="A54" s="80"/>
      <c r="B54" s="81" t="s">
        <v>207</v>
      </c>
      <c r="D54" s="82"/>
      <c r="E54" s="83"/>
      <c r="F54" s="83"/>
      <c r="G54" s="83"/>
      <c r="H54" s="83"/>
      <c r="I54" s="83"/>
      <c r="J54" s="83"/>
      <c r="K54" s="84"/>
      <c r="L54" s="85"/>
    </row>
    <row r="55" spans="1:16" ht="16.8">
      <c r="A55" s="86">
        <v>1</v>
      </c>
      <c r="B55" s="75" t="s">
        <v>241</v>
      </c>
      <c r="D55" s="87">
        <v>136.63938411891002</v>
      </c>
      <c r="E55" s="88">
        <v>130.23280193370653</v>
      </c>
      <c r="F55" s="88">
        <v>129.49252456658897</v>
      </c>
      <c r="G55" s="88">
        <v>181.27326456032281</v>
      </c>
      <c r="H55" s="88">
        <v>226.8374378657299</v>
      </c>
      <c r="I55" s="88">
        <v>165.0828664613442</v>
      </c>
      <c r="J55" s="88">
        <v>136.19970701253195</v>
      </c>
      <c r="K55" s="89">
        <v>114.39424138532189</v>
      </c>
      <c r="L55" s="90">
        <v>1220.1522279044564</v>
      </c>
    </row>
    <row r="56" spans="1:16" ht="16.8">
      <c r="A56" s="86">
        <v>2</v>
      </c>
      <c r="B56" s="75" t="s">
        <v>242</v>
      </c>
      <c r="D56" s="87">
        <v>62.892519818336993</v>
      </c>
      <c r="E56" s="88">
        <v>63.165043605180387</v>
      </c>
      <c r="F56" s="88">
        <v>65.426605707717755</v>
      </c>
      <c r="G56" s="88">
        <v>95.173621168872529</v>
      </c>
      <c r="H56" s="88">
        <v>112.66401728942797</v>
      </c>
      <c r="I56" s="88">
        <v>78.266366748211425</v>
      </c>
      <c r="J56" s="88">
        <v>67.139730271675546</v>
      </c>
      <c r="K56" s="89">
        <v>60.681470994941087</v>
      </c>
      <c r="L56" s="90">
        <v>605.40937560436373</v>
      </c>
    </row>
    <row r="57" spans="1:16" ht="16.8">
      <c r="A57" s="86">
        <v>3</v>
      </c>
      <c r="B57" s="75" t="s">
        <v>243</v>
      </c>
      <c r="D57" s="87">
        <v>199.53190393724702</v>
      </c>
      <c r="E57" s="88">
        <v>193.39784553888688</v>
      </c>
      <c r="F57" s="88">
        <v>194.91913027430672</v>
      </c>
      <c r="G57" s="88">
        <v>276.44688572919534</v>
      </c>
      <c r="H57" s="88">
        <v>339.50145515515788</v>
      </c>
      <c r="I57" s="88">
        <v>243.34923320955562</v>
      </c>
      <c r="J57" s="88">
        <v>203.33943728420749</v>
      </c>
      <c r="K57" s="89">
        <v>175.07571238026298</v>
      </c>
      <c r="L57" s="90">
        <v>1825.5616035088199</v>
      </c>
      <c r="P57" s="118"/>
    </row>
    <row r="58" spans="1:16" ht="16.8">
      <c r="A58" s="80"/>
      <c r="B58" s="81" t="s">
        <v>244</v>
      </c>
      <c r="D58" s="82">
        <v>0</v>
      </c>
      <c r="E58" s="83">
        <v>0</v>
      </c>
      <c r="F58" s="83">
        <v>0</v>
      </c>
      <c r="G58" s="83">
        <v>0</v>
      </c>
      <c r="H58" s="83">
        <v>0</v>
      </c>
      <c r="I58" s="83">
        <v>0</v>
      </c>
      <c r="J58" s="83">
        <v>0</v>
      </c>
      <c r="K58" s="84">
        <v>0</v>
      </c>
      <c r="L58" s="85">
        <v>0</v>
      </c>
    </row>
    <row r="59" spans="1:16" ht="16.8">
      <c r="A59" s="86">
        <v>4</v>
      </c>
      <c r="B59" s="75" t="s">
        <v>245</v>
      </c>
      <c r="D59" s="87">
        <v>4014.3985484751774</v>
      </c>
      <c r="E59" s="88">
        <v>4319.2414651580702</v>
      </c>
      <c r="F59" s="88">
        <v>4309.3651497654646</v>
      </c>
      <c r="G59" s="88">
        <v>4297.832555337659</v>
      </c>
      <c r="H59" s="88">
        <v>4349.2363516300566</v>
      </c>
      <c r="I59" s="88">
        <v>4893.1729985295124</v>
      </c>
      <c r="J59" s="88">
        <v>4963.9737066288462</v>
      </c>
      <c r="K59" s="89">
        <v>4954.8635287699854</v>
      </c>
      <c r="L59" s="90">
        <v>0</v>
      </c>
    </row>
    <row r="60" spans="1:16" ht="16.8">
      <c r="A60" s="86">
        <v>5</v>
      </c>
      <c r="B60" s="75" t="s">
        <v>246</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247</v>
      </c>
      <c r="D61" s="87">
        <v>4253.3070362551225</v>
      </c>
      <c r="E61" s="88">
        <v>4320.8304301185235</v>
      </c>
      <c r="F61" s="88">
        <v>4311.302315409016</v>
      </c>
      <c r="G61" s="88">
        <v>4312.4872561766897</v>
      </c>
      <c r="H61" s="88">
        <v>4825.0584920819156</v>
      </c>
      <c r="I61" s="88">
        <v>4962.5228022480851</v>
      </c>
      <c r="J61" s="88">
        <v>4984.7531493356819</v>
      </c>
      <c r="K61" s="89">
        <v>4955.6741514230434</v>
      </c>
      <c r="L61" s="90">
        <v>0</v>
      </c>
    </row>
    <row r="62" spans="1:16" ht="16.8">
      <c r="A62" s="86">
        <v>7</v>
      </c>
      <c r="B62" s="75" t="s">
        <v>248</v>
      </c>
      <c r="D62" s="87">
        <v>204.71300072317223</v>
      </c>
      <c r="E62" s="88">
        <v>130.22504395360187</v>
      </c>
      <c r="F62" s="88">
        <v>129.48476658648431</v>
      </c>
      <c r="G62" s="88">
        <v>181.26550658021816</v>
      </c>
      <c r="H62" s="88">
        <v>226.82967988562524</v>
      </c>
      <c r="I62" s="88">
        <v>165.07510848123954</v>
      </c>
      <c r="J62" s="88">
        <v>136.19194903242729</v>
      </c>
      <c r="K62" s="89">
        <v>114.38648340521722</v>
      </c>
      <c r="L62" s="90">
        <v>1288.1715386479859</v>
      </c>
    </row>
    <row r="63" spans="1:16" ht="16.8">
      <c r="A63" s="86">
        <v>8</v>
      </c>
      <c r="B63" s="75" t="s">
        <v>249</v>
      </c>
      <c r="D63" s="87">
        <v>-138.77857182022461</v>
      </c>
      <c r="E63" s="88">
        <v>-141.69032430666061</v>
      </c>
      <c r="F63" s="88">
        <v>-142.95452665784171</v>
      </c>
      <c r="G63" s="88">
        <v>-144.51641112685095</v>
      </c>
      <c r="H63" s="88">
        <v>-158.71517343802884</v>
      </c>
      <c r="I63" s="88">
        <v>-163.62420410047758</v>
      </c>
      <c r="J63" s="88">
        <v>-166.08156959812362</v>
      </c>
      <c r="K63" s="89">
        <v>-167.45333555126766</v>
      </c>
      <c r="L63" s="90">
        <v>-1223.8141165994757</v>
      </c>
    </row>
    <row r="64" spans="1:16" ht="16.8">
      <c r="A64" s="86">
        <v>9</v>
      </c>
      <c r="B64" s="75" t="s">
        <v>250</v>
      </c>
      <c r="D64" s="87">
        <v>4319.2414651580702</v>
      </c>
      <c r="E64" s="88">
        <v>4309.3651497654646</v>
      </c>
      <c r="F64" s="88">
        <v>4297.832555337659</v>
      </c>
      <c r="G64" s="88">
        <v>4349.2363516300566</v>
      </c>
      <c r="H64" s="88">
        <v>4893.1729985295124</v>
      </c>
      <c r="I64" s="88">
        <v>4963.9737066288462</v>
      </c>
      <c r="J64" s="88">
        <v>4954.8635287699854</v>
      </c>
      <c r="K64" s="89">
        <v>4902.6072992769932</v>
      </c>
      <c r="L64" s="90">
        <v>0</v>
      </c>
    </row>
    <row r="65" spans="1:12" ht="16.8">
      <c r="A65" s="80"/>
      <c r="B65" s="81" t="s">
        <v>251</v>
      </c>
      <c r="D65" s="91">
        <v>0</v>
      </c>
      <c r="E65" s="92">
        <v>0</v>
      </c>
      <c r="F65" s="92">
        <v>0</v>
      </c>
      <c r="G65" s="92">
        <v>0</v>
      </c>
      <c r="H65" s="92">
        <v>0</v>
      </c>
      <c r="I65" s="92">
        <v>0</v>
      </c>
      <c r="J65" s="92">
        <v>0</v>
      </c>
      <c r="K65" s="93">
        <v>0</v>
      </c>
      <c r="L65" s="94">
        <v>0</v>
      </c>
    </row>
    <row r="66" spans="1:12" ht="16.8">
      <c r="A66" s="86">
        <v>10</v>
      </c>
      <c r="B66" s="75" t="s">
        <v>252</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253</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254</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255</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256</v>
      </c>
      <c r="D70" s="87">
        <v>0</v>
      </c>
      <c r="E70" s="88">
        <v>0</v>
      </c>
      <c r="F70" s="88">
        <v>0</v>
      </c>
      <c r="G70" s="88">
        <v>0</v>
      </c>
      <c r="H70" s="88">
        <v>0</v>
      </c>
      <c r="I70" s="88">
        <v>0</v>
      </c>
      <c r="J70" s="88">
        <v>0</v>
      </c>
      <c r="K70" s="89">
        <v>0</v>
      </c>
      <c r="L70" s="90">
        <v>0</v>
      </c>
    </row>
    <row r="71" spans="1:12" ht="16.8">
      <c r="A71" s="86">
        <v>15</v>
      </c>
      <c r="B71" s="75" t="s">
        <v>257</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258</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259</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260</v>
      </c>
      <c r="D74" s="91">
        <v>0</v>
      </c>
      <c r="E74" s="92">
        <v>0</v>
      </c>
      <c r="F74" s="92">
        <v>0</v>
      </c>
      <c r="G74" s="92">
        <v>0</v>
      </c>
      <c r="H74" s="92">
        <v>0</v>
      </c>
      <c r="I74" s="92">
        <v>0</v>
      </c>
      <c r="J74" s="92">
        <v>0</v>
      </c>
      <c r="K74" s="93">
        <v>0</v>
      </c>
      <c r="L74" s="94">
        <v>0</v>
      </c>
    </row>
    <row r="75" spans="1:12" ht="16.8">
      <c r="A75" s="86">
        <v>18</v>
      </c>
      <c r="B75" s="75" t="s">
        <v>252</v>
      </c>
      <c r="D75" s="87">
        <v>62.892519818336993</v>
      </c>
      <c r="E75" s="88">
        <v>63.165043605180387</v>
      </c>
      <c r="F75" s="88">
        <v>65.426605707717755</v>
      </c>
      <c r="G75" s="88">
        <v>95.173621168872529</v>
      </c>
      <c r="H75" s="88">
        <v>112.66401728942797</v>
      </c>
      <c r="I75" s="88">
        <v>78.266366748211425</v>
      </c>
      <c r="J75" s="88">
        <v>67.139730271675546</v>
      </c>
      <c r="K75" s="89">
        <v>60.681470994941087</v>
      </c>
      <c r="L75" s="90">
        <v>605.40937560436373</v>
      </c>
    </row>
    <row r="76" spans="1:12" ht="16.8">
      <c r="A76" s="86">
        <v>19</v>
      </c>
      <c r="B76" s="75" t="s">
        <v>253</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254</v>
      </c>
      <c r="D77" s="87">
        <v>138.77857182022461</v>
      </c>
      <c r="E77" s="88">
        <v>141.69032430666061</v>
      </c>
      <c r="F77" s="88">
        <v>142.95452665784171</v>
      </c>
      <c r="G77" s="88">
        <v>144.51641112685095</v>
      </c>
      <c r="H77" s="88">
        <v>158.71517343802884</v>
      </c>
      <c r="I77" s="88">
        <v>163.62420410047758</v>
      </c>
      <c r="J77" s="88">
        <v>166.08156959812362</v>
      </c>
      <c r="K77" s="89">
        <v>167.45333555126766</v>
      </c>
      <c r="L77" s="90">
        <v>1223.8141165994757</v>
      </c>
    </row>
    <row r="78" spans="1:12" ht="16.8">
      <c r="A78" s="86">
        <v>21</v>
      </c>
      <c r="B78" s="75" t="s">
        <v>255</v>
      </c>
      <c r="D78" s="87">
        <v>183.56411613696253</v>
      </c>
      <c r="E78" s="88">
        <v>179.65842307408684</v>
      </c>
      <c r="F78" s="88">
        <v>174.82749496707294</v>
      </c>
      <c r="G78" s="88">
        <v>171.45118410971321</v>
      </c>
      <c r="H78" s="88">
        <v>187.6782154631511</v>
      </c>
      <c r="I78" s="88">
        <v>191.72562783691322</v>
      </c>
      <c r="J78" s="88">
        <v>191.99072579727238</v>
      </c>
      <c r="K78" s="89">
        <v>190.42841268369696</v>
      </c>
      <c r="L78" s="90">
        <v>1471.3242000688692</v>
      </c>
    </row>
    <row r="79" spans="1:12" ht="16.8">
      <c r="A79" s="86">
        <v>22</v>
      </c>
      <c r="B79" s="75" t="s">
        <v>256</v>
      </c>
      <c r="D79" s="87">
        <v>0</v>
      </c>
      <c r="E79" s="88">
        <v>0</v>
      </c>
      <c r="F79" s="88">
        <v>0</v>
      </c>
      <c r="G79" s="88">
        <v>0</v>
      </c>
      <c r="H79" s="88">
        <v>0</v>
      </c>
      <c r="I79" s="88">
        <v>0</v>
      </c>
      <c r="J79" s="88">
        <v>0</v>
      </c>
      <c r="K79" s="89">
        <v>0</v>
      </c>
      <c r="L79" s="90">
        <v>0</v>
      </c>
    </row>
    <row r="80" spans="1:12" ht="16.8">
      <c r="A80" s="86">
        <v>23</v>
      </c>
      <c r="B80" s="75" t="s">
        <v>257</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258</v>
      </c>
      <c r="D81" s="87">
        <v>30.869108646805437</v>
      </c>
      <c r="E81" s="88">
        <v>31.949126967465027</v>
      </c>
      <c r="F81" s="88">
        <v>55.612903336484713</v>
      </c>
      <c r="G81" s="88">
        <v>56.523707623444601</v>
      </c>
      <c r="H81" s="88">
        <v>76.049276928907304</v>
      </c>
      <c r="I81" s="88">
        <v>77.115228025772595</v>
      </c>
      <c r="J81" s="88">
        <v>78.323150947076982</v>
      </c>
      <c r="K81" s="89">
        <v>79.374698333407707</v>
      </c>
      <c r="L81" s="90">
        <v>485.81720080936435</v>
      </c>
    </row>
    <row r="82" spans="1:12" ht="16.8">
      <c r="A82" s="86">
        <v>25</v>
      </c>
      <c r="B82" s="75" t="s">
        <v>259</v>
      </c>
      <c r="D82" s="87">
        <v>9.4360462313909768</v>
      </c>
      <c r="E82" s="88">
        <v>11.740216183090423</v>
      </c>
      <c r="F82" s="88">
        <v>14.854232411461277</v>
      </c>
      <c r="G82" s="88">
        <v>21.982933795297036</v>
      </c>
      <c r="H82" s="88">
        <v>27.815638481774076</v>
      </c>
      <c r="I82" s="88">
        <v>21.506622795562084</v>
      </c>
      <c r="J82" s="88">
        <v>22.999644235375552</v>
      </c>
      <c r="K82" s="89">
        <v>26.330197352302296</v>
      </c>
      <c r="L82" s="90">
        <v>156.66553148625371</v>
      </c>
    </row>
    <row r="83" spans="1:12" ht="16.8">
      <c r="A83" s="80"/>
      <c r="B83" s="81" t="s">
        <v>261</v>
      </c>
      <c r="D83" s="91">
        <v>0</v>
      </c>
      <c r="E83" s="92">
        <v>0</v>
      </c>
      <c r="F83" s="92">
        <v>0</v>
      </c>
      <c r="G83" s="92">
        <v>0</v>
      </c>
      <c r="H83" s="92">
        <v>0</v>
      </c>
      <c r="I83" s="92">
        <v>0</v>
      </c>
      <c r="J83" s="92">
        <v>0</v>
      </c>
      <c r="K83" s="93">
        <v>0</v>
      </c>
      <c r="L83" s="95">
        <v>0</v>
      </c>
    </row>
    <row r="84" spans="1:12" ht="16.8">
      <c r="A84" s="86">
        <v>26</v>
      </c>
      <c r="B84" s="75" t="s">
        <v>262</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263</v>
      </c>
      <c r="D85" s="87">
        <v>0</v>
      </c>
      <c r="E85" s="88">
        <v>7.660590030135495</v>
      </c>
      <c r="F85" s="88">
        <v>9.903155913025671</v>
      </c>
      <c r="G85" s="88">
        <v>10.462384566159812</v>
      </c>
      <c r="H85" s="88">
        <v>5.9179485259908233</v>
      </c>
      <c r="I85" s="88">
        <v>0</v>
      </c>
      <c r="J85" s="88">
        <v>0</v>
      </c>
      <c r="K85" s="89">
        <v>0</v>
      </c>
      <c r="L85" s="90">
        <v>33.944079035311802</v>
      </c>
    </row>
    <row r="86" spans="1:12" ht="16.8">
      <c r="A86" s="86">
        <v>28</v>
      </c>
      <c r="B86" s="75" t="s">
        <v>264</v>
      </c>
      <c r="D86" s="96">
        <v>538.68614139232659</v>
      </c>
      <c r="E86" s="88">
        <v>550.58732273144278</v>
      </c>
      <c r="F86" s="88">
        <v>557.86823912563909</v>
      </c>
      <c r="G86" s="88">
        <v>591.0323137873454</v>
      </c>
      <c r="H86" s="88">
        <v>664.53714335945017</v>
      </c>
      <c r="I86" s="88">
        <v>626.8699596364122</v>
      </c>
      <c r="J86" s="88">
        <v>621.72446923422729</v>
      </c>
      <c r="K86" s="89">
        <v>620.33812984496751</v>
      </c>
      <c r="L86" s="90">
        <v>4771.6437191118112</v>
      </c>
    </row>
    <row r="87" spans="1:12" ht="16.8">
      <c r="A87" s="86">
        <v>29</v>
      </c>
      <c r="B87" s="75" t="s">
        <v>168</v>
      </c>
      <c r="D87" s="96">
        <v>0</v>
      </c>
      <c r="E87" s="88">
        <v>0</v>
      </c>
      <c r="F87" s="88">
        <v>0</v>
      </c>
      <c r="G87" s="88">
        <v>0</v>
      </c>
      <c r="H87" s="88">
        <v>0</v>
      </c>
      <c r="I87" s="88">
        <v>0</v>
      </c>
      <c r="J87" s="88">
        <v>0</v>
      </c>
      <c r="K87" s="89">
        <v>0</v>
      </c>
      <c r="L87" s="90">
        <v>0</v>
      </c>
    </row>
    <row r="88" spans="1:12" ht="16.8">
      <c r="A88" s="86">
        <v>30</v>
      </c>
      <c r="B88" s="75" t="s">
        <v>265</v>
      </c>
      <c r="D88" s="96">
        <v>0</v>
      </c>
      <c r="E88" s="88">
        <v>0</v>
      </c>
      <c r="F88" s="88">
        <v>0</v>
      </c>
      <c r="G88" s="88">
        <v>0</v>
      </c>
      <c r="H88" s="88">
        <v>0</v>
      </c>
      <c r="I88" s="88">
        <v>0</v>
      </c>
      <c r="J88" s="88">
        <v>0</v>
      </c>
      <c r="K88" s="89">
        <v>0</v>
      </c>
      <c r="L88" s="90">
        <v>0</v>
      </c>
    </row>
    <row r="89" spans="1:12" ht="16.8">
      <c r="A89" s="86">
        <v>31</v>
      </c>
      <c r="B89" s="75" t="s">
        <v>266</v>
      </c>
      <c r="D89" s="96">
        <v>3.5</v>
      </c>
      <c r="E89" s="88">
        <v>2.9</v>
      </c>
      <c r="F89" s="88">
        <v>3</v>
      </c>
      <c r="G89" s="88">
        <v>3.1</v>
      </c>
      <c r="H89" s="88">
        <v>3</v>
      </c>
      <c r="I89" s="88">
        <v>3</v>
      </c>
      <c r="J89" s="88">
        <v>3</v>
      </c>
      <c r="K89" s="89">
        <v>3</v>
      </c>
      <c r="L89" s="90">
        <v>24.5</v>
      </c>
    </row>
    <row r="90" spans="1:12" ht="16.8">
      <c r="A90" s="86">
        <v>32</v>
      </c>
      <c r="B90" s="75" t="s">
        <v>267</v>
      </c>
      <c r="D90" s="96">
        <v>542.18614139232659</v>
      </c>
      <c r="E90" s="88">
        <v>553.48732273144276</v>
      </c>
      <c r="F90" s="88">
        <v>560.86823912563909</v>
      </c>
      <c r="G90" s="88">
        <v>594.13231378734542</v>
      </c>
      <c r="H90" s="88">
        <v>667.53714335945017</v>
      </c>
      <c r="I90" s="88">
        <v>629.8699596364122</v>
      </c>
      <c r="J90" s="88">
        <v>624.72446923422729</v>
      </c>
      <c r="K90" s="89">
        <v>623.33812984496751</v>
      </c>
      <c r="L90" s="90">
        <v>4796.1437191118112</v>
      </c>
    </row>
    <row r="91" spans="1:12" ht="16.8">
      <c r="A91" s="80"/>
      <c r="B91" s="81" t="s">
        <v>268</v>
      </c>
      <c r="D91" s="91">
        <v>0</v>
      </c>
      <c r="E91" s="92">
        <v>0</v>
      </c>
      <c r="F91" s="92">
        <v>0</v>
      </c>
      <c r="G91" s="92">
        <v>0</v>
      </c>
      <c r="H91" s="92">
        <v>0</v>
      </c>
      <c r="I91" s="97">
        <v>0</v>
      </c>
      <c r="J91" s="92">
        <v>0</v>
      </c>
      <c r="K91" s="93">
        <v>0</v>
      </c>
      <c r="L91" s="95">
        <v>0</v>
      </c>
    </row>
    <row r="92" spans="1:12" ht="16.8">
      <c r="A92" s="86">
        <v>33</v>
      </c>
      <c r="B92" s="75" t="s">
        <v>268</v>
      </c>
      <c r="D92" s="87">
        <v>534.52623699283572</v>
      </c>
      <c r="E92" s="88">
        <v>537.34995175431573</v>
      </c>
      <c r="F92" s="88">
        <v>562.82798303640618</v>
      </c>
      <c r="G92" s="88">
        <v>598.41476544245256</v>
      </c>
      <c r="H92" s="88">
        <v>671.33919320041684</v>
      </c>
      <c r="I92" s="88">
        <v>641.24263371374821</v>
      </c>
      <c r="J92" s="88">
        <v>635.73505589999684</v>
      </c>
      <c r="K92" s="89">
        <v>633.56047708964866</v>
      </c>
      <c r="L92" s="90">
        <v>4814.996297129821</v>
      </c>
    </row>
    <row r="93" spans="1:12" ht="16.8">
      <c r="A93" s="86">
        <v>34</v>
      </c>
      <c r="B93" s="75" t="s">
        <v>269</v>
      </c>
      <c r="D93" s="87">
        <v>534.38954985320231</v>
      </c>
      <c r="E93" s="88">
        <v>537.0283375200413</v>
      </c>
      <c r="F93" s="88">
        <v>569.78290301742379</v>
      </c>
      <c r="G93" s="88">
        <v>598.21379572758349</v>
      </c>
      <c r="H93" s="88">
        <v>677.06754779224821</v>
      </c>
      <c r="I93" s="88">
        <v>646.08535887106859</v>
      </c>
      <c r="J93" s="88">
        <v>640.65821830959851</v>
      </c>
      <c r="K93" s="89">
        <v>638.53235279274963</v>
      </c>
      <c r="L93" s="90">
        <v>4841.7580638839163</v>
      </c>
    </row>
    <row r="94" spans="1:12" ht="16.8">
      <c r="A94" s="80"/>
      <c r="B94" s="81" t="s">
        <v>270</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8">
      <c r="A99" s="86">
        <v>39</v>
      </c>
      <c r="B99" s="98">
        <v>43190</v>
      </c>
      <c r="D99" s="96">
        <v>534.52623699283572</v>
      </c>
      <c r="E99" s="88">
        <v>537.34995175431573</v>
      </c>
      <c r="F99" s="88">
        <v>562.82798303640618</v>
      </c>
      <c r="G99" s="88">
        <v>598.41476544245256</v>
      </c>
      <c r="H99" s="88">
        <v>671.33919320041684</v>
      </c>
      <c r="I99" s="88">
        <v>641.24263371374821</v>
      </c>
      <c r="J99" s="88">
        <v>635.73505589999684</v>
      </c>
      <c r="K99" s="89">
        <v>633.56047708964866</v>
      </c>
      <c r="L99" s="90">
        <v>4814.996297129821</v>
      </c>
    </row>
    <row r="100" spans="1:12" ht="16.8">
      <c r="A100" s="86">
        <v>40</v>
      </c>
      <c r="B100" s="98">
        <v>43555</v>
      </c>
      <c r="D100" s="96">
        <v>0</v>
      </c>
      <c r="E100" s="88">
        <v>0</v>
      </c>
      <c r="F100" s="88">
        <v>0</v>
      </c>
      <c r="G100" s="88">
        <v>0</v>
      </c>
      <c r="H100" s="88">
        <v>0</v>
      </c>
      <c r="I100" s="88">
        <v>0</v>
      </c>
      <c r="J100" s="88">
        <v>0</v>
      </c>
      <c r="K100" s="89">
        <v>0</v>
      </c>
      <c r="L100" s="90">
        <v>0</v>
      </c>
    </row>
    <row r="101" spans="1:12" ht="16.8">
      <c r="A101" s="86">
        <v>41</v>
      </c>
      <c r="B101" s="98">
        <v>43921</v>
      </c>
      <c r="D101" s="96">
        <v>0</v>
      </c>
      <c r="E101" s="88">
        <v>0</v>
      </c>
      <c r="F101" s="88">
        <v>0</v>
      </c>
      <c r="G101" s="88">
        <v>0</v>
      </c>
      <c r="H101" s="88">
        <v>0</v>
      </c>
      <c r="I101" s="88">
        <v>0</v>
      </c>
      <c r="J101" s="88">
        <v>0</v>
      </c>
      <c r="K101" s="89">
        <v>0</v>
      </c>
      <c r="L101" s="90">
        <v>0</v>
      </c>
    </row>
    <row r="102" spans="1:12" ht="16.8">
      <c r="A102" s="86">
        <v>42</v>
      </c>
      <c r="B102" s="98">
        <v>44286</v>
      </c>
      <c r="D102" s="96">
        <v>0</v>
      </c>
      <c r="E102" s="88">
        <v>0</v>
      </c>
      <c r="F102" s="88">
        <v>0</v>
      </c>
      <c r="G102" s="88">
        <v>0</v>
      </c>
      <c r="H102" s="88">
        <v>0</v>
      </c>
      <c r="I102" s="88">
        <v>0</v>
      </c>
      <c r="J102" s="88">
        <v>0</v>
      </c>
      <c r="K102" s="89">
        <v>0</v>
      </c>
      <c r="L102" s="90">
        <v>0</v>
      </c>
    </row>
    <row r="103" spans="1:12" ht="16.8">
      <c r="A103" s="80"/>
      <c r="B103" s="81" t="s">
        <v>271</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8">
      <c r="A108" s="86">
        <v>47</v>
      </c>
      <c r="B108" s="98">
        <v>43190</v>
      </c>
      <c r="D108" s="96">
        <v>0</v>
      </c>
      <c r="E108" s="88">
        <v>7.660590030135495</v>
      </c>
      <c r="F108" s="88">
        <v>9.903155913025671</v>
      </c>
      <c r="G108" s="88">
        <v>10.462384566159812</v>
      </c>
      <c r="H108" s="88">
        <v>5.9179485259908233</v>
      </c>
      <c r="I108" s="88">
        <v>0</v>
      </c>
      <c r="J108" s="88">
        <v>0</v>
      </c>
      <c r="K108" s="89">
        <v>0</v>
      </c>
      <c r="L108" s="90">
        <v>33.944079035311802</v>
      </c>
    </row>
    <row r="109" spans="1:12" ht="16.8">
      <c r="A109" s="86">
        <v>48</v>
      </c>
      <c r="B109" s="98">
        <v>43555</v>
      </c>
      <c r="D109" s="96">
        <v>0</v>
      </c>
      <c r="E109" s="88">
        <v>0</v>
      </c>
      <c r="F109" s="88">
        <v>0</v>
      </c>
      <c r="G109" s="88">
        <v>0</v>
      </c>
      <c r="H109" s="88">
        <v>0</v>
      </c>
      <c r="I109" s="88">
        <v>0</v>
      </c>
      <c r="J109" s="88">
        <v>0</v>
      </c>
      <c r="K109" s="89">
        <v>0</v>
      </c>
      <c r="L109" s="90">
        <v>0</v>
      </c>
    </row>
    <row r="110" spans="1:12" ht="16.8">
      <c r="A110" s="86">
        <v>49</v>
      </c>
      <c r="B110" s="98">
        <v>43921</v>
      </c>
      <c r="D110" s="96">
        <v>0</v>
      </c>
      <c r="E110" s="88">
        <v>0</v>
      </c>
      <c r="F110" s="88">
        <v>0</v>
      </c>
      <c r="G110" s="88">
        <v>0</v>
      </c>
      <c r="H110" s="88">
        <v>0</v>
      </c>
      <c r="I110" s="88">
        <v>0</v>
      </c>
      <c r="J110" s="88">
        <v>0</v>
      </c>
      <c r="K110" s="89">
        <v>0</v>
      </c>
      <c r="L110" s="90">
        <v>0</v>
      </c>
    </row>
    <row r="111" spans="1:12" ht="16.8">
      <c r="A111" s="86">
        <v>50</v>
      </c>
      <c r="B111" s="98">
        <v>44286</v>
      </c>
      <c r="D111" s="96">
        <v>0</v>
      </c>
      <c r="E111" s="88">
        <v>0</v>
      </c>
      <c r="F111" s="88">
        <v>0</v>
      </c>
      <c r="G111" s="88">
        <v>0</v>
      </c>
      <c r="H111" s="88">
        <v>0</v>
      </c>
      <c r="I111" s="88">
        <v>0</v>
      </c>
      <c r="J111" s="88">
        <v>0</v>
      </c>
      <c r="K111" s="89">
        <v>0</v>
      </c>
      <c r="L111" s="90">
        <v>0</v>
      </c>
    </row>
    <row r="112" spans="1:12" ht="16.8">
      <c r="A112" s="80"/>
      <c r="B112" s="81" t="s">
        <v>272</v>
      </c>
      <c r="D112" s="91">
        <v>0</v>
      </c>
      <c r="E112" s="92">
        <v>0</v>
      </c>
      <c r="F112" s="92">
        <v>0</v>
      </c>
      <c r="G112" s="92">
        <v>0</v>
      </c>
      <c r="H112" s="92">
        <v>0</v>
      </c>
      <c r="I112" s="97">
        <v>0</v>
      </c>
      <c r="J112" s="92">
        <v>0</v>
      </c>
      <c r="K112" s="93">
        <v>0</v>
      </c>
      <c r="L112" s="95">
        <v>0</v>
      </c>
    </row>
    <row r="113" spans="1:12" ht="16.8">
      <c r="A113" s="86">
        <v>51</v>
      </c>
      <c r="B113" s="75" t="s">
        <v>273</v>
      </c>
      <c r="D113" s="87">
        <v>4195.7512259877149</v>
      </c>
      <c r="E113" s="88">
        <v>4227.2570135079259</v>
      </c>
      <c r="F113" s="88">
        <v>4219.0647352536453</v>
      </c>
      <c r="G113" s="88">
        <v>4246.4689562777266</v>
      </c>
      <c r="H113" s="88">
        <v>4766.4308689054251</v>
      </c>
      <c r="I113" s="88">
        <v>4869.2222942708122</v>
      </c>
      <c r="J113" s="88">
        <v>4875.9549408831081</v>
      </c>
      <c r="K113" s="89">
        <v>4836.2771475224627</v>
      </c>
      <c r="L113" s="90">
        <v>36236.427182608822</v>
      </c>
    </row>
    <row r="114" spans="1:12" ht="16.8">
      <c r="A114" s="86">
        <v>52</v>
      </c>
      <c r="B114" s="75" t="s">
        <v>26</v>
      </c>
      <c r="D114" s="99">
        <v>0.625</v>
      </c>
      <c r="E114" s="100">
        <v>0.625</v>
      </c>
      <c r="F114" s="100">
        <v>0.625</v>
      </c>
      <c r="G114" s="100">
        <v>0.625</v>
      </c>
      <c r="H114" s="100">
        <v>0.625</v>
      </c>
      <c r="I114" s="100">
        <v>0.625</v>
      </c>
      <c r="J114" s="100">
        <v>0.625</v>
      </c>
      <c r="K114" s="101">
        <v>0.625</v>
      </c>
      <c r="L114" s="102">
        <v>0.625</v>
      </c>
    </row>
    <row r="115" spans="1:12" ht="16.8">
      <c r="A115" s="86">
        <v>53</v>
      </c>
      <c r="B115" s="75" t="s">
        <v>274</v>
      </c>
      <c r="D115" s="87">
        <v>1573.4067097453931</v>
      </c>
      <c r="E115" s="88">
        <v>1585.2213800654722</v>
      </c>
      <c r="F115" s="88">
        <v>1582.149275720117</v>
      </c>
      <c r="G115" s="88">
        <v>1592.4258586041474</v>
      </c>
      <c r="H115" s="88">
        <v>1787.4115758395344</v>
      </c>
      <c r="I115" s="88">
        <v>1825.9583603515546</v>
      </c>
      <c r="J115" s="88">
        <v>1828.4831028311655</v>
      </c>
      <c r="K115" s="89">
        <v>1813.6039303209236</v>
      </c>
      <c r="L115" s="90">
        <v>13588.660193478308</v>
      </c>
    </row>
    <row r="116" spans="1:12" ht="16.8">
      <c r="A116" s="86">
        <v>54</v>
      </c>
      <c r="B116" s="75" t="s">
        <v>275</v>
      </c>
      <c r="D116" s="87">
        <v>76.572459874275793</v>
      </c>
      <c r="E116" s="88">
        <v>71.863369229634742</v>
      </c>
      <c r="F116" s="88">
        <v>67.24134421810497</v>
      </c>
      <c r="G116" s="88">
        <v>63.16622572463119</v>
      </c>
      <c r="H116" s="88">
        <v>66.134228306062766</v>
      </c>
      <c r="I116" s="88">
        <v>67.560459333007515</v>
      </c>
      <c r="J116" s="88">
        <v>67.65387480475313</v>
      </c>
      <c r="K116" s="89">
        <v>67.103345421874167</v>
      </c>
      <c r="L116" s="90">
        <v>547.29530691234424</v>
      </c>
    </row>
    <row r="117" spans="1:12" ht="17.399999999999999" thickBot="1">
      <c r="A117" s="103">
        <v>55</v>
      </c>
      <c r="B117" s="104" t="s">
        <v>276</v>
      </c>
      <c r="D117" s="105">
        <v>106.99165626268673</v>
      </c>
      <c r="E117" s="106">
        <v>107.7950538444521</v>
      </c>
      <c r="F117" s="106">
        <v>107.58615074896797</v>
      </c>
      <c r="G117" s="106">
        <v>108.28495838508202</v>
      </c>
      <c r="H117" s="106">
        <v>121.54398715708834</v>
      </c>
      <c r="I117" s="106">
        <v>124.1651685039057</v>
      </c>
      <c r="J117" s="106">
        <v>124.33685099251925</v>
      </c>
      <c r="K117" s="107">
        <v>123.3250672618228</v>
      </c>
      <c r="L117" s="108">
        <v>924.02889315652487</v>
      </c>
    </row>
    <row r="118" spans="1:12">
      <c r="D118" s="53"/>
      <c r="E118" s="53"/>
      <c r="F118" s="53"/>
      <c r="G118" s="53"/>
      <c r="H118" s="53"/>
      <c r="I118" s="53"/>
      <c r="J118" s="53"/>
      <c r="K118" s="53"/>
    </row>
    <row r="119" spans="1:12" ht="16.8">
      <c r="B119" s="75" t="s">
        <v>277</v>
      </c>
      <c r="D119" s="96">
        <v>94.224999999999994</v>
      </c>
      <c r="E119" s="88">
        <v>87.484999999999999</v>
      </c>
      <c r="F119" s="88">
        <v>79.322999999999993</v>
      </c>
      <c r="G119" s="88">
        <v>58.722999999999999</v>
      </c>
      <c r="H119" s="88">
        <v>3.3000000000000002E-2</v>
      </c>
      <c r="I119" s="88">
        <v>3.3000000000000002E-2</v>
      </c>
      <c r="J119" s="88">
        <v>0</v>
      </c>
      <c r="K119" s="88">
        <v>0</v>
      </c>
      <c r="L119" s="172">
        <v>319.822</v>
      </c>
    </row>
    <row r="120" spans="1:12">
      <c r="D120" s="53"/>
      <c r="E120" s="53"/>
      <c r="F120" s="53"/>
      <c r="G120" s="53"/>
      <c r="H120" s="53"/>
      <c r="I120" s="53"/>
      <c r="J120" s="53"/>
      <c r="K120" s="53"/>
    </row>
    <row r="121" spans="1:12" ht="16.8">
      <c r="B121" s="213" t="s">
        <v>278</v>
      </c>
      <c r="D121" s="53">
        <v>59.712504981101475</v>
      </c>
      <c r="E121" s="53">
        <v>60.94450086820251</v>
      </c>
      <c r="F121" s="53">
        <v>63.877932008524226</v>
      </c>
      <c r="G121" s="53">
        <v>93.907421891247139</v>
      </c>
      <c r="H121" s="53">
        <v>109.46147793559663</v>
      </c>
      <c r="I121" s="53">
        <v>74.998413516027682</v>
      </c>
      <c r="J121" s="53">
        <v>65.089296911713703</v>
      </c>
      <c r="K121" s="53">
        <v>60.038704349459636</v>
      </c>
    </row>
    <row r="122" spans="1:12">
      <c r="B122" t="s">
        <v>279</v>
      </c>
      <c r="D122" s="53">
        <v>108.01925058379031</v>
      </c>
      <c r="E122" s="53">
        <v>110.24791730090567</v>
      </c>
      <c r="F122" s="53">
        <v>115.55446127384721</v>
      </c>
      <c r="G122" s="53">
        <v>169.87747106169431</v>
      </c>
      <c r="H122" s="53">
        <v>198.01458368124787</v>
      </c>
      <c r="I122" s="53">
        <v>135.67128737169054</v>
      </c>
      <c r="J122" s="53">
        <v>117.74580677287535</v>
      </c>
      <c r="K122" s="53">
        <v>108.60934157598879</v>
      </c>
    </row>
    <row r="123" spans="1:12" ht="16.8">
      <c r="B123" s="213" t="s">
        <v>280</v>
      </c>
      <c r="D123" s="53">
        <v>3.1800148372355217</v>
      </c>
      <c r="E123" s="53">
        <v>2.2205427369778725</v>
      </c>
      <c r="F123" s="53">
        <v>1.5486736991935306</v>
      </c>
      <c r="G123" s="53">
        <v>1.2661992776253896</v>
      </c>
      <c r="H123" s="53">
        <v>3.2025393538313374</v>
      </c>
      <c r="I123" s="53">
        <v>3.2679532321837392</v>
      </c>
      <c r="J123" s="53">
        <v>2.0504333599618434</v>
      </c>
      <c r="K123" s="53">
        <v>0.64276664548145401</v>
      </c>
    </row>
    <row r="124" spans="1:12">
      <c r="B124" t="s">
        <v>281</v>
      </c>
      <c r="D124" s="53">
        <v>28.620133535119706</v>
      </c>
      <c r="E124" s="53">
        <v>19.984884632800846</v>
      </c>
      <c r="F124" s="53">
        <v>13.938063292741772</v>
      </c>
      <c r="G124" s="53">
        <v>11.395793498628507</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282</v>
      </c>
      <c r="D126" s="53">
        <v>0</v>
      </c>
      <c r="E126" s="53">
        <v>0</v>
      </c>
      <c r="F126" s="53">
        <v>0</v>
      </c>
      <c r="G126" s="53">
        <v>123.96977718673423</v>
      </c>
      <c r="H126" s="53">
        <v>138.27838395379189</v>
      </c>
      <c r="I126" s="53">
        <v>117.50342084599842</v>
      </c>
      <c r="J126" s="53">
        <v>101.87556011564801</v>
      </c>
      <c r="K126" s="53">
        <v>91.157975802007329</v>
      </c>
    </row>
    <row r="127" spans="1:12">
      <c r="B127" t="s">
        <v>283</v>
      </c>
      <c r="D127" s="53">
        <v>0</v>
      </c>
      <c r="E127" s="53">
        <v>0</v>
      </c>
      <c r="F127" s="53">
        <v>0</v>
      </c>
      <c r="G127" s="53">
        <v>44.133240678477385</v>
      </c>
      <c r="H127" s="53">
        <v>49.227104687549911</v>
      </c>
      <c r="I127" s="53">
        <v>41.831217821175436</v>
      </c>
      <c r="J127" s="53">
        <v>36.267699401170688</v>
      </c>
      <c r="K127" s="53">
        <v>32.452239385514609</v>
      </c>
    </row>
    <row r="128" spans="1:12">
      <c r="B128" t="s">
        <v>284</v>
      </c>
      <c r="D128" s="53">
        <f t="shared" ref="D128:K128" si="19">D126-D127</f>
        <v>0</v>
      </c>
      <c r="E128" s="53">
        <f t="shared" si="19"/>
        <v>0</v>
      </c>
      <c r="F128" s="53">
        <f t="shared" si="19"/>
        <v>0</v>
      </c>
      <c r="G128" s="53">
        <f t="shared" si="19"/>
        <v>79.836536508256842</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430</v>
      </c>
      <c r="D130" s="196">
        <v>308.75273694375045</v>
      </c>
      <c r="E130" s="196">
        <v>313.89720450059929</v>
      </c>
      <c r="F130" s="196">
        <v>330.26456177636072</v>
      </c>
      <c r="G130" s="196">
        <v>376.83616903024597</v>
      </c>
      <c r="H130" s="196">
        <v>0</v>
      </c>
      <c r="I130" s="196">
        <v>0</v>
      </c>
      <c r="J130" s="196">
        <v>0</v>
      </c>
      <c r="K130" s="196">
        <v>0</v>
      </c>
    </row>
    <row r="131" spans="2:25">
      <c r="B131" t="s">
        <v>206</v>
      </c>
      <c r="D131" s="196">
        <v>14.16619923431</v>
      </c>
      <c r="E131" s="196">
        <v>26.016783731295874</v>
      </c>
      <c r="F131" s="196">
        <v>69.473671529071126</v>
      </c>
      <c r="G131" s="196">
        <v>108.4200133736822</v>
      </c>
      <c r="H131" s="196">
        <v>69.349803718573156</v>
      </c>
      <c r="I131" s="196">
        <v>20.779442706835688</v>
      </c>
      <c r="J131" s="196">
        <v>0.81062265305823133</v>
      </c>
      <c r="K131" s="196">
        <v>0</v>
      </c>
    </row>
    <row r="132" spans="2:25" ht="16.8">
      <c r="B132" s="110" t="s">
        <v>287</v>
      </c>
      <c r="D132" s="196">
        <v>7.4327667170082803</v>
      </c>
      <c r="E132" s="196">
        <v>7.7122608119828824</v>
      </c>
      <c r="F132" s="196">
        <v>8.2473634361549806</v>
      </c>
      <c r="G132" s="196">
        <v>9.4340419520691015</v>
      </c>
      <c r="H132" s="196">
        <v>0</v>
      </c>
      <c r="I132" s="196">
        <v>0</v>
      </c>
      <c r="J132" s="196">
        <v>0</v>
      </c>
      <c r="K132" s="196">
        <v>0</v>
      </c>
    </row>
    <row r="133" spans="2:25" ht="16.8">
      <c r="B133" s="110" t="s">
        <v>288</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289</v>
      </c>
      <c r="D135" s="53">
        <f>D61+D130</f>
        <v>4562.0597731988728</v>
      </c>
      <c r="E135" s="53">
        <f>D138</f>
        <v>4634.727634619122</v>
      </c>
      <c r="F135" s="53">
        <f t="shared" ref="F135:K135" si="21">E138</f>
        <v>4641.5668771853761</v>
      </c>
      <c r="G135" s="53">
        <f t="shared" si="21"/>
        <v>4689.3234252069351</v>
      </c>
      <c r="H135" s="53">
        <f t="shared" si="21"/>
        <v>4825.0584920819156</v>
      </c>
      <c r="I135" s="53">
        <f t="shared" si="21"/>
        <v>4962.5228022480851</v>
      </c>
      <c r="J135" s="53">
        <f t="shared" si="21"/>
        <v>4984.7531493356828</v>
      </c>
      <c r="K135" s="53">
        <f t="shared" si="21"/>
        <v>4955.6741514230443</v>
      </c>
      <c r="L135" s="53"/>
      <c r="N135" s="53">
        <f t="shared" ref="N135:U135" si="22">D135*N$1</f>
        <v>5323.9237553230851</v>
      </c>
      <c r="O135" s="53">
        <f t="shared" si="22"/>
        <v>5515.3258851967548</v>
      </c>
      <c r="P135" s="53">
        <f t="shared" si="22"/>
        <v>5579.163386376822</v>
      </c>
      <c r="Q135" s="53">
        <f t="shared" si="22"/>
        <v>5758.489166154116</v>
      </c>
      <c r="R135" s="53">
        <f t="shared" si="22"/>
        <v>6147.1245189123601</v>
      </c>
      <c r="S135" s="53">
        <f t="shared" si="22"/>
        <v>6515.7924393517351</v>
      </c>
      <c r="T135" s="53">
        <f t="shared" si="22"/>
        <v>6724.4319984538361</v>
      </c>
      <c r="U135" s="53">
        <f t="shared" si="22"/>
        <v>6878.4757221751852</v>
      </c>
    </row>
    <row r="136" spans="2:25">
      <c r="B136" t="str">
        <f>B62</f>
        <v>RAV additions (after disposals)</v>
      </c>
      <c r="D136" s="53">
        <f>D62+D131</f>
        <v>218.87919995748223</v>
      </c>
      <c r="E136" s="53">
        <f t="shared" ref="E136:K136" si="23">E62+E131</f>
        <v>156.24182768489774</v>
      </c>
      <c r="F136" s="53">
        <f t="shared" si="23"/>
        <v>198.95843811555545</v>
      </c>
      <c r="G136" s="53">
        <f t="shared" si="23"/>
        <v>289.68551995390033</v>
      </c>
      <c r="H136" s="53">
        <f t="shared" si="23"/>
        <v>296.17948360419837</v>
      </c>
      <c r="I136" s="53">
        <f t="shared" si="23"/>
        <v>185.85455118807522</v>
      </c>
      <c r="J136" s="53">
        <f t="shared" si="23"/>
        <v>137.00257168548552</v>
      </c>
      <c r="K136" s="53">
        <f t="shared" si="23"/>
        <v>114.38648340521722</v>
      </c>
    </row>
    <row r="137" spans="2:25">
      <c r="B137" t="str">
        <f>B63</f>
        <v>Depreciation</v>
      </c>
      <c r="D137" s="53">
        <f>D63-D132</f>
        <v>-146.2113385372329</v>
      </c>
      <c r="E137" s="53">
        <f t="shared" ref="E137:K137" si="24">E63-E132</f>
        <v>-149.40258511864349</v>
      </c>
      <c r="F137" s="53">
        <f t="shared" si="24"/>
        <v>-151.2018900939967</v>
      </c>
      <c r="G137" s="53">
        <f t="shared" si="24"/>
        <v>-153.95045307892005</v>
      </c>
      <c r="H137" s="53">
        <f t="shared" si="24"/>
        <v>-158.71517343802884</v>
      </c>
      <c r="I137" s="53">
        <f t="shared" si="24"/>
        <v>-163.62420410047758</v>
      </c>
      <c r="J137" s="53">
        <f t="shared" si="24"/>
        <v>-166.08156959812362</v>
      </c>
      <c r="K137" s="53">
        <f t="shared" si="24"/>
        <v>-167.45333555126766</v>
      </c>
    </row>
    <row r="138" spans="2:25">
      <c r="B138" t="str">
        <f>B64</f>
        <v>Closing asset value</v>
      </c>
      <c r="D138" s="53">
        <f>SUM(D135:D137)</f>
        <v>4634.727634619122</v>
      </c>
      <c r="E138" s="53">
        <f t="shared" ref="E138:K138" si="25">SUM(E135:E137)</f>
        <v>4641.5668771853761</v>
      </c>
      <c r="F138" s="53">
        <f t="shared" si="25"/>
        <v>4689.3234252069351</v>
      </c>
      <c r="G138" s="53">
        <f t="shared" si="25"/>
        <v>4825.0584920819156</v>
      </c>
      <c r="H138" s="53">
        <f t="shared" si="25"/>
        <v>4962.5228022480851</v>
      </c>
      <c r="I138" s="53">
        <f t="shared" si="25"/>
        <v>4984.7531493356828</v>
      </c>
      <c r="J138" s="53">
        <f t="shared" si="25"/>
        <v>4955.6741514230443</v>
      </c>
      <c r="K138" s="53">
        <f t="shared" si="25"/>
        <v>4902.6072992769941</v>
      </c>
      <c r="N138" s="53">
        <f t="shared" ref="N138:U138" si="26">D138*N$1</f>
        <v>5408.727149600516</v>
      </c>
      <c r="O138" s="53">
        <f t="shared" si="26"/>
        <v>5523.4645838505976</v>
      </c>
      <c r="P138" s="53">
        <f t="shared" si="26"/>
        <v>5636.5667570987362</v>
      </c>
      <c r="Q138" s="53">
        <f t="shared" si="26"/>
        <v>5925.1718282765924</v>
      </c>
      <c r="R138" s="53">
        <f t="shared" si="26"/>
        <v>6322.2540500640607</v>
      </c>
      <c r="S138" s="53">
        <f t="shared" si="26"/>
        <v>6544.9808850777508</v>
      </c>
      <c r="T138" s="53">
        <f t="shared" si="26"/>
        <v>6685.2044302696868</v>
      </c>
      <c r="U138" s="53">
        <f t="shared" si="26"/>
        <v>6804.8189313964676</v>
      </c>
      <c r="V138" s="53"/>
      <c r="W138" s="53"/>
      <c r="X138" s="53"/>
      <c r="Y138" s="53"/>
    </row>
    <row r="139" spans="2:25">
      <c r="B139" t="s">
        <v>201</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290</v>
      </c>
      <c r="D141" s="196">
        <v>2.6999999999999997</v>
      </c>
      <c r="E141" s="196">
        <v>2.6</v>
      </c>
      <c r="F141" s="196">
        <v>2.6</v>
      </c>
      <c r="G141" s="196">
        <v>2.6999999999999997</v>
      </c>
      <c r="H141" s="196">
        <v>2.6</v>
      </c>
      <c r="I141" s="196">
        <v>2.6</v>
      </c>
      <c r="J141" s="196">
        <v>2.6999999999999997</v>
      </c>
      <c r="K141" s="196">
        <v>2.6</v>
      </c>
    </row>
    <row r="142" spans="2:25">
      <c r="B142" t="s">
        <v>291</v>
      </c>
      <c r="D142" s="196">
        <v>26.409854043050455</v>
      </c>
      <c r="E142" s="196">
        <v>26.409854043050455</v>
      </c>
      <c r="F142" s="196">
        <v>49.377503040264713</v>
      </c>
      <c r="G142" s="196">
        <v>49.377503040264713</v>
      </c>
      <c r="H142" s="196">
        <v>49.377503040264713</v>
      </c>
      <c r="I142" s="196">
        <v>49.377503040264713</v>
      </c>
      <c r="J142" s="196">
        <v>49.377503040264713</v>
      </c>
      <c r="K142" s="196">
        <v>49.377503040264713</v>
      </c>
    </row>
    <row r="143" spans="2:25">
      <c r="B143" t="s">
        <v>292</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51.977503040264715</v>
      </c>
      <c r="J143" s="53">
        <f t="shared" si="28"/>
        <v>52.077503040264716</v>
      </c>
      <c r="K143" s="53">
        <f t="shared" si="28"/>
        <v>51.977503040264715</v>
      </c>
    </row>
    <row r="144" spans="2:25">
      <c r="B144" t="s">
        <v>293</v>
      </c>
      <c r="D144" s="196">
        <v>11.622445302613123</v>
      </c>
      <c r="E144" s="196">
        <v>12.116399227974181</v>
      </c>
      <c r="F144" s="196">
        <v>12.618472520983362</v>
      </c>
      <c r="G144" s="196">
        <v>13.127943349018066</v>
      </c>
      <c r="H144" s="196">
        <v>13.644856118385652</v>
      </c>
      <c r="I144" s="196">
        <v>14.182122328047086</v>
      </c>
      <c r="J144" s="196">
        <v>14.740543394713939</v>
      </c>
      <c r="K144" s="196">
        <v>15.320952290880799</v>
      </c>
    </row>
    <row r="145" spans="2:12">
      <c r="B145" s="38" t="s">
        <v>294</v>
      </c>
      <c r="C145" s="38"/>
      <c r="D145" s="58">
        <f t="shared" ref="D145:K145" si="29">D143+D144</f>
        <v>40.732299345663577</v>
      </c>
      <c r="E145" s="58">
        <f t="shared" si="29"/>
        <v>41.126253271024638</v>
      </c>
      <c r="F145" s="58">
        <f t="shared" si="29"/>
        <v>64.595975561248082</v>
      </c>
      <c r="G145" s="58">
        <f t="shared" si="29"/>
        <v>65.205446389282784</v>
      </c>
      <c r="H145" s="58">
        <f t="shared" si="29"/>
        <v>65.622359158650369</v>
      </c>
      <c r="I145" s="58">
        <f t="shared" si="29"/>
        <v>66.159625368311794</v>
      </c>
      <c r="J145" s="58">
        <f t="shared" si="29"/>
        <v>66.818046434978655</v>
      </c>
      <c r="K145" s="58">
        <f t="shared" si="29"/>
        <v>67.298455331145519</v>
      </c>
    </row>
    <row r="146" spans="2:12">
      <c r="D146" s="53"/>
      <c r="E146" s="53"/>
      <c r="F146" s="53"/>
      <c r="G146" s="53"/>
      <c r="H146" s="53"/>
      <c r="I146" s="53"/>
      <c r="J146" s="53"/>
      <c r="K146" s="53"/>
    </row>
    <row r="147" spans="2:12">
      <c r="B147" t="s">
        <v>295</v>
      </c>
      <c r="D147" s="196">
        <v>-17.8</v>
      </c>
      <c r="E147" s="196">
        <v>-18.2</v>
      </c>
      <c r="F147" s="196">
        <v>-18.399999999999999</v>
      </c>
      <c r="G147" s="196">
        <v>-18.5</v>
      </c>
      <c r="H147" s="196">
        <v>0</v>
      </c>
      <c r="I147" s="196">
        <v>0</v>
      </c>
      <c r="J147" s="196">
        <v>0</v>
      </c>
      <c r="K147" s="196">
        <v>0</v>
      </c>
    </row>
    <row r="148" spans="2:12">
      <c r="B148" t="s">
        <v>296</v>
      </c>
      <c r="D148" s="196">
        <v>11.43680930114186</v>
      </c>
      <c r="E148" s="196">
        <v>11.922873696440387</v>
      </c>
      <c r="F148" s="196">
        <v>12.416927775236637</v>
      </c>
      <c r="G148" s="196">
        <v>12.918261234161816</v>
      </c>
      <c r="H148" s="196">
        <v>13.426917770256935</v>
      </c>
      <c r="I148" s="196">
        <v>13.955602657460803</v>
      </c>
      <c r="J148" s="196">
        <v>14.50510451209832</v>
      </c>
      <c r="K148" s="196">
        <v>15.076243002262192</v>
      </c>
    </row>
    <row r="149" spans="2:12">
      <c r="B149" t="s">
        <v>297</v>
      </c>
      <c r="D149" s="53">
        <v>-3.5</v>
      </c>
      <c r="E149" s="53">
        <v>-2.9</v>
      </c>
      <c r="F149" s="53">
        <v>-3</v>
      </c>
      <c r="G149" s="53">
        <v>-3.1</v>
      </c>
      <c r="H149" s="53">
        <v>-3</v>
      </c>
      <c r="I149" s="53">
        <v>-3</v>
      </c>
      <c r="J149" s="53">
        <v>-3</v>
      </c>
      <c r="K149" s="53">
        <v>-3</v>
      </c>
    </row>
    <row r="150" spans="2:12">
      <c r="B150" s="38" t="s">
        <v>298</v>
      </c>
      <c r="D150" s="58">
        <f t="shared" ref="D150:K150" si="30">SUM(D145:D149)</f>
        <v>30.869108646805437</v>
      </c>
      <c r="E150" s="58">
        <f t="shared" si="30"/>
        <v>31.949126967465027</v>
      </c>
      <c r="F150" s="58">
        <f t="shared" si="30"/>
        <v>55.61290333648472</v>
      </c>
      <c r="G150" s="58">
        <f t="shared" si="30"/>
        <v>56.523707623444601</v>
      </c>
      <c r="H150" s="58">
        <f t="shared" si="30"/>
        <v>76.049276928907304</v>
      </c>
      <c r="I150" s="58">
        <f t="shared" si="30"/>
        <v>77.115228025772595</v>
      </c>
      <c r="J150" s="58">
        <f t="shared" si="30"/>
        <v>78.323150947076982</v>
      </c>
      <c r="K150" s="58">
        <f t="shared" si="30"/>
        <v>79.374698333407707</v>
      </c>
    </row>
    <row r="151" spans="2:12">
      <c r="B151" t="s">
        <v>299</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300</v>
      </c>
      <c r="D153" s="53">
        <f t="shared" ref="D153:K153" si="31">SUM(D147:D149,D151)</f>
        <v>-9.8631906988581406</v>
      </c>
      <c r="E153" s="53">
        <f t="shared" si="31"/>
        <v>-9.1771263035596125</v>
      </c>
      <c r="F153" s="53">
        <f t="shared" si="31"/>
        <v>-8.9830722247633616</v>
      </c>
      <c r="G153" s="53">
        <f t="shared" si="31"/>
        <v>-8.6817387658381833</v>
      </c>
      <c r="H153" s="53">
        <f t="shared" si="31"/>
        <v>10.426917770256935</v>
      </c>
      <c r="I153" s="53">
        <f t="shared" si="31"/>
        <v>10.955602657460803</v>
      </c>
      <c r="J153" s="53">
        <f t="shared" si="31"/>
        <v>11.50510451209832</v>
      </c>
      <c r="K153" s="53">
        <f t="shared" si="31"/>
        <v>12.076243002262192</v>
      </c>
    </row>
    <row r="156" spans="2:12" ht="16.8">
      <c r="B156" s="75" t="s">
        <v>247</v>
      </c>
      <c r="D156" s="198">
        <v>53.000554975302876</v>
      </c>
      <c r="E156" s="198">
        <v>67.966571447586361</v>
      </c>
      <c r="F156" s="198">
        <v>82.102403837110614</v>
      </c>
      <c r="G156" s="198">
        <v>95.27243007680525</v>
      </c>
      <c r="H156" s="198">
        <v>104.15031529698642</v>
      </c>
      <c r="I156" s="198">
        <v>106.9922037591725</v>
      </c>
      <c r="J156" s="198">
        <v>107.87858057384695</v>
      </c>
      <c r="K156" s="198">
        <v>107.81567907926919</v>
      </c>
    </row>
    <row r="157" spans="2:12" ht="16.8">
      <c r="B157" s="75" t="s">
        <v>248</v>
      </c>
      <c r="D157" s="198">
        <v>25.511050963126319</v>
      </c>
      <c r="E157" s="198">
        <v>28.325302732242275</v>
      </c>
      <c r="F157" s="198">
        <v>29.837083167565687</v>
      </c>
      <c r="G157" s="198">
        <v>28.720715948675441</v>
      </c>
      <c r="H157" s="198">
        <v>25.340821469062533</v>
      </c>
      <c r="I157" s="198">
        <v>25.690541271459477</v>
      </c>
      <c r="J157" s="198">
        <v>26.758089836543586</v>
      </c>
      <c r="K157" s="198">
        <v>25.259636206336072</v>
      </c>
    </row>
    <row r="158" spans="2:12" ht="16.8">
      <c r="B158" s="75" t="s">
        <v>249</v>
      </c>
      <c r="D158" s="198">
        <v>-10.545034490842841</v>
      </c>
      <c r="E158" s="198">
        <v>-14.18947034271803</v>
      </c>
      <c r="F158" s="198">
        <v>-16.667056927871048</v>
      </c>
      <c r="G158" s="198">
        <v>-19.84283072849426</v>
      </c>
      <c r="H158" s="198">
        <v>-22.498933006876463</v>
      </c>
      <c r="I158" s="198">
        <v>-24.804164456785017</v>
      </c>
      <c r="J158" s="198">
        <v>-26.820991331121348</v>
      </c>
      <c r="K158" s="198">
        <v>-27.169086484096475</v>
      </c>
    </row>
    <row r="159" spans="2:12" ht="16.8">
      <c r="B159" s="75" t="s">
        <v>250</v>
      </c>
      <c r="D159" s="198">
        <v>67.966571447586361</v>
      </c>
      <c r="E159" s="198">
        <v>82.102403837110614</v>
      </c>
      <c r="F159" s="198">
        <v>95.27243007680525</v>
      </c>
      <c r="G159" s="198">
        <v>104.15031529698642</v>
      </c>
      <c r="H159" s="198">
        <v>106.9922037591725</v>
      </c>
      <c r="I159" s="198">
        <v>107.87858057384695</v>
      </c>
      <c r="J159" s="198">
        <v>107.81567907926919</v>
      </c>
      <c r="K159" s="198">
        <v>105.90622880150877</v>
      </c>
    </row>
    <row r="160" spans="2:12" ht="15.6">
      <c r="L160" s="119" t="s">
        <v>301</v>
      </c>
    </row>
    <row r="161" spans="2:21" ht="15.6">
      <c r="B161" t="s">
        <v>289</v>
      </c>
      <c r="D161" s="53">
        <f t="shared" ref="D161:K161" si="32">D135+D156</f>
        <v>4615.060328174176</v>
      </c>
      <c r="E161" s="53">
        <f t="shared" si="32"/>
        <v>4702.6942060667079</v>
      </c>
      <c r="F161" s="53">
        <f t="shared" si="32"/>
        <v>4723.6692810224868</v>
      </c>
      <c r="G161" s="53">
        <f t="shared" si="32"/>
        <v>4784.5958552837401</v>
      </c>
      <c r="H161" s="53">
        <f t="shared" si="32"/>
        <v>4929.2088073789018</v>
      </c>
      <c r="I161" s="53">
        <f t="shared" si="32"/>
        <v>5069.5150060072574</v>
      </c>
      <c r="J161" s="53">
        <f t="shared" si="32"/>
        <v>5092.6317299095299</v>
      </c>
      <c r="K161" s="53">
        <f t="shared" si="32"/>
        <v>5063.4898305023135</v>
      </c>
      <c r="L161" s="120">
        <f>(K161/D161)^(1/7)-1</f>
        <v>1.3335419076869082E-2</v>
      </c>
      <c r="M161" t="s">
        <v>302</v>
      </c>
      <c r="N161" s="114">
        <f t="shared" ref="N161:U162" si="33">D161*N$1</f>
        <v>5385.7754029792632</v>
      </c>
      <c r="O161" s="109">
        <f t="shared" si="33"/>
        <v>5596.2061052193822</v>
      </c>
      <c r="P161" s="109">
        <f t="shared" si="33"/>
        <v>5677.8504757890287</v>
      </c>
      <c r="Q161" s="109">
        <f t="shared" si="33"/>
        <v>5875.483710288433</v>
      </c>
      <c r="R161" s="109">
        <f t="shared" si="33"/>
        <v>6279.8120206007206</v>
      </c>
      <c r="S161" s="109">
        <f t="shared" si="33"/>
        <v>6656.2732028875289</v>
      </c>
      <c r="T161" s="109">
        <f t="shared" si="33"/>
        <v>6869.9602036479555</v>
      </c>
      <c r="U161" s="109">
        <f t="shared" si="33"/>
        <v>7028.1238847372106</v>
      </c>
    </row>
    <row r="162" spans="2:21" ht="15.6">
      <c r="B162" t="s">
        <v>250</v>
      </c>
      <c r="D162" s="53">
        <f t="shared" ref="D162:K162" si="34">D138+D159</f>
        <v>4702.6942060667079</v>
      </c>
      <c r="E162" s="53">
        <f t="shared" si="34"/>
        <v>4723.6692810224868</v>
      </c>
      <c r="F162" s="53">
        <f t="shared" si="34"/>
        <v>4784.5958552837401</v>
      </c>
      <c r="G162" s="53">
        <f t="shared" si="34"/>
        <v>4929.2088073789018</v>
      </c>
      <c r="H162" s="53">
        <f t="shared" si="34"/>
        <v>5069.5150060072574</v>
      </c>
      <c r="I162" s="53">
        <f t="shared" si="34"/>
        <v>5092.6317299095299</v>
      </c>
      <c r="J162" s="53">
        <f t="shared" si="34"/>
        <v>5063.4898305023135</v>
      </c>
      <c r="K162" s="53">
        <f t="shared" si="34"/>
        <v>5008.5135280785025</v>
      </c>
      <c r="L162" s="121">
        <f>(K162/D162)^(1/7)-1</f>
        <v>9.0411393076561541E-3</v>
      </c>
      <c r="N162" s="109">
        <f t="shared" si="33"/>
        <v>5488.0441384798487</v>
      </c>
      <c r="O162" s="109">
        <f t="shared" si="33"/>
        <v>5621.1664444167591</v>
      </c>
      <c r="P162" s="109">
        <f t="shared" si="33"/>
        <v>5751.0842180510554</v>
      </c>
      <c r="Q162" s="109">
        <f t="shared" si="33"/>
        <v>6053.0684154612918</v>
      </c>
      <c r="R162" s="109">
        <f t="shared" si="33"/>
        <v>6458.5621176532459</v>
      </c>
      <c r="S162" s="109">
        <f t="shared" si="33"/>
        <v>6686.6254613712126</v>
      </c>
      <c r="T162" s="109">
        <f t="shared" si="33"/>
        <v>6830.6477813476204</v>
      </c>
      <c r="U162" s="114">
        <f t="shared" si="33"/>
        <v>6951.8167769729607</v>
      </c>
    </row>
    <row r="163" spans="2:21">
      <c r="N163" s="109"/>
      <c r="O163" s="109"/>
      <c r="P163" s="109"/>
      <c r="Q163" s="109"/>
      <c r="R163" s="109"/>
      <c r="S163" s="109"/>
      <c r="T163" s="109"/>
      <c r="U163" s="109"/>
    </row>
    <row r="164" spans="2:21">
      <c r="B164" t="s">
        <v>289</v>
      </c>
      <c r="M164" t="s">
        <v>303</v>
      </c>
      <c r="N164" s="115">
        <f>D161*N$3</f>
        <v>5305.0164815467579</v>
      </c>
      <c r="O164" s="109">
        <f t="shared" ref="N164:U165" si="35">E161*O$2</f>
        <v>5603.5656436571189</v>
      </c>
      <c r="P164" s="109">
        <f t="shared" si="35"/>
        <v>5716.1287622816544</v>
      </c>
      <c r="Q164" s="109">
        <f t="shared" si="35"/>
        <v>5971.690084170762</v>
      </c>
      <c r="R164" s="109">
        <f t="shared" si="35"/>
        <v>6357.7884030289606</v>
      </c>
      <c r="S164" s="109">
        <f t="shared" si="35"/>
        <v>6698.5264709377543</v>
      </c>
      <c r="T164" s="109">
        <f t="shared" si="35"/>
        <v>6932.0528614603545</v>
      </c>
      <c r="U164" s="109">
        <f t="shared" si="35"/>
        <v>7098.8985341894795</v>
      </c>
    </row>
    <row r="165" spans="2:21">
      <c r="B165" t="s">
        <v>250</v>
      </c>
      <c r="N165" s="109">
        <f t="shared" si="35"/>
        <v>5553.4365072105556</v>
      </c>
      <c r="O165" s="109">
        <f t="shared" si="35"/>
        <v>5628.5588080529051</v>
      </c>
      <c r="P165" s="109">
        <f t="shared" si="35"/>
        <v>5789.8562234570591</v>
      </c>
      <c r="Q165" s="109">
        <f t="shared" si="35"/>
        <v>6152.1825976848686</v>
      </c>
      <c r="R165" s="109">
        <f t="shared" si="35"/>
        <v>6538.7580388003407</v>
      </c>
      <c r="S165" s="109">
        <f t="shared" si="35"/>
        <v>6729.0714021189897</v>
      </c>
      <c r="T165" s="109">
        <f t="shared" si="35"/>
        <v>6892.3851222857857</v>
      </c>
      <c r="U165" s="115">
        <f t="shared" si="35"/>
        <v>7021.8229981944105</v>
      </c>
    </row>
    <row r="166" spans="2:21">
      <c r="D166" s="53"/>
    </row>
    <row r="167" spans="2:21">
      <c r="B167" t="s">
        <v>304</v>
      </c>
      <c r="D167" s="190">
        <f>D63-D132-D168</f>
        <v>-146.2113385372329</v>
      </c>
      <c r="E167" s="190">
        <f t="shared" ref="E167:K167" si="36">E63-E132-E168</f>
        <v>-144.85340732479523</v>
      </c>
      <c r="F167" s="190">
        <f t="shared" si="36"/>
        <v>-143.75882243451284</v>
      </c>
      <c r="G167" s="190">
        <f t="shared" si="36"/>
        <v>-143.62994616195874</v>
      </c>
      <c r="H167" s="190">
        <f t="shared" si="36"/>
        <v>-144.36654415261825</v>
      </c>
      <c r="I167" s="190">
        <f t="shared" si="36"/>
        <v>-144.23491526205311</v>
      </c>
      <c r="J167" s="190">
        <f t="shared" si="36"/>
        <v>-143.02394501567159</v>
      </c>
      <c r="K167" s="190">
        <f t="shared" si="36"/>
        <v>-141.36922321253945</v>
      </c>
    </row>
    <row r="168" spans="2:21">
      <c r="B168" t="s">
        <v>305</v>
      </c>
      <c r="D168" s="190">
        <v>0</v>
      </c>
      <c r="E168" s="190">
        <v>-4.5491777938482718</v>
      </c>
      <c r="F168" s="190">
        <v>-7.4430676594838694</v>
      </c>
      <c r="G168" s="190">
        <v>-10.320506916961298</v>
      </c>
      <c r="H168" s="190">
        <v>-14.34862928541059</v>
      </c>
      <c r="I168" s="190">
        <v>-19.389288838424484</v>
      </c>
      <c r="J168" s="190">
        <v>-23.057624582452029</v>
      </c>
      <c r="K168" s="190">
        <v>-26.08411233872819</v>
      </c>
    </row>
    <row r="171" spans="2:21" ht="16.8">
      <c r="B171" t="s">
        <v>306</v>
      </c>
      <c r="D171" s="201">
        <v>12.577234273857108</v>
      </c>
      <c r="E171" s="201">
        <v>24.079618087744361</v>
      </c>
      <c r="F171" s="201">
        <v>67.51894883370673</v>
      </c>
      <c r="G171" s="201">
        <v>106.4475745022352</v>
      </c>
      <c r="H171" s="201">
        <v>55.417594420676267</v>
      </c>
      <c r="I171" s="201">
        <v>2.3025824270640456</v>
      </c>
      <c r="J171" s="201">
        <v>0</v>
      </c>
      <c r="K171" s="201">
        <v>0</v>
      </c>
    </row>
    <row r="172" spans="2:21" ht="16.8">
      <c r="B172" t="s">
        <v>307</v>
      </c>
      <c r="D172" s="201">
        <v>0.82105844574251929</v>
      </c>
      <c r="E172" s="201">
        <v>0</v>
      </c>
      <c r="F172" s="201">
        <v>0</v>
      </c>
      <c r="G172" s="201">
        <v>0</v>
      </c>
      <c r="H172" s="201">
        <v>0</v>
      </c>
      <c r="I172" s="201">
        <v>0</v>
      </c>
      <c r="J172" s="201">
        <v>0</v>
      </c>
      <c r="K172" s="201">
        <v>0</v>
      </c>
    </row>
    <row r="173" spans="2:21" ht="16.8">
      <c r="B173" t="s">
        <v>308</v>
      </c>
      <c r="D173" s="201">
        <v>0.7679065147103713</v>
      </c>
      <c r="E173" s="201">
        <v>1.9371656435515117</v>
      </c>
      <c r="F173" s="201">
        <v>1.9547226953643968</v>
      </c>
      <c r="G173" s="201">
        <v>1.9724388714470038</v>
      </c>
      <c r="H173" s="201">
        <v>13.932209297896886</v>
      </c>
      <c r="I173" s="201">
        <v>18.476860279771643</v>
      </c>
      <c r="J173" s="201">
        <v>0.81062265305823133</v>
      </c>
      <c r="K173" s="201">
        <v>0</v>
      </c>
    </row>
    <row r="174" spans="2:21">
      <c r="D174" s="173">
        <f>SUM(D171:D173)</f>
        <v>14.16619923431</v>
      </c>
      <c r="E174" s="173">
        <f t="shared" ref="E174:K174" si="37">SUM(E171:E173)</f>
        <v>26.016783731295874</v>
      </c>
      <c r="F174" s="173">
        <f t="shared" si="37"/>
        <v>69.473671529071126</v>
      </c>
      <c r="G174" s="173">
        <f t="shared" si="37"/>
        <v>108.4200133736822</v>
      </c>
      <c r="H174" s="173">
        <f t="shared" si="37"/>
        <v>69.349803718573156</v>
      </c>
      <c r="I174" s="173">
        <f t="shared" si="37"/>
        <v>20.779442706835688</v>
      </c>
      <c r="J174" s="173">
        <f t="shared" si="37"/>
        <v>0.81062265305823133</v>
      </c>
      <c r="K174" s="173">
        <f t="shared" si="37"/>
        <v>0</v>
      </c>
    </row>
    <row r="175" spans="2:21">
      <c r="D175" s="173"/>
      <c r="E175" s="173"/>
      <c r="F175" s="173"/>
      <c r="G175" s="173"/>
      <c r="H175" s="173"/>
      <c r="I175" s="173"/>
      <c r="J175" s="173"/>
      <c r="K175" s="173"/>
    </row>
    <row r="176" spans="2:21" s="195" customFormat="1">
      <c r="D176" s="202"/>
      <c r="E176" s="202"/>
      <c r="F176" s="202"/>
      <c r="G176" s="202"/>
      <c r="H176" s="202"/>
      <c r="I176" s="202"/>
      <c r="J176" s="202"/>
      <c r="K176" s="202"/>
    </row>
    <row r="177" spans="1:13">
      <c r="D177" s="173"/>
      <c r="E177" s="173"/>
      <c r="F177" s="173"/>
      <c r="G177" s="173"/>
      <c r="H177" s="173"/>
      <c r="I177" s="173"/>
      <c r="J177" s="173"/>
      <c r="K177" s="173"/>
    </row>
    <row r="178" spans="1:13" ht="16.8">
      <c r="A178" s="86">
        <v>1</v>
      </c>
      <c r="B178" s="75" t="s">
        <v>241</v>
      </c>
      <c r="D178" s="87">
        <f>D187</f>
        <v>28.466106003108887</v>
      </c>
      <c r="E178" s="88">
        <f t="shared" ref="E178:K178" si="38">E187</f>
        <v>28.325302732242275</v>
      </c>
      <c r="F178" s="88">
        <f t="shared" si="38"/>
        <v>29.837083167565687</v>
      </c>
      <c r="G178" s="88">
        <f t="shared" si="38"/>
        <v>28.720715948675441</v>
      </c>
      <c r="H178" s="88">
        <f t="shared" si="38"/>
        <v>25.340821469062533</v>
      </c>
      <c r="I178" s="88">
        <f t="shared" si="38"/>
        <v>25.690541271459477</v>
      </c>
      <c r="J178" s="88">
        <f t="shared" si="38"/>
        <v>26.758089836543586</v>
      </c>
      <c r="K178" s="89">
        <f t="shared" si="38"/>
        <v>25.259636206336072</v>
      </c>
    </row>
    <row r="179" spans="1:13" ht="16.8">
      <c r="A179" s="86">
        <f>+A178+1</f>
        <v>2</v>
      </c>
      <c r="B179" s="75" t="s">
        <v>242</v>
      </c>
      <c r="D179" s="87">
        <f t="shared" ref="D179:K180" si="39">D188</f>
        <v>47.646476892904182</v>
      </c>
      <c r="E179" s="88">
        <f t="shared" si="39"/>
        <v>47.410800829902847</v>
      </c>
      <c r="F179" s="88">
        <f t="shared" si="39"/>
        <v>49.941214071914764</v>
      </c>
      <c r="G179" s="88">
        <f t="shared" si="39"/>
        <v>48.072642202863172</v>
      </c>
      <c r="H179" s="88">
        <f t="shared" si="39"/>
        <v>42.4153856674683</v>
      </c>
      <c r="I179" s="88">
        <f t="shared" si="39"/>
        <v>43.000745550624686</v>
      </c>
      <c r="J179" s="88">
        <f t="shared" si="39"/>
        <v>44.787604913572956</v>
      </c>
      <c r="K179" s="89">
        <f t="shared" si="39"/>
        <v>42.279498035204227</v>
      </c>
    </row>
    <row r="180" spans="1:13" ht="16.8">
      <c r="A180" s="86">
        <f>+A179+1</f>
        <v>3</v>
      </c>
      <c r="B180" s="75" t="s">
        <v>243</v>
      </c>
      <c r="D180" s="87">
        <f t="shared" si="39"/>
        <v>76.112582896013066</v>
      </c>
      <c r="E180" s="88">
        <f t="shared" si="39"/>
        <v>75.736103562145118</v>
      </c>
      <c r="F180" s="88">
        <f t="shared" si="39"/>
        <v>79.778297239480452</v>
      </c>
      <c r="G180" s="88">
        <f t="shared" si="39"/>
        <v>76.793358151538612</v>
      </c>
      <c r="H180" s="88">
        <f t="shared" si="39"/>
        <v>67.756207136530833</v>
      </c>
      <c r="I180" s="88">
        <f t="shared" si="39"/>
        <v>68.691286822084166</v>
      </c>
      <c r="J180" s="88">
        <f t="shared" si="39"/>
        <v>71.545694750116539</v>
      </c>
      <c r="K180" s="89">
        <f t="shared" si="39"/>
        <v>67.539134241540296</v>
      </c>
    </row>
    <row r="183" spans="1:13" ht="13.8" thickBot="1"/>
    <row r="184" spans="1:13" ht="16.8">
      <c r="A184" s="68"/>
      <c r="B184" s="69" t="s">
        <v>237</v>
      </c>
      <c r="D184" s="70">
        <v>41729</v>
      </c>
      <c r="E184" s="71">
        <v>42094</v>
      </c>
      <c r="F184" s="71">
        <v>42460</v>
      </c>
      <c r="G184" s="71">
        <v>42825</v>
      </c>
      <c r="H184" s="71">
        <v>43190</v>
      </c>
      <c r="I184" s="71">
        <v>43555</v>
      </c>
      <c r="J184" s="71">
        <v>43921</v>
      </c>
      <c r="K184" s="72">
        <v>44286</v>
      </c>
      <c r="L184" s="180" t="s">
        <v>238</v>
      </c>
      <c r="M184" s="181" t="s">
        <v>310</v>
      </c>
    </row>
    <row r="185" spans="1:13" ht="16.8">
      <c r="A185" s="74"/>
      <c r="B185" s="75" t="s">
        <v>239</v>
      </c>
      <c r="D185" s="76" t="s">
        <v>240</v>
      </c>
      <c r="E185" s="77" t="s">
        <v>240</v>
      </c>
      <c r="F185" s="77" t="s">
        <v>240</v>
      </c>
      <c r="G185" s="77" t="s">
        <v>240</v>
      </c>
      <c r="H185" s="77" t="s">
        <v>240</v>
      </c>
      <c r="I185" s="77" t="s">
        <v>240</v>
      </c>
      <c r="J185" s="77" t="s">
        <v>240</v>
      </c>
      <c r="K185" s="78" t="s">
        <v>240</v>
      </c>
      <c r="L185" s="182" t="s">
        <v>240</v>
      </c>
      <c r="M185" s="79" t="s">
        <v>240</v>
      </c>
    </row>
    <row r="186" spans="1:13" ht="16.8">
      <c r="A186" s="80"/>
      <c r="B186" s="81" t="s">
        <v>207</v>
      </c>
      <c r="D186" s="82"/>
      <c r="E186" s="83"/>
      <c r="F186" s="83"/>
      <c r="G186" s="83"/>
      <c r="H186" s="83"/>
      <c r="I186" s="83"/>
      <c r="J186" s="83"/>
      <c r="K186" s="84"/>
      <c r="L186" s="183"/>
      <c r="M186" s="85"/>
    </row>
    <row r="187" spans="1:13" ht="16.8">
      <c r="A187" s="86">
        <v>1</v>
      </c>
      <c r="B187" s="75" t="s">
        <v>241</v>
      </c>
      <c r="D187" s="87">
        <v>28.466106003108887</v>
      </c>
      <c r="E187" s="88">
        <v>28.325302732242275</v>
      </c>
      <c r="F187" s="88">
        <v>29.837083167565687</v>
      </c>
      <c r="G187" s="88">
        <v>28.720715948675441</v>
      </c>
      <c r="H187" s="88">
        <v>25.340821469062533</v>
      </c>
      <c r="I187" s="88">
        <v>25.690541271459477</v>
      </c>
      <c r="J187" s="88">
        <v>26.758089836543586</v>
      </c>
      <c r="K187" s="89">
        <v>25.259636206336072</v>
      </c>
      <c r="L187" s="172">
        <v>218.39829663499395</v>
      </c>
      <c r="M187" s="90">
        <v>27.299787079374244</v>
      </c>
    </row>
    <row r="188" spans="1:13" ht="16.8">
      <c r="A188" s="86">
        <v>2</v>
      </c>
      <c r="B188" s="75" t="s">
        <v>242</v>
      </c>
      <c r="D188" s="87">
        <v>47.646476892904182</v>
      </c>
      <c r="E188" s="88">
        <v>47.410800829902847</v>
      </c>
      <c r="F188" s="88">
        <v>49.941214071914764</v>
      </c>
      <c r="G188" s="88">
        <v>48.072642202863172</v>
      </c>
      <c r="H188" s="88">
        <v>42.4153856674683</v>
      </c>
      <c r="I188" s="88">
        <v>43.000745550624686</v>
      </c>
      <c r="J188" s="88">
        <v>44.787604913572956</v>
      </c>
      <c r="K188" s="89">
        <v>42.279498035204227</v>
      </c>
      <c r="L188" s="172">
        <v>365.55436816445513</v>
      </c>
      <c r="M188" s="90">
        <v>45.694296020556891</v>
      </c>
    </row>
    <row r="189" spans="1:13" ht="16.8">
      <c r="A189" s="86">
        <v>3</v>
      </c>
      <c r="B189" s="75" t="s">
        <v>243</v>
      </c>
      <c r="D189" s="87">
        <v>76.112582896013066</v>
      </c>
      <c r="E189" s="88">
        <v>75.736103562145118</v>
      </c>
      <c r="F189" s="88">
        <v>79.778297239480452</v>
      </c>
      <c r="G189" s="88">
        <v>76.793358151538612</v>
      </c>
      <c r="H189" s="88">
        <v>67.756207136530833</v>
      </c>
      <c r="I189" s="88">
        <v>68.691286822084166</v>
      </c>
      <c r="J189" s="88">
        <v>71.545694750116539</v>
      </c>
      <c r="K189" s="89">
        <v>67.539134241540296</v>
      </c>
      <c r="L189" s="172">
        <v>583.95266479944917</v>
      </c>
      <c r="M189" s="90">
        <v>72.994083099931146</v>
      </c>
    </row>
    <row r="190" spans="1:13" ht="16.8">
      <c r="A190" s="80"/>
      <c r="B190" s="81" t="s">
        <v>244</v>
      </c>
      <c r="D190" s="82">
        <v>0</v>
      </c>
      <c r="E190" s="83">
        <v>0</v>
      </c>
      <c r="F190" s="83">
        <v>0</v>
      </c>
      <c r="G190" s="83">
        <v>0</v>
      </c>
      <c r="H190" s="83">
        <v>0</v>
      </c>
      <c r="I190" s="83">
        <v>0</v>
      </c>
      <c r="J190" s="83">
        <v>0</v>
      </c>
      <c r="K190" s="84">
        <v>0</v>
      </c>
      <c r="L190" s="183">
        <v>0</v>
      </c>
      <c r="M190" s="85">
        <v>0</v>
      </c>
    </row>
    <row r="191" spans="1:13" ht="16.8">
      <c r="A191" s="86">
        <v>4</v>
      </c>
      <c r="B191" s="75" t="s">
        <v>311</v>
      </c>
      <c r="D191" s="87">
        <v>53.000554975302876</v>
      </c>
      <c r="E191" s="88">
        <v>67.966571447586361</v>
      </c>
      <c r="F191" s="88">
        <v>82.102403837110614</v>
      </c>
      <c r="G191" s="88">
        <v>95.27243007680525</v>
      </c>
      <c r="H191" s="88">
        <v>104.15031529698642</v>
      </c>
      <c r="I191" s="88">
        <v>106.9922037591725</v>
      </c>
      <c r="J191" s="88">
        <v>107.87858057384695</v>
      </c>
      <c r="K191" s="89">
        <v>107.81567907926919</v>
      </c>
      <c r="L191" s="172">
        <v>0</v>
      </c>
      <c r="M191" s="90">
        <v>90.647342380760023</v>
      </c>
    </row>
    <row r="192" spans="1:13" ht="16.8">
      <c r="A192" s="86">
        <v>5</v>
      </c>
      <c r="B192" s="75" t="s">
        <v>246</v>
      </c>
      <c r="D192" s="87">
        <v>0</v>
      </c>
      <c r="E192" s="88">
        <v>0</v>
      </c>
      <c r="F192" s="88">
        <v>0</v>
      </c>
      <c r="G192" s="88">
        <v>0</v>
      </c>
      <c r="H192" s="88">
        <v>0</v>
      </c>
      <c r="I192" s="88">
        <v>0</v>
      </c>
      <c r="J192" s="88">
        <v>0</v>
      </c>
      <c r="K192" s="89">
        <v>0</v>
      </c>
      <c r="L192" s="172">
        <v>0</v>
      </c>
      <c r="M192" s="90">
        <v>0</v>
      </c>
    </row>
    <row r="193" spans="1:13" ht="16.8">
      <c r="A193" s="86">
        <v>6</v>
      </c>
      <c r="B193" s="75" t="s">
        <v>247</v>
      </c>
      <c r="D193" s="87">
        <v>53.000554975302876</v>
      </c>
      <c r="E193" s="88">
        <v>67.966571447586361</v>
      </c>
      <c r="F193" s="88">
        <v>82.102403837110614</v>
      </c>
      <c r="G193" s="88">
        <v>95.27243007680525</v>
      </c>
      <c r="H193" s="88">
        <v>104.15031529698642</v>
      </c>
      <c r="I193" s="88">
        <v>106.9922037591725</v>
      </c>
      <c r="J193" s="88">
        <v>107.87858057384695</v>
      </c>
      <c r="K193" s="89">
        <v>107.81567907926919</v>
      </c>
      <c r="L193" s="172">
        <v>0</v>
      </c>
      <c r="M193" s="90">
        <v>90.647342380760023</v>
      </c>
    </row>
    <row r="194" spans="1:13" ht="16.8">
      <c r="A194" s="86">
        <v>7</v>
      </c>
      <c r="B194" s="75" t="s">
        <v>248</v>
      </c>
      <c r="D194" s="87">
        <v>25.511050963126319</v>
      </c>
      <c r="E194" s="88">
        <v>28.325302732242275</v>
      </c>
      <c r="F194" s="88">
        <v>29.837083167565687</v>
      </c>
      <c r="G194" s="88">
        <v>28.720715948675441</v>
      </c>
      <c r="H194" s="88">
        <v>25.340821469062533</v>
      </c>
      <c r="I194" s="88">
        <v>25.690541271459477</v>
      </c>
      <c r="J194" s="88">
        <v>26.758089836543586</v>
      </c>
      <c r="K194" s="89">
        <v>25.259636206336072</v>
      </c>
      <c r="L194" s="172">
        <v>215.44324159501136</v>
      </c>
      <c r="M194" s="90">
        <v>26.93040519937642</v>
      </c>
    </row>
    <row r="195" spans="1:13" ht="16.8">
      <c r="A195" s="86">
        <v>8</v>
      </c>
      <c r="B195" s="75" t="s">
        <v>249</v>
      </c>
      <c r="D195" s="87">
        <v>-10.545034490842841</v>
      </c>
      <c r="E195" s="88">
        <v>-14.18947034271803</v>
      </c>
      <c r="F195" s="88">
        <v>-16.667056927871048</v>
      </c>
      <c r="G195" s="88">
        <v>-19.84283072849426</v>
      </c>
      <c r="H195" s="88">
        <v>-22.498933006876463</v>
      </c>
      <c r="I195" s="88">
        <v>-24.804164456785017</v>
      </c>
      <c r="J195" s="88">
        <v>-26.820991331121348</v>
      </c>
      <c r="K195" s="89">
        <v>-27.169086484096475</v>
      </c>
      <c r="L195" s="172">
        <v>-162.53756776880547</v>
      </c>
      <c r="M195" s="90">
        <v>-20.317195971100684</v>
      </c>
    </row>
    <row r="196" spans="1:13" ht="16.8">
      <c r="A196" s="86">
        <v>9</v>
      </c>
      <c r="B196" s="75" t="s">
        <v>250</v>
      </c>
      <c r="D196" s="87">
        <v>67.966571447586361</v>
      </c>
      <c r="E196" s="88">
        <v>82.102403837110614</v>
      </c>
      <c r="F196" s="88">
        <v>95.27243007680525</v>
      </c>
      <c r="G196" s="88">
        <v>104.15031529698642</v>
      </c>
      <c r="H196" s="88">
        <v>106.9922037591725</v>
      </c>
      <c r="I196" s="88">
        <v>107.87858057384695</v>
      </c>
      <c r="J196" s="88">
        <v>107.81567907926919</v>
      </c>
      <c r="K196" s="186">
        <v>105.90622880150877</v>
      </c>
      <c r="L196" s="172">
        <v>0</v>
      </c>
      <c r="M196" s="90">
        <v>97.260551609035758</v>
      </c>
    </row>
    <row r="197" spans="1:13" ht="16.8">
      <c r="A197" s="80"/>
      <c r="B197" s="81" t="s">
        <v>251</v>
      </c>
      <c r="D197" s="91">
        <v>0</v>
      </c>
      <c r="E197" s="92">
        <v>0</v>
      </c>
      <c r="F197" s="92">
        <v>0</v>
      </c>
      <c r="G197" s="92">
        <v>0</v>
      </c>
      <c r="H197" s="92">
        <v>0</v>
      </c>
      <c r="I197" s="92">
        <v>0</v>
      </c>
      <c r="J197" s="92">
        <v>0</v>
      </c>
      <c r="K197" s="93">
        <v>0</v>
      </c>
      <c r="L197" s="184">
        <v>0</v>
      </c>
      <c r="M197" s="94">
        <v>0</v>
      </c>
    </row>
    <row r="198" spans="1:13" ht="16.8">
      <c r="A198" s="86">
        <v>10</v>
      </c>
      <c r="B198" s="75" t="s">
        <v>252</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72">
        <v>370.04250117772312</v>
      </c>
      <c r="M198" s="90">
        <v>46.255312647215391</v>
      </c>
    </row>
    <row r="199" spans="1:13" ht="16.8">
      <c r="A199" s="86">
        <v>11</v>
      </c>
      <c r="B199" s="75" t="s">
        <v>253</v>
      </c>
      <c r="D199" s="87">
        <v>0</v>
      </c>
      <c r="E199" s="88">
        <v>0</v>
      </c>
      <c r="F199" s="88">
        <v>0</v>
      </c>
      <c r="G199" s="88">
        <v>0</v>
      </c>
      <c r="H199" s="88">
        <v>0</v>
      </c>
      <c r="I199" s="88">
        <v>0</v>
      </c>
      <c r="J199" s="88">
        <v>0</v>
      </c>
      <c r="K199" s="89">
        <v>0</v>
      </c>
      <c r="L199" s="172">
        <v>0</v>
      </c>
      <c r="M199" s="90">
        <v>0</v>
      </c>
    </row>
    <row r="200" spans="1:13" ht="16.8">
      <c r="A200" s="86">
        <v>12</v>
      </c>
      <c r="B200" s="75" t="s">
        <v>254</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72">
        <v>169.19382162404565</v>
      </c>
      <c r="M200" s="90">
        <v>21.149227703005707</v>
      </c>
    </row>
    <row r="201" spans="1:13" ht="16.8">
      <c r="A201" s="86">
        <v>13</v>
      </c>
      <c r="B201" s="75" t="s">
        <v>255</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72">
        <v>33.298970715591416</v>
      </c>
      <c r="M201" s="90">
        <v>4.162371339448927</v>
      </c>
    </row>
    <row r="202" spans="1:13" ht="16.8">
      <c r="A202" s="86">
        <v>14</v>
      </c>
      <c r="B202" s="75" t="s">
        <v>256</v>
      </c>
      <c r="D202" s="87">
        <v>0</v>
      </c>
      <c r="E202" s="88">
        <v>0</v>
      </c>
      <c r="F202" s="88">
        <v>0</v>
      </c>
      <c r="G202" s="88">
        <v>0</v>
      </c>
      <c r="H202" s="88">
        <v>0</v>
      </c>
      <c r="I202" s="88">
        <v>0</v>
      </c>
      <c r="J202" s="88">
        <v>0</v>
      </c>
      <c r="K202" s="89">
        <v>0</v>
      </c>
      <c r="L202" s="172">
        <v>0</v>
      </c>
      <c r="M202" s="90">
        <v>0</v>
      </c>
    </row>
    <row r="203" spans="1:13" ht="16.8">
      <c r="A203" s="86">
        <v>15</v>
      </c>
      <c r="B203" s="75" t="s">
        <v>257</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72">
        <v>-2.7598268924942051</v>
      </c>
      <c r="M203" s="90">
        <v>-0.34497836156177564</v>
      </c>
    </row>
    <row r="204" spans="1:13" ht="16.8">
      <c r="A204" s="86">
        <v>16</v>
      </c>
      <c r="B204" s="75" t="s">
        <v>258</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72">
        <v>0.25852794282552904</v>
      </c>
      <c r="M204" s="90">
        <v>3.2315992853191131E-2</v>
      </c>
    </row>
    <row r="205" spans="1:13" ht="16.8">
      <c r="A205" s="86">
        <v>17</v>
      </c>
      <c r="B205" s="75" t="s">
        <v>259</v>
      </c>
      <c r="D205" s="87">
        <v>0.8125503950547055</v>
      </c>
      <c r="E205" s="88">
        <v>0</v>
      </c>
      <c r="F205" s="88">
        <v>0</v>
      </c>
      <c r="G205" s="88">
        <v>0</v>
      </c>
      <c r="H205" s="88">
        <v>0</v>
      </c>
      <c r="I205" s="88">
        <v>0</v>
      </c>
      <c r="J205" s="88">
        <v>0</v>
      </c>
      <c r="K205" s="89">
        <v>0</v>
      </c>
      <c r="L205" s="172">
        <v>0.8125503950547055</v>
      </c>
      <c r="M205" s="90">
        <v>0.10156879938183819</v>
      </c>
    </row>
    <row r="206" spans="1:13" ht="16.8">
      <c r="A206" s="80"/>
      <c r="B206" s="81" t="s">
        <v>260</v>
      </c>
      <c r="D206" s="91">
        <v>0</v>
      </c>
      <c r="E206" s="92">
        <v>0</v>
      </c>
      <c r="F206" s="92">
        <v>0</v>
      </c>
      <c r="G206" s="92">
        <v>0</v>
      </c>
      <c r="H206" s="92">
        <v>0</v>
      </c>
      <c r="I206" s="92">
        <v>0</v>
      </c>
      <c r="J206" s="92">
        <v>0</v>
      </c>
      <c r="K206" s="93">
        <v>0</v>
      </c>
      <c r="L206" s="184">
        <v>0</v>
      </c>
      <c r="M206" s="94">
        <v>0</v>
      </c>
    </row>
    <row r="207" spans="1:13" ht="16.8">
      <c r="A207" s="86">
        <v>18</v>
      </c>
      <c r="B207" s="75" t="s">
        <v>252</v>
      </c>
      <c r="D207" s="87">
        <v>47.646476892904182</v>
      </c>
      <c r="E207" s="88">
        <v>47.410800829902847</v>
      </c>
      <c r="F207" s="88">
        <v>49.941214071914764</v>
      </c>
      <c r="G207" s="88">
        <v>48.072642202863172</v>
      </c>
      <c r="H207" s="88">
        <v>42.4153856674683</v>
      </c>
      <c r="I207" s="88">
        <v>43.000745550624686</v>
      </c>
      <c r="J207" s="88">
        <v>44.787604913572956</v>
      </c>
      <c r="K207" s="89">
        <v>42.279498035204227</v>
      </c>
      <c r="L207" s="172">
        <v>365.55436816445513</v>
      </c>
      <c r="M207" s="90">
        <v>45.694296020556891</v>
      </c>
    </row>
    <row r="208" spans="1:13" ht="16.8">
      <c r="A208" s="86">
        <v>19</v>
      </c>
      <c r="B208" s="75" t="s">
        <v>253</v>
      </c>
      <c r="D208" s="87">
        <v>0</v>
      </c>
      <c r="E208" s="88">
        <v>0</v>
      </c>
      <c r="F208" s="88">
        <v>0</v>
      </c>
      <c r="G208" s="88">
        <v>0</v>
      </c>
      <c r="H208" s="88">
        <v>0</v>
      </c>
      <c r="I208" s="88">
        <v>0</v>
      </c>
      <c r="J208" s="88">
        <v>0</v>
      </c>
      <c r="K208" s="89">
        <v>0</v>
      </c>
      <c r="L208" s="172">
        <v>0</v>
      </c>
      <c r="M208" s="90">
        <v>0</v>
      </c>
    </row>
    <row r="209" spans="1:13" ht="16.8">
      <c r="A209" s="86">
        <v>20</v>
      </c>
      <c r="B209" s="75" t="s">
        <v>254</v>
      </c>
      <c r="D209" s="87">
        <v>10.545034490842841</v>
      </c>
      <c r="E209" s="88">
        <v>14.18947034271803</v>
      </c>
      <c r="F209" s="88">
        <v>16.667056927871048</v>
      </c>
      <c r="G209" s="88">
        <v>19.84283072849426</v>
      </c>
      <c r="H209" s="88">
        <v>22.498933006876463</v>
      </c>
      <c r="I209" s="88">
        <v>24.804164456785017</v>
      </c>
      <c r="J209" s="88">
        <v>26.820991331121348</v>
      </c>
      <c r="K209" s="89">
        <v>27.169086484096475</v>
      </c>
      <c r="L209" s="172">
        <v>162.53756776880547</v>
      </c>
      <c r="M209" s="90">
        <v>20.317195971100684</v>
      </c>
    </row>
    <row r="210" spans="1:13" ht="16.8">
      <c r="A210" s="86">
        <v>21</v>
      </c>
      <c r="B210" s="75" t="s">
        <v>255</v>
      </c>
      <c r="D210" s="87">
        <v>2.5838362422796743</v>
      </c>
      <c r="E210" s="88">
        <v>3.1178398413797717</v>
      </c>
      <c r="F210" s="88">
        <v>3.5964447985639865</v>
      </c>
      <c r="G210" s="88">
        <v>3.9442512570839892</v>
      </c>
      <c r="H210" s="88">
        <v>4.0770705280882744</v>
      </c>
      <c r="I210" s="88">
        <v>4.1498096657938435</v>
      </c>
      <c r="J210" s="88">
        <v>4.1660687498744187</v>
      </c>
      <c r="K210" s="89">
        <v>4.1286621964537051</v>
      </c>
      <c r="L210" s="172">
        <v>29.763983279517667</v>
      </c>
      <c r="M210" s="90">
        <v>3.7204979099397084</v>
      </c>
    </row>
    <row r="211" spans="1:13" ht="16.8">
      <c r="A211" s="86">
        <v>22</v>
      </c>
      <c r="B211" s="75" t="s">
        <v>256</v>
      </c>
      <c r="D211" s="87">
        <v>0</v>
      </c>
      <c r="E211" s="88">
        <v>0</v>
      </c>
      <c r="F211" s="88">
        <v>0</v>
      </c>
      <c r="G211" s="88">
        <v>0</v>
      </c>
      <c r="H211" s="88">
        <v>0</v>
      </c>
      <c r="I211" s="88">
        <v>0</v>
      </c>
      <c r="J211" s="88">
        <v>0</v>
      </c>
      <c r="K211" s="89">
        <v>0</v>
      </c>
      <c r="L211" s="172">
        <v>0</v>
      </c>
      <c r="M211" s="90">
        <v>0</v>
      </c>
    </row>
    <row r="212" spans="1:13" ht="16.8">
      <c r="A212" s="86">
        <v>23</v>
      </c>
      <c r="B212" s="75" t="s">
        <v>257</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72">
        <v>-2.7598268924942051</v>
      </c>
      <c r="M212" s="90">
        <v>-0.34497836156177564</v>
      </c>
    </row>
    <row r="213" spans="1:13" ht="16.8">
      <c r="A213" s="86">
        <v>24</v>
      </c>
      <c r="B213" s="75" t="s">
        <v>258</v>
      </c>
      <c r="D213" s="87">
        <v>8.3082796001737652E-2</v>
      </c>
      <c r="E213" s="88">
        <v>7.976923323919452E-2</v>
      </c>
      <c r="F213" s="88">
        <v>0.75266180631023005</v>
      </c>
      <c r="G213" s="88">
        <v>0.74924415240021436</v>
      </c>
      <c r="H213" s="88">
        <v>0.74577657614235293</v>
      </c>
      <c r="I213" s="88">
        <v>0.74217246406933812</v>
      </c>
      <c r="J213" s="88">
        <v>0.73842644008344849</v>
      </c>
      <c r="K213" s="89">
        <v>0.73453291640311436</v>
      </c>
      <c r="L213" s="172">
        <v>4.6256663846496302</v>
      </c>
      <c r="M213" s="90">
        <v>0.57820829808120378</v>
      </c>
    </row>
    <row r="214" spans="1:13" ht="16.8">
      <c r="A214" s="86">
        <v>25</v>
      </c>
      <c r="B214" s="75" t="s">
        <v>259</v>
      </c>
      <c r="D214" s="87">
        <v>1.2043822108714655</v>
      </c>
      <c r="E214" s="88">
        <v>0.18164238082154902</v>
      </c>
      <c r="F214" s="88">
        <v>0.45728479321275822</v>
      </c>
      <c r="G214" s="88">
        <v>0</v>
      </c>
      <c r="H214" s="88">
        <v>0</v>
      </c>
      <c r="I214" s="88">
        <v>0</v>
      </c>
      <c r="J214" s="88">
        <v>0.22535369474763309</v>
      </c>
      <c r="K214" s="89">
        <v>0.692237710160019</v>
      </c>
      <c r="L214" s="172">
        <v>2.7609007898134248</v>
      </c>
      <c r="M214" s="90">
        <v>0.3451125987266781</v>
      </c>
    </row>
    <row r="215" spans="1:13" ht="16.8">
      <c r="A215" s="80"/>
      <c r="B215" s="81" t="s">
        <v>261</v>
      </c>
      <c r="D215" s="91">
        <v>0</v>
      </c>
      <c r="E215" s="92">
        <v>0</v>
      </c>
      <c r="F215" s="92">
        <v>0</v>
      </c>
      <c r="G215" s="92">
        <v>0</v>
      </c>
      <c r="H215" s="92">
        <v>0</v>
      </c>
      <c r="I215" s="92">
        <v>0</v>
      </c>
      <c r="J215" s="92">
        <v>0</v>
      </c>
      <c r="K215" s="93">
        <v>0</v>
      </c>
      <c r="L215" s="91">
        <v>0</v>
      </c>
      <c r="M215" s="184">
        <v>0</v>
      </c>
    </row>
    <row r="216" spans="1:13" ht="16.8">
      <c r="A216" s="86">
        <v>26</v>
      </c>
      <c r="B216" s="75" t="s">
        <v>262</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72">
        <v>570.84654496274629</v>
      </c>
      <c r="M216" s="90">
        <v>71.355818120343287</v>
      </c>
    </row>
    <row r="217" spans="1:13" ht="16.8">
      <c r="A217" s="86">
        <v>27</v>
      </c>
      <c r="B217" s="75" t="s">
        <v>312</v>
      </c>
      <c r="D217" s="87">
        <v>0</v>
      </c>
      <c r="E217" s="88">
        <v>-0.74723548170331355</v>
      </c>
      <c r="F217" s="88">
        <v>-13.787280588025247</v>
      </c>
      <c r="G217" s="88">
        <v>1.0011710527519853</v>
      </c>
      <c r="H217" s="88">
        <v>3.0471602441516268</v>
      </c>
      <c r="I217" s="88">
        <v>0</v>
      </c>
      <c r="J217" s="88">
        <v>0</v>
      </c>
      <c r="K217" s="88">
        <v>0</v>
      </c>
      <c r="L217" s="172">
        <v>-10.486184772824949</v>
      </c>
      <c r="M217" s="90">
        <v>-1.3107730966031186</v>
      </c>
    </row>
    <row r="218" spans="1:13" ht="16.8">
      <c r="A218" s="86">
        <v>28</v>
      </c>
      <c r="B218" s="75" t="s">
        <v>264</v>
      </c>
      <c r="D218" s="96">
        <v>66.893712056086201</v>
      </c>
      <c r="E218" s="88">
        <v>66.68195609549845</v>
      </c>
      <c r="F218" s="88">
        <v>55.039338409943433</v>
      </c>
      <c r="G218" s="88">
        <v>73.793776097856025</v>
      </c>
      <c r="H218" s="88">
        <v>76.647087222686963</v>
      </c>
      <c r="I218" s="88">
        <v>72.682590016069625</v>
      </c>
      <c r="J218" s="88">
        <v>74.76721766777959</v>
      </c>
      <c r="K218" s="88">
        <v>73.854682624001015</v>
      </c>
      <c r="L218" s="172">
        <v>560.36036018992138</v>
      </c>
      <c r="M218" s="90">
        <v>70.045045023740172</v>
      </c>
    </row>
    <row r="219" spans="1:13" ht="16.8">
      <c r="A219" s="86">
        <v>29</v>
      </c>
      <c r="B219" s="75" t="s">
        <v>265</v>
      </c>
      <c r="D219" s="96">
        <v>0</v>
      </c>
      <c r="E219" s="88">
        <v>0</v>
      </c>
      <c r="F219" s="88">
        <v>0</v>
      </c>
      <c r="G219" s="88">
        <v>0</v>
      </c>
      <c r="H219" s="88">
        <v>0</v>
      </c>
      <c r="I219" s="88">
        <v>0</v>
      </c>
      <c r="J219" s="88">
        <v>0</v>
      </c>
      <c r="K219" s="88">
        <v>0</v>
      </c>
      <c r="L219" s="172">
        <v>0</v>
      </c>
      <c r="M219" s="90">
        <v>0</v>
      </c>
    </row>
    <row r="220" spans="1:13" ht="16.8">
      <c r="A220" s="86">
        <v>30</v>
      </c>
      <c r="B220" s="75" t="s">
        <v>277</v>
      </c>
      <c r="D220" s="96">
        <v>94.224999999999994</v>
      </c>
      <c r="E220" s="88">
        <v>87.484999999999999</v>
      </c>
      <c r="F220" s="88">
        <v>79.322999999999993</v>
      </c>
      <c r="G220" s="88">
        <v>58.722999999999999</v>
      </c>
      <c r="H220" s="88">
        <v>3.3000000000000002E-2</v>
      </c>
      <c r="I220" s="88">
        <v>3.3000000000000002E-2</v>
      </c>
      <c r="J220" s="88">
        <v>0</v>
      </c>
      <c r="K220" s="88">
        <v>0</v>
      </c>
      <c r="L220" s="172">
        <v>319.822</v>
      </c>
      <c r="M220" s="90">
        <v>39.97775</v>
      </c>
    </row>
    <row r="221" spans="1:13" ht="16.8">
      <c r="A221" s="86">
        <v>31</v>
      </c>
      <c r="B221" s="75" t="s">
        <v>266</v>
      </c>
      <c r="D221" s="96">
        <v>0</v>
      </c>
      <c r="E221" s="88">
        <v>0</v>
      </c>
      <c r="F221" s="88">
        <v>0</v>
      </c>
      <c r="G221" s="88">
        <v>0</v>
      </c>
      <c r="H221" s="88">
        <v>0</v>
      </c>
      <c r="I221" s="88">
        <v>0</v>
      </c>
      <c r="J221" s="88">
        <v>0</v>
      </c>
      <c r="K221" s="88">
        <v>0</v>
      </c>
      <c r="L221" s="172">
        <v>0</v>
      </c>
      <c r="M221" s="90">
        <v>0</v>
      </c>
    </row>
    <row r="222" spans="1:13" ht="16.8">
      <c r="A222" s="86">
        <v>32</v>
      </c>
      <c r="B222" s="75" t="s">
        <v>267</v>
      </c>
      <c r="D222" s="96">
        <v>161.1187120560862</v>
      </c>
      <c r="E222" s="88">
        <v>154.16695609549845</v>
      </c>
      <c r="F222" s="88">
        <v>134.36233840994342</v>
      </c>
      <c r="G222" s="88">
        <v>132.51677609785602</v>
      </c>
      <c r="H222" s="88">
        <v>76.680087222686964</v>
      </c>
      <c r="I222" s="88">
        <v>72.715590016069626</v>
      </c>
      <c r="J222" s="88">
        <v>74.76721766777959</v>
      </c>
      <c r="K222" s="88">
        <v>73.854682624001015</v>
      </c>
      <c r="L222" s="172">
        <v>880.18236018992138</v>
      </c>
      <c r="M222" s="90">
        <v>110.02279502374017</v>
      </c>
    </row>
    <row r="223" spans="1:13" ht="16.8">
      <c r="A223" s="80"/>
      <c r="B223" s="81" t="s">
        <v>268</v>
      </c>
      <c r="D223" s="91">
        <v>0</v>
      </c>
      <c r="E223" s="92">
        <v>0</v>
      </c>
      <c r="F223" s="92">
        <v>0</v>
      </c>
      <c r="G223" s="92">
        <v>0</v>
      </c>
      <c r="H223" s="92">
        <v>0</v>
      </c>
      <c r="I223" s="92">
        <v>0</v>
      </c>
      <c r="J223" s="92">
        <v>0</v>
      </c>
      <c r="K223" s="93">
        <v>0</v>
      </c>
      <c r="L223" s="91">
        <v>0</v>
      </c>
      <c r="M223" s="184">
        <v>0</v>
      </c>
    </row>
    <row r="224" spans="1:13" ht="16.8">
      <c r="A224" s="86">
        <v>33</v>
      </c>
      <c r="B224" s="75" t="s">
        <v>268</v>
      </c>
      <c r="D224" s="87">
        <v>61.631001083027449</v>
      </c>
      <c r="E224" s="88">
        <v>64.580050668098323</v>
      </c>
      <c r="F224" s="88">
        <v>71.067319227436826</v>
      </c>
      <c r="G224" s="88">
        <v>72.289647688351081</v>
      </c>
      <c r="H224" s="88">
        <v>69.424509509752369</v>
      </c>
      <c r="I224" s="88">
        <v>72.388898337783473</v>
      </c>
      <c r="J224" s="88">
        <v>76.412735900188977</v>
      </c>
      <c r="K224" s="89">
        <v>74.688497080108618</v>
      </c>
      <c r="L224" s="172">
        <v>562.48265949474717</v>
      </c>
      <c r="M224" s="90">
        <v>70.310332436843396</v>
      </c>
    </row>
    <row r="225" spans="1:13" ht="16.8">
      <c r="A225" s="86">
        <v>34</v>
      </c>
      <c r="B225" s="75" t="s">
        <v>269</v>
      </c>
      <c r="D225" s="87">
        <v>60.674058064698116</v>
      </c>
      <c r="E225" s="88">
        <v>63.235277253687492</v>
      </c>
      <c r="F225" s="88">
        <v>67.598571668977101</v>
      </c>
      <c r="G225" s="88">
        <v>71.504272869027488</v>
      </c>
      <c r="H225" s="88">
        <v>72.349284730862379</v>
      </c>
      <c r="I225" s="88">
        <v>71.483701912443678</v>
      </c>
      <c r="J225" s="88">
        <v>73.896764020246806</v>
      </c>
      <c r="K225" s="89">
        <v>73.550914623963251</v>
      </c>
      <c r="L225" s="172">
        <v>554.29284514390633</v>
      </c>
      <c r="M225" s="90">
        <v>69.286605642988292</v>
      </c>
    </row>
    <row r="226" spans="1:13" ht="16.8">
      <c r="A226" s="80"/>
      <c r="B226" s="81" t="s">
        <v>270</v>
      </c>
      <c r="D226" s="91">
        <v>0</v>
      </c>
      <c r="E226" s="92">
        <v>0</v>
      </c>
      <c r="F226" s="92">
        <v>0</v>
      </c>
      <c r="G226" s="92">
        <v>0</v>
      </c>
      <c r="H226" s="92">
        <v>0</v>
      </c>
      <c r="I226" s="92">
        <v>0</v>
      </c>
      <c r="J226" s="92">
        <v>0</v>
      </c>
      <c r="K226" s="93">
        <v>0</v>
      </c>
      <c r="L226" s="91">
        <v>0</v>
      </c>
      <c r="M226" s="184">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72">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72">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72">
        <v>552.55303273607774</v>
      </c>
      <c r="M229" s="90">
        <v>69.069129092009717</v>
      </c>
    </row>
    <row r="230" spans="1:13" ht="16.8">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72">
        <v>554.29284514390633</v>
      </c>
      <c r="M230" s="90">
        <v>69.286605642988292</v>
      </c>
    </row>
    <row r="231" spans="1:13" ht="16.8">
      <c r="A231" s="86">
        <v>39</v>
      </c>
      <c r="B231" s="98">
        <v>43190</v>
      </c>
      <c r="D231" s="96">
        <v>61.631001083027449</v>
      </c>
      <c r="E231" s="88">
        <v>64.580050668098323</v>
      </c>
      <c r="F231" s="88">
        <v>71.067319227436826</v>
      </c>
      <c r="G231" s="88">
        <v>72.289647688351081</v>
      </c>
      <c r="H231" s="88">
        <v>69.424509509752369</v>
      </c>
      <c r="I231" s="88">
        <v>72.388898337783473</v>
      </c>
      <c r="J231" s="88">
        <v>76.412735900188977</v>
      </c>
      <c r="K231" s="88">
        <v>74.688497080108618</v>
      </c>
      <c r="L231" s="172">
        <v>562.48265949474717</v>
      </c>
      <c r="M231" s="90">
        <v>70.310332436843396</v>
      </c>
    </row>
    <row r="232" spans="1:13" ht="16.8">
      <c r="A232" s="86">
        <v>40</v>
      </c>
      <c r="B232" s="98">
        <v>43555</v>
      </c>
      <c r="D232" s="96">
        <v>0</v>
      </c>
      <c r="E232" s="88">
        <v>0</v>
      </c>
      <c r="F232" s="88">
        <v>0</v>
      </c>
      <c r="G232" s="88">
        <v>0</v>
      </c>
      <c r="H232" s="88">
        <v>0</v>
      </c>
      <c r="I232" s="88">
        <v>0</v>
      </c>
      <c r="J232" s="88">
        <v>0</v>
      </c>
      <c r="K232" s="88">
        <v>0</v>
      </c>
      <c r="L232" s="172">
        <v>0</v>
      </c>
      <c r="M232" s="90">
        <v>0</v>
      </c>
    </row>
    <row r="233" spans="1:13" ht="16.8">
      <c r="A233" s="86">
        <v>41</v>
      </c>
      <c r="B233" s="98">
        <v>43921</v>
      </c>
      <c r="D233" s="96">
        <v>0</v>
      </c>
      <c r="E233" s="88">
        <v>0</v>
      </c>
      <c r="F233" s="88">
        <v>0</v>
      </c>
      <c r="G233" s="88">
        <v>0</v>
      </c>
      <c r="H233" s="88">
        <v>0</v>
      </c>
      <c r="I233" s="88">
        <v>0</v>
      </c>
      <c r="J233" s="88">
        <v>0</v>
      </c>
      <c r="K233" s="88">
        <v>0</v>
      </c>
      <c r="L233" s="172">
        <v>0</v>
      </c>
      <c r="M233" s="90">
        <v>0</v>
      </c>
    </row>
    <row r="234" spans="1:13" ht="17.399999999999999" thickBot="1">
      <c r="A234" s="103">
        <v>42</v>
      </c>
      <c r="B234" s="211">
        <v>44286</v>
      </c>
      <c r="D234" s="214">
        <v>0</v>
      </c>
      <c r="E234" s="106">
        <v>0</v>
      </c>
      <c r="F234" s="106">
        <v>0</v>
      </c>
      <c r="G234" s="106">
        <v>0</v>
      </c>
      <c r="H234" s="106">
        <v>0</v>
      </c>
      <c r="I234" s="106">
        <v>0</v>
      </c>
      <c r="J234" s="106">
        <v>0</v>
      </c>
      <c r="K234" s="106">
        <v>0</v>
      </c>
      <c r="L234" s="215">
        <v>0</v>
      </c>
      <c r="M234" s="108">
        <v>0</v>
      </c>
    </row>
    <row r="235" spans="1:13" ht="16.8">
      <c r="A235" s="80"/>
      <c r="B235" s="81" t="s">
        <v>313</v>
      </c>
      <c r="D235" s="91">
        <v>0</v>
      </c>
      <c r="E235" s="92">
        <v>0</v>
      </c>
      <c r="F235" s="92">
        <v>0</v>
      </c>
      <c r="G235" s="92">
        <v>0</v>
      </c>
      <c r="H235" s="92">
        <v>0</v>
      </c>
      <c r="I235" s="97">
        <v>0</v>
      </c>
      <c r="J235" s="92">
        <v>0</v>
      </c>
      <c r="K235" s="93">
        <v>0</v>
      </c>
      <c r="L235" s="95">
        <v>0</v>
      </c>
      <c r="M235" s="184">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8">
      <c r="A240" s="86">
        <v>47</v>
      </c>
      <c r="B240" s="98">
        <v>43190</v>
      </c>
      <c r="D240" s="96">
        <v>0</v>
      </c>
      <c r="E240" s="88">
        <v>-0.74723548170331355</v>
      </c>
      <c r="F240" s="88">
        <v>-13.787280588025247</v>
      </c>
      <c r="G240" s="88">
        <v>1.0011710527519853</v>
      </c>
      <c r="H240" s="88">
        <v>3.0471602441516268</v>
      </c>
      <c r="I240" s="88">
        <v>0</v>
      </c>
      <c r="J240" s="88">
        <v>0</v>
      </c>
      <c r="K240" s="89">
        <v>0</v>
      </c>
      <c r="L240" s="90">
        <v>-10.486184772824949</v>
      </c>
      <c r="M240" s="90">
        <v>0</v>
      </c>
    </row>
    <row r="241" spans="1:13" ht="16.8">
      <c r="A241" s="86">
        <v>48</v>
      </c>
      <c r="B241" s="98">
        <v>43555</v>
      </c>
      <c r="D241" s="96">
        <v>0</v>
      </c>
      <c r="E241" s="88">
        <v>0</v>
      </c>
      <c r="F241" s="88">
        <v>0</v>
      </c>
      <c r="G241" s="88">
        <v>0</v>
      </c>
      <c r="H241" s="88">
        <v>0</v>
      </c>
      <c r="I241" s="88">
        <v>0</v>
      </c>
      <c r="J241" s="88">
        <v>0</v>
      </c>
      <c r="K241" s="89">
        <v>0</v>
      </c>
      <c r="L241" s="90">
        <v>0</v>
      </c>
      <c r="M241" s="90">
        <v>0</v>
      </c>
    </row>
    <row r="242" spans="1:13" ht="16.8">
      <c r="A242" s="86">
        <v>49</v>
      </c>
      <c r="B242" s="98">
        <v>43921</v>
      </c>
      <c r="D242" s="96">
        <v>0</v>
      </c>
      <c r="E242" s="88">
        <v>0</v>
      </c>
      <c r="F242" s="88">
        <v>0</v>
      </c>
      <c r="G242" s="88">
        <v>0</v>
      </c>
      <c r="H242" s="88">
        <v>0</v>
      </c>
      <c r="I242" s="88">
        <v>0</v>
      </c>
      <c r="J242" s="88">
        <v>0</v>
      </c>
      <c r="K242" s="89">
        <v>0</v>
      </c>
      <c r="L242" s="90">
        <v>0</v>
      </c>
      <c r="M242" s="90">
        <v>0</v>
      </c>
    </row>
    <row r="243" spans="1:13" ht="16.8">
      <c r="A243" s="86">
        <v>50</v>
      </c>
      <c r="B243" s="98">
        <v>44286</v>
      </c>
      <c r="D243" s="96">
        <v>0</v>
      </c>
      <c r="E243" s="88">
        <v>0</v>
      </c>
      <c r="F243" s="88">
        <v>0</v>
      </c>
      <c r="G243" s="88">
        <v>0</v>
      </c>
      <c r="H243" s="88">
        <v>0</v>
      </c>
      <c r="I243" s="88">
        <v>0</v>
      </c>
      <c r="J243" s="88">
        <v>0</v>
      </c>
      <c r="K243" s="89">
        <v>0</v>
      </c>
      <c r="L243" s="90">
        <v>0</v>
      </c>
      <c r="M243" s="90">
        <v>0</v>
      </c>
    </row>
    <row r="244" spans="1:13" ht="16.8">
      <c r="A244" s="80"/>
      <c r="B244" s="81" t="s">
        <v>314</v>
      </c>
      <c r="D244" s="91">
        <v>0</v>
      </c>
      <c r="E244" s="92">
        <v>0</v>
      </c>
      <c r="F244" s="92">
        <v>0</v>
      </c>
      <c r="G244" s="92">
        <v>0</v>
      </c>
      <c r="H244" s="92">
        <v>0</v>
      </c>
      <c r="I244" s="97">
        <v>0</v>
      </c>
      <c r="J244" s="92">
        <v>0</v>
      </c>
      <c r="K244" s="93">
        <v>0</v>
      </c>
      <c r="L244" s="91">
        <v>0</v>
      </c>
      <c r="M244" s="184">
        <v>0</v>
      </c>
    </row>
    <row r="245" spans="1:13" ht="16.8">
      <c r="A245" s="86">
        <v>51</v>
      </c>
      <c r="B245" s="75" t="s">
        <v>273</v>
      </c>
      <c r="D245" s="87">
        <v>59.059114109249698</v>
      </c>
      <c r="E245" s="88">
        <v>73.360937444229933</v>
      </c>
      <c r="F245" s="88">
        <v>86.792031337894088</v>
      </c>
      <c r="G245" s="88">
        <v>97.690433611987345</v>
      </c>
      <c r="H245" s="88">
        <v>103.54464833240061</v>
      </c>
      <c r="I245" s="88">
        <v>105.39199151222459</v>
      </c>
      <c r="J245" s="88">
        <v>105.80492063173126</v>
      </c>
      <c r="K245" s="89">
        <v>104.85491292580839</v>
      </c>
      <c r="L245" s="90">
        <v>736.49898990552606</v>
      </c>
      <c r="M245" s="90">
        <v>92.062373738190757</v>
      </c>
    </row>
    <row r="246" spans="1:13" ht="16.8">
      <c r="A246" s="86">
        <v>52</v>
      </c>
      <c r="B246" s="75" t="s">
        <v>26</v>
      </c>
      <c r="D246" s="216">
        <v>0.625</v>
      </c>
      <c r="E246" s="217">
        <v>0.625</v>
      </c>
      <c r="F246" s="217">
        <v>0.625</v>
      </c>
      <c r="G246" s="217">
        <v>0.625</v>
      </c>
      <c r="H246" s="217">
        <v>0.625</v>
      </c>
      <c r="I246" s="217">
        <v>0.625</v>
      </c>
      <c r="J246" s="217">
        <v>0.625</v>
      </c>
      <c r="K246" s="218">
        <v>0.625</v>
      </c>
      <c r="L246" s="219">
        <v>0.625</v>
      </c>
      <c r="M246" s="219">
        <v>0.625</v>
      </c>
    </row>
    <row r="247" spans="1:13" ht="16.8">
      <c r="A247" s="86">
        <v>53</v>
      </c>
      <c r="B247" s="75" t="s">
        <v>274</v>
      </c>
      <c r="D247" s="87">
        <v>22.147167790968638</v>
      </c>
      <c r="E247" s="88">
        <v>27.510351541586225</v>
      </c>
      <c r="F247" s="88">
        <v>32.547011751710286</v>
      </c>
      <c r="G247" s="88">
        <v>36.633912604495251</v>
      </c>
      <c r="H247" s="88">
        <v>38.829243124650233</v>
      </c>
      <c r="I247" s="88">
        <v>39.521996817084222</v>
      </c>
      <c r="J247" s="88">
        <v>39.676845236899226</v>
      </c>
      <c r="K247" s="89">
        <v>39.320592347178149</v>
      </c>
      <c r="L247" s="90">
        <v>276.18712121457224</v>
      </c>
      <c r="M247" s="90">
        <v>34.52339015182153</v>
      </c>
    </row>
    <row r="248" spans="1:13" ht="16.8">
      <c r="A248" s="86">
        <v>54</v>
      </c>
      <c r="B248" s="75" t="s">
        <v>275</v>
      </c>
      <c r="D248" s="87">
        <v>1.077828832493807</v>
      </c>
      <c r="E248" s="88">
        <v>1.2471359365519088</v>
      </c>
      <c r="F248" s="88">
        <v>1.3832479994476869</v>
      </c>
      <c r="G248" s="88">
        <v>1.453145199978312</v>
      </c>
      <c r="H248" s="88">
        <v>1.4366819956120584</v>
      </c>
      <c r="I248" s="88">
        <v>1.4623138822321164</v>
      </c>
      <c r="J248" s="88">
        <v>1.4680432737652713</v>
      </c>
      <c r="K248" s="89">
        <v>1.4548619168455914</v>
      </c>
      <c r="L248" s="90">
        <v>10.983259036926752</v>
      </c>
      <c r="M248" s="90">
        <v>1.372907379615844</v>
      </c>
    </row>
    <row r="249" spans="1:13" ht="17.399999999999999" thickBot="1">
      <c r="A249" s="103">
        <v>55</v>
      </c>
      <c r="B249" s="104" t="s">
        <v>276</v>
      </c>
      <c r="D249" s="105">
        <v>1.5060074097858673</v>
      </c>
      <c r="E249" s="106">
        <v>1.8707039048278629</v>
      </c>
      <c r="F249" s="106">
        <v>2.2131967991162993</v>
      </c>
      <c r="G249" s="106">
        <v>2.4911060571056769</v>
      </c>
      <c r="H249" s="106">
        <v>2.6403885324762157</v>
      </c>
      <c r="I249" s="106">
        <v>2.6874957835617268</v>
      </c>
      <c r="J249" s="106">
        <v>2.6980254761091471</v>
      </c>
      <c r="K249" s="107">
        <v>2.6738002796081135</v>
      </c>
      <c r="L249" s="108">
        <v>18.78072424259091</v>
      </c>
      <c r="M249" s="108">
        <v>2.3475905303238638</v>
      </c>
    </row>
    <row r="254" spans="1:13">
      <c r="B254" t="s">
        <v>315</v>
      </c>
      <c r="D254" s="173">
        <v>68.08137458436687</v>
      </c>
    </row>
    <row r="255" spans="1:13">
      <c r="B255" t="s">
        <v>316</v>
      </c>
      <c r="D255" s="173">
        <v>-2.9550550399825672</v>
      </c>
    </row>
  </sheetData>
  <pageMargins left="0.7" right="0.7" top="0.75" bottom="0.75" header="0.3" footer="0.3"/>
  <pageSetup paperSize="9" orientation="portrait" r:id="rId1"/>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249977111117893"/>
  </sheetPr>
  <dimension ref="A1:AM155"/>
  <sheetViews>
    <sheetView workbookViewId="0">
      <selection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411</v>
      </c>
      <c r="C2" s="1" t="s">
        <v>384</v>
      </c>
      <c r="D2" s="2" t="s">
        <v>40</v>
      </c>
      <c r="E2" s="47" t="s">
        <v>41</v>
      </c>
      <c r="G2" s="112" t="s">
        <v>362</v>
      </c>
      <c r="H2" s="113" t="str">
        <f>RPI!$B$1</f>
        <v>Updated Oct 2019</v>
      </c>
      <c r="J2" s="224" t="s">
        <v>398</v>
      </c>
      <c r="K2">
        <f>1-0.4436</f>
        <v>0.55640000000000001</v>
      </c>
    </row>
    <row r="3" spans="1:11" ht="15.6" thickBot="1">
      <c r="C3" s="3" t="s">
        <v>42</v>
      </c>
      <c r="D3" s="62">
        <f>'GT workings 16-17'!V15/1000</f>
        <v>0.25229385799299364</v>
      </c>
      <c r="E3" s="63">
        <f>'GT workings 16-17'!L15/1000</f>
        <v>0.20357287402364305</v>
      </c>
    </row>
    <row r="4" spans="1:11" ht="15.6" thickBot="1">
      <c r="C4" s="3" t="s">
        <v>43</v>
      </c>
      <c r="D4" s="62">
        <f>'GT workings 16-17'!V16/1000</f>
        <v>1.1283043918706692</v>
      </c>
      <c r="E4" s="63">
        <f>'GT workings 16-17'!L16/1000</f>
        <v>0.89423407500752217</v>
      </c>
    </row>
    <row r="5" spans="1:11" ht="15.6" thickBot="1">
      <c r="C5" s="4" t="s">
        <v>44</v>
      </c>
      <c r="D5" s="64">
        <f>'GT workings 16-17'!V20/1000</f>
        <v>0.20173661705217469</v>
      </c>
      <c r="E5" s="63">
        <f>'GT workings 16-17'!L20/1000</f>
        <v>0.16008548752424961</v>
      </c>
    </row>
    <row r="6" spans="1:11" ht="15.6" thickBot="1">
      <c r="C6" s="3" t="s">
        <v>408</v>
      </c>
      <c r="D6" s="62">
        <f>'GT workings 16-17'!V21/1000</f>
        <v>0</v>
      </c>
      <c r="E6" s="63">
        <f>'GT workings 16-17'!L21/1000</f>
        <v>0</v>
      </c>
    </row>
    <row r="7" spans="1:11" ht="15.6" thickBot="1">
      <c r="C7" s="4" t="s">
        <v>46</v>
      </c>
      <c r="D7" s="64">
        <f>'GT workings 16-17'!V17/1000</f>
        <v>0.7704305528603258</v>
      </c>
      <c r="E7" s="63">
        <f>'GT workings 16-17'!L17/1000</f>
        <v>0.60703868961485508</v>
      </c>
    </row>
    <row r="8" spans="1:11" ht="16.2" thickBot="1">
      <c r="C8" s="6" t="s">
        <v>48</v>
      </c>
      <c r="D8" s="65">
        <f>SUM(D3:D7)</f>
        <v>2.3527654197761634</v>
      </c>
      <c r="E8" s="66">
        <f>SUM(E3:E7)</f>
        <v>1.8649311261702701</v>
      </c>
    </row>
    <row r="9" spans="1:11" ht="15.6" thickBot="1">
      <c r="C9" s="4" t="s">
        <v>52</v>
      </c>
      <c r="D9" s="64">
        <f>'GT workings 16-17'!V26/1000</f>
        <v>1.1150810844209129</v>
      </c>
      <c r="E9" s="63">
        <f>'GT workings 16-17'!L26/1000</f>
        <v>0.88225987635099723</v>
      </c>
    </row>
    <row r="10" spans="1:11" ht="15.6" thickBot="1">
      <c r="C10" s="3"/>
      <c r="D10" s="62"/>
      <c r="E10" s="63"/>
    </row>
    <row r="11" spans="1:11" ht="15.6" thickBot="1">
      <c r="C11" s="4" t="s">
        <v>49</v>
      </c>
      <c r="D11" s="64">
        <f>'GT workings 16-17'!V8/1000</f>
        <v>0.1866416825678523</v>
      </c>
      <c r="E11" s="63">
        <f>'GT workings 16-17'!L8/1000</f>
        <v>0.15032504731952542</v>
      </c>
    </row>
    <row r="12" spans="1:11" ht="15.6" thickBot="1">
      <c r="C12" s="3" t="s">
        <v>44</v>
      </c>
      <c r="D12" s="62">
        <f>'GT workings 16-17'!V12/1000</f>
        <v>7.5730194652696967E-2</v>
      </c>
      <c r="E12" s="63">
        <f>'GT workings 16-17'!L12/1000</f>
        <v>6.1382496753377327E-2</v>
      </c>
    </row>
    <row r="13" spans="1:11" ht="15.6" thickBot="1">
      <c r="C13" s="4" t="s">
        <v>45</v>
      </c>
      <c r="D13" s="64">
        <f>'GT workings 16-17'!V13/1000</f>
        <v>0.10816867050646548</v>
      </c>
      <c r="E13" s="63">
        <f>'GT workings 16-17'!L13/1000</f>
        <v>8.5269852497723217E-2</v>
      </c>
    </row>
    <row r="14" spans="1:11" ht="15.6" thickBot="1">
      <c r="C14" s="3" t="s">
        <v>46</v>
      </c>
      <c r="D14" s="62">
        <f>'GT workings 16-17'!V7/1000</f>
        <v>0.3878734949068352</v>
      </c>
      <c r="E14" s="63">
        <f>'GT workings 16-17'!L7/1000</f>
        <v>0.30674480978356433</v>
      </c>
    </row>
    <row r="15" spans="1:11" ht="16.2" thickBot="1">
      <c r="C15" s="5" t="s">
        <v>50</v>
      </c>
      <c r="D15" s="67">
        <f>SUM(D11:D14)</f>
        <v>0.75841404263384993</v>
      </c>
      <c r="E15" s="66">
        <f>SUM(E11:E14)</f>
        <v>0.60372220635419027</v>
      </c>
    </row>
    <row r="16" spans="1:11" ht="15.6" thickBot="1">
      <c r="C16" s="3"/>
      <c r="D16" s="62"/>
      <c r="E16" s="63"/>
    </row>
    <row r="17" spans="1:38" ht="16.2" thickBot="1">
      <c r="C17" s="5" t="s">
        <v>51</v>
      </c>
      <c r="D17" s="67">
        <f>D15+D8</f>
        <v>3.1111794624100133</v>
      </c>
      <c r="E17" s="66">
        <f>E15+E8</f>
        <v>2.4686533325244602</v>
      </c>
    </row>
    <row r="18" spans="1:38" ht="16.2" thickBot="1">
      <c r="C18" s="6"/>
      <c r="D18" s="65"/>
      <c r="E18" s="66"/>
    </row>
    <row r="19" spans="1:38" ht="16.2" thickBot="1">
      <c r="C19" s="5" t="s">
        <v>53</v>
      </c>
      <c r="D19" s="67">
        <f>'GT workings 16-17'!N164/1000</f>
        <v>5.3050164815467582</v>
      </c>
      <c r="E19" s="66">
        <f>'GT workings 16-17'!D161/1000</f>
        <v>4.6150603281741756</v>
      </c>
    </row>
    <row r="20" spans="1:38" ht="16.2" thickBot="1">
      <c r="C20" s="6" t="s">
        <v>54</v>
      </c>
      <c r="D20" s="65">
        <f>'GT workings 16-17'!U165/1000</f>
        <v>7.021764961609346</v>
      </c>
      <c r="E20" s="66">
        <f>'GT workings 16-17'!K162/1000</f>
        <v>5.0084721318454308</v>
      </c>
    </row>
    <row r="24" spans="1:38" ht="13.8" thickBot="1">
      <c r="A24" s="38" t="s">
        <v>399</v>
      </c>
    </row>
    <row r="25" spans="1:38" ht="12.75" customHeight="1" thickBot="1">
      <c r="C25" s="7" t="s">
        <v>58</v>
      </c>
      <c r="D25" s="8" t="s">
        <v>59</v>
      </c>
      <c r="E25" s="8" t="s">
        <v>60</v>
      </c>
      <c r="F25" s="8" t="s">
        <v>61</v>
      </c>
      <c r="G25" s="8" t="s">
        <v>62</v>
      </c>
      <c r="H25" s="8" t="s">
        <v>63</v>
      </c>
      <c r="I25" s="8" t="s">
        <v>64</v>
      </c>
      <c r="J25" s="8" t="s">
        <v>65</v>
      </c>
      <c r="K25" s="8" t="s">
        <v>66</v>
      </c>
      <c r="L25" s="8" t="s">
        <v>67</v>
      </c>
      <c r="S25" s="7" t="s">
        <v>58</v>
      </c>
      <c r="T25" s="8" t="s">
        <v>59</v>
      </c>
      <c r="U25" s="8" t="s">
        <v>60</v>
      </c>
      <c r="V25" s="8" t="s">
        <v>61</v>
      </c>
      <c r="W25" s="8" t="s">
        <v>62</v>
      </c>
      <c r="X25" s="8" t="s">
        <v>63</v>
      </c>
      <c r="Y25" s="8" t="s">
        <v>64</v>
      </c>
      <c r="Z25" s="8" t="s">
        <v>65</v>
      </c>
      <c r="AA25" s="8" t="s">
        <v>66</v>
      </c>
      <c r="AB25" s="8" t="s">
        <v>67</v>
      </c>
      <c r="AD25" s="164" t="s">
        <v>59</v>
      </c>
      <c r="AE25" s="164" t="s">
        <v>60</v>
      </c>
      <c r="AF25" s="164" t="s">
        <v>61</v>
      </c>
      <c r="AG25" s="164" t="s">
        <v>62</v>
      </c>
      <c r="AH25" s="164" t="s">
        <v>63</v>
      </c>
      <c r="AI25" s="164" t="s">
        <v>64</v>
      </c>
      <c r="AJ25" s="164" t="s">
        <v>65</v>
      </c>
      <c r="AK25" s="164" t="s">
        <v>66</v>
      </c>
      <c r="AL25" s="164" t="s">
        <v>345</v>
      </c>
    </row>
    <row r="26" spans="1:38" ht="12.75" customHeight="1">
      <c r="C26" s="9"/>
      <c r="D26" s="49"/>
      <c r="E26" s="49"/>
      <c r="F26" s="49"/>
      <c r="G26" s="49"/>
      <c r="H26" s="49"/>
      <c r="I26" s="49"/>
      <c r="J26" s="49"/>
      <c r="K26" s="49"/>
      <c r="L26" s="49"/>
      <c r="S26" s="9"/>
      <c r="T26" s="344"/>
      <c r="U26" s="344"/>
      <c r="V26" s="344"/>
      <c r="W26" s="344"/>
      <c r="X26" s="344"/>
      <c r="Y26" s="344"/>
      <c r="Z26" s="344"/>
      <c r="AA26" s="344"/>
      <c r="AB26" s="344"/>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338</v>
      </c>
      <c r="C27" s="10" t="s">
        <v>414</v>
      </c>
      <c r="D27" s="42">
        <f>'GT workings 16-17'!D15</f>
        <v>25.459307795372435</v>
      </c>
      <c r="E27" s="42">
        <f>'GT workings 16-17'!E15</f>
        <v>14.41280752104567</v>
      </c>
      <c r="F27" s="42">
        <f>'GT workings 16-17'!F15</f>
        <v>9.6173202079823099</v>
      </c>
      <c r="G27" s="42">
        <f>'GT workings 16-17'!G15</f>
        <v>60.446777499796859</v>
      </c>
      <c r="H27" s="42">
        <f>'GT workings 16-17'!H15</f>
        <v>84.880198528547851</v>
      </c>
      <c r="I27" s="42">
        <f>'GT workings 16-17'!I15</f>
        <v>8.5249336835233791</v>
      </c>
      <c r="J27" s="42">
        <f>'GT workings 16-17'!J15</f>
        <v>0.23152878737450566</v>
      </c>
      <c r="K27" s="42">
        <f>'GT workings 16-17'!K15</f>
        <v>0</v>
      </c>
      <c r="L27" s="50">
        <f t="shared" ref="L27:L38" si="1">SUM(D27:K27)</f>
        <v>203.57287402364304</v>
      </c>
      <c r="S27" s="10" t="s">
        <v>415</v>
      </c>
      <c r="T27" s="335">
        <v>112</v>
      </c>
      <c r="U27" s="335">
        <v>98</v>
      </c>
      <c r="V27" s="335">
        <v>107</v>
      </c>
      <c r="W27" s="335">
        <v>137</v>
      </c>
      <c r="X27" s="335">
        <v>166</v>
      </c>
      <c r="Y27" s="335">
        <v>85</v>
      </c>
      <c r="Z27" s="335">
        <v>72</v>
      </c>
      <c r="AA27" s="335">
        <v>71</v>
      </c>
      <c r="AB27" s="336">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416</v>
      </c>
      <c r="D28" s="42">
        <f>'GT workings 16-17'!D16+'GT workings 16-17'!D20</f>
        <v>123.99617020428643</v>
      </c>
      <c r="E28" s="42">
        <f>'GT workings 16-17'!E16+'GT workings 16-17'!E20</f>
        <v>128.05157660065038</v>
      </c>
      <c r="F28" s="42">
        <f>'GT workings 16-17'!F16+'GT workings 16-17'!F20</f>
        <v>125.18777913181741</v>
      </c>
      <c r="G28" s="42">
        <f>'GT workings 16-17'!G16+'GT workings 16-17'!G20</f>
        <v>136.63176996298813</v>
      </c>
      <c r="H28" s="42">
        <f>'GT workings 16-17'!H16+'GT workings 16-17'!H20</f>
        <v>170.30377749210527</v>
      </c>
      <c r="I28" s="42">
        <f>'GT workings 16-17'!I16+'GT workings 16-17'!I20</f>
        <v>150.18295316783582</v>
      </c>
      <c r="J28" s="42">
        <f>'GT workings 16-17'!J16+'GT workings 16-17'!J20</f>
        <v>122.37989371526645</v>
      </c>
      <c r="K28" s="42">
        <f>'GT workings 16-17'!K16+'GT workings 16-17'!K20</f>
        <v>97.58564225682187</v>
      </c>
      <c r="L28" s="50">
        <f t="shared" si="1"/>
        <v>1054.3195625317717</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'GT workings 16-17'!D17+'GT workings 16-17'!D21</f>
        <v>64.482672010544718</v>
      </c>
      <c r="E29" s="43">
        <f>'GT workings 16-17'!E17+'GT workings 16-17'!E21</f>
        <v>65.237874215180156</v>
      </c>
      <c r="F29" s="43">
        <f>'GT workings 16-17'!F17+'GT workings 16-17'!F21</f>
        <v>70.772894725011071</v>
      </c>
      <c r="G29" s="43">
        <f>'GT workings 16-17'!G17+'GT workings 16-17'!G21</f>
        <v>79.368338266410362</v>
      </c>
      <c r="H29" s="43">
        <f>'GT workings 16-17'!H17+'GT workings 16-17'!H21</f>
        <v>84.317479134504765</v>
      </c>
      <c r="I29" s="43">
        <f>'GT workings 16-17'!I17+'GT workings 16-17'!I21</f>
        <v>84.641346358196444</v>
      </c>
      <c r="J29" s="43">
        <f>'GT workings 16-17'!J17+'GT workings 16-17'!J21</f>
        <v>80.728014781566515</v>
      </c>
      <c r="K29" s="43">
        <f>'GT workings 16-17'!K17+'GT workings 16-17'!K21</f>
        <v>77.490070123441129</v>
      </c>
      <c r="L29" s="45">
        <f t="shared" si="1"/>
        <v>607.03868961485512</v>
      </c>
      <c r="S29" s="11" t="s">
        <v>417</v>
      </c>
      <c r="T29" s="337">
        <v>90</v>
      </c>
      <c r="U29" s="337">
        <v>89</v>
      </c>
      <c r="V29" s="337">
        <v>92</v>
      </c>
      <c r="W29" s="337">
        <v>92</v>
      </c>
      <c r="X29" s="337">
        <v>94</v>
      </c>
      <c r="Y29" s="337">
        <v>95</v>
      </c>
      <c r="Z29" s="337">
        <v>96</v>
      </c>
      <c r="AA29" s="337">
        <v>96</v>
      </c>
      <c r="AB29" s="338">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71</v>
      </c>
      <c r="D30" s="50">
        <f>SUM(D27:D29)</f>
        <v>213.93815001020357</v>
      </c>
      <c r="E30" s="50">
        <f t="shared" ref="E30:K30" si="2">SUM(E27:E29)</f>
        <v>207.70225833687618</v>
      </c>
      <c r="F30" s="50">
        <f t="shared" si="2"/>
        <v>205.57799406481078</v>
      </c>
      <c r="G30" s="50">
        <f t="shared" si="2"/>
        <v>276.44688572919534</v>
      </c>
      <c r="H30" s="50">
        <f t="shared" si="2"/>
        <v>339.50145515515788</v>
      </c>
      <c r="I30" s="50">
        <f t="shared" si="2"/>
        <v>243.34923320955565</v>
      </c>
      <c r="J30" s="50">
        <f t="shared" si="2"/>
        <v>203.33943728420746</v>
      </c>
      <c r="K30" s="50">
        <f t="shared" si="2"/>
        <v>175.07571238026298</v>
      </c>
      <c r="L30" s="50">
        <f t="shared" si="1"/>
        <v>1864.9311261702699</v>
      </c>
      <c r="S30" s="12" t="s">
        <v>390</v>
      </c>
      <c r="T30" s="336">
        <v>201</v>
      </c>
      <c r="U30" s="336">
        <v>187</v>
      </c>
      <c r="V30" s="336">
        <v>198</v>
      </c>
      <c r="W30" s="336">
        <v>229</v>
      </c>
      <c r="X30" s="336">
        <v>260</v>
      </c>
      <c r="Y30" s="336">
        <v>179</v>
      </c>
      <c r="Z30" s="336">
        <v>167</v>
      </c>
      <c r="AA30" s="336">
        <v>166</v>
      </c>
      <c r="AB30" s="339">
        <v>1588</v>
      </c>
      <c r="AD30" s="50">
        <f t="shared" si="0"/>
        <v>12.938150010203572</v>
      </c>
      <c r="AE30" s="50">
        <f t="shared" si="0"/>
        <v>20.702258336876184</v>
      </c>
      <c r="AF30" s="50">
        <f t="shared" si="0"/>
        <v>7.5779940648107811</v>
      </c>
      <c r="AG30" s="50">
        <f t="shared" si="0"/>
        <v>47.446885729195344</v>
      </c>
      <c r="AH30" s="50">
        <f t="shared" si="0"/>
        <v>79.501455155157885</v>
      </c>
      <c r="AI30" s="50">
        <f t="shared" si="0"/>
        <v>64.349233209555649</v>
      </c>
      <c r="AJ30" s="50">
        <f t="shared" si="0"/>
        <v>36.339437284207463</v>
      </c>
      <c r="AK30" s="50">
        <f t="shared" si="0"/>
        <v>9.0757123802629849</v>
      </c>
      <c r="AL30" s="50">
        <f t="shared" si="0"/>
        <v>276.93112617026986</v>
      </c>
    </row>
    <row r="31" spans="1:38" ht="12.75" customHeight="1">
      <c r="A31" t="s">
        <v>346</v>
      </c>
      <c r="C31" s="10" t="s">
        <v>74</v>
      </c>
      <c r="D31" s="42">
        <f>'GT workings 16-17'!D38+'GT workings 16-17'!D43</f>
        <v>2.9582169044297091</v>
      </c>
      <c r="E31" s="42">
        <f>'GT workings 16-17'!E38+'GT workings 16-17'!E43</f>
        <v>1.2243088763331087</v>
      </c>
      <c r="F31" s="42">
        <f>'GT workings 16-17'!F38+'GT workings 16-17'!F43</f>
        <v>9.6173202079823099</v>
      </c>
      <c r="G31" s="42">
        <f>'GT workings 16-17'!G38+'GT workings 16-17'!G43</f>
        <v>60.446777499796859</v>
      </c>
      <c r="H31" s="42">
        <f>'GT workings 16-17'!H38+'GT workings 16-17'!H43</f>
        <v>84.880198528547851</v>
      </c>
      <c r="I31" s="42">
        <f>'GT workings 16-17'!I38+'GT workings 16-17'!I43</f>
        <v>8.5249336835233791</v>
      </c>
      <c r="J31" s="42">
        <f>'GT workings 16-17'!J38+'GT workings 16-17'!J43</f>
        <v>0.23152878737450566</v>
      </c>
      <c r="K31" s="42">
        <f>'GT workings 16-17'!K38+'GT workings 16-17'!K43</f>
        <v>0</v>
      </c>
      <c r="L31" s="50">
        <f t="shared" si="1"/>
        <v>167.88328448798774</v>
      </c>
      <c r="S31" s="10" t="s">
        <v>415</v>
      </c>
      <c r="T31" s="335">
        <v>112</v>
      </c>
      <c r="U31" s="335">
        <v>98</v>
      </c>
      <c r="V31" s="335">
        <v>107</v>
      </c>
      <c r="W31" s="335">
        <v>137</v>
      </c>
      <c r="X31" s="335">
        <v>166</v>
      </c>
      <c r="Y31" s="335">
        <v>85</v>
      </c>
      <c r="Z31" s="335">
        <v>72</v>
      </c>
      <c r="AA31" s="335">
        <v>71</v>
      </c>
      <c r="AB31" s="336">
        <v>846</v>
      </c>
      <c r="AD31" s="42">
        <f t="shared" si="0"/>
        <v>-109.0417830955703</v>
      </c>
      <c r="AE31" s="42">
        <f t="shared" si="0"/>
        <v>-96.775691123666888</v>
      </c>
      <c r="AF31" s="42">
        <f t="shared" si="0"/>
        <v>-97.382679792017683</v>
      </c>
      <c r="AG31" s="42">
        <f t="shared" si="0"/>
        <v>-76.553222500203134</v>
      </c>
      <c r="AH31" s="42">
        <f t="shared" si="0"/>
        <v>-81.119801471452149</v>
      </c>
      <c r="AI31" s="42">
        <f t="shared" si="0"/>
        <v>-76.475066316476614</v>
      </c>
      <c r="AJ31" s="42">
        <f t="shared" si="0"/>
        <v>-71.768471212625499</v>
      </c>
      <c r="AK31" s="42">
        <f t="shared" si="0"/>
        <v>-71</v>
      </c>
      <c r="AL31" s="42">
        <f t="shared" si="0"/>
        <v>-678.11671551201221</v>
      </c>
    </row>
    <row r="32" spans="1:38" ht="12.75" customHeight="1">
      <c r="C32" s="10" t="s">
        <v>75</v>
      </c>
      <c r="D32" s="42">
        <f>'GT workings 16-17'!D39+'GT workings 16-17'!D44</f>
        <v>115.00943808282904</v>
      </c>
      <c r="E32" s="42">
        <f>'GT workings 16-17'!E39+'GT workings 16-17'!E44</f>
        <v>108.17203102805732</v>
      </c>
      <c r="F32" s="42">
        <f>'GT workings 16-17'!F39+'GT workings 16-17'!F44</f>
        <v>125.18777913181739</v>
      </c>
      <c r="G32" s="42">
        <f>'GT workings 16-17'!G39+'GT workings 16-17'!G44</f>
        <v>136.63176996298816</v>
      </c>
      <c r="H32" s="42">
        <f>'GT workings 16-17'!H39+'GT workings 16-17'!H44</f>
        <v>170.30377749210527</v>
      </c>
      <c r="I32" s="42">
        <f>'GT workings 16-17'!I39+'GT workings 16-17'!I44</f>
        <v>150.18295316783582</v>
      </c>
      <c r="J32" s="42">
        <f>'GT workings 16-17'!J39+'GT workings 16-17'!J44</f>
        <v>122.37989371526645</v>
      </c>
      <c r="K32" s="42">
        <f>'GT workings 16-17'!K39+'GT workings 16-17'!K44</f>
        <v>97.58564225682187</v>
      </c>
      <c r="L32" s="50">
        <f t="shared" si="1"/>
        <v>1025.4532848377212</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'GT workings 16-17'!D40+'GT workings 16-17'!D45</f>
        <v>70.079245271176461</v>
      </c>
      <c r="E33" s="43">
        <f>'GT workings 16-17'!E40+'GT workings 16-17'!E45</f>
        <v>72.597445466397843</v>
      </c>
      <c r="F33" s="43">
        <f>'GT workings 16-17'!F40+'GT workings 16-17'!F45</f>
        <v>70.772894725011071</v>
      </c>
      <c r="G33" s="43">
        <f>'GT workings 16-17'!G40+'GT workings 16-17'!G45</f>
        <v>79.368338266410362</v>
      </c>
      <c r="H33" s="43">
        <f>'GT workings 16-17'!H40+'GT workings 16-17'!H45</f>
        <v>84.317479134504765</v>
      </c>
      <c r="I33" s="43">
        <f>'GT workings 16-17'!I40+'GT workings 16-17'!I45</f>
        <v>84.641346358196444</v>
      </c>
      <c r="J33" s="43">
        <f>'GT workings 16-17'!J40+'GT workings 16-17'!J45</f>
        <v>80.728014781566515</v>
      </c>
      <c r="K33" s="43">
        <f>'GT workings 16-17'!K40+'GT workings 16-17'!K45</f>
        <v>77.490070123441129</v>
      </c>
      <c r="L33" s="45">
        <f t="shared" si="1"/>
        <v>619.99483412670463</v>
      </c>
      <c r="S33" s="11" t="s">
        <v>417</v>
      </c>
      <c r="T33" s="337">
        <v>90</v>
      </c>
      <c r="U33" s="337">
        <v>89</v>
      </c>
      <c r="V33" s="337">
        <v>92</v>
      </c>
      <c r="W33" s="337">
        <v>92</v>
      </c>
      <c r="X33" s="337">
        <v>94</v>
      </c>
      <c r="Y33" s="337">
        <v>95</v>
      </c>
      <c r="Z33" s="337">
        <v>96</v>
      </c>
      <c r="AA33" s="337">
        <v>96</v>
      </c>
      <c r="AB33" s="338">
        <v>743</v>
      </c>
      <c r="AD33" s="43">
        <f t="shared" ref="AD33:AL35" si="3">D33-T33</f>
        <v>-19.920754728823539</v>
      </c>
      <c r="AE33" s="43">
        <f t="shared" si="3"/>
        <v>-16.402554533602157</v>
      </c>
      <c r="AF33" s="43">
        <f t="shared" si="3"/>
        <v>-21.227105274988929</v>
      </c>
      <c r="AG33" s="43">
        <f t="shared" si="3"/>
        <v>-12.631661733589638</v>
      </c>
      <c r="AH33" s="43">
        <f t="shared" si="3"/>
        <v>-9.6825208654952348</v>
      </c>
      <c r="AI33" s="43">
        <f t="shared" si="3"/>
        <v>-10.358653641803556</v>
      </c>
      <c r="AJ33" s="43">
        <f t="shared" si="3"/>
        <v>-15.271985218433485</v>
      </c>
      <c r="AK33" s="43">
        <f t="shared" si="3"/>
        <v>-18.509929876558871</v>
      </c>
      <c r="AL33" s="43">
        <f t="shared" si="3"/>
        <v>-123.00516587329537</v>
      </c>
    </row>
    <row r="34" spans="1:39" ht="12.75" customHeight="1">
      <c r="C34" s="12" t="s">
        <v>77</v>
      </c>
      <c r="D34" s="50">
        <f t="shared" ref="D34:K34" si="4">SUM(D31:D33)</f>
        <v>188.04690025843519</v>
      </c>
      <c r="E34" s="50">
        <f t="shared" si="4"/>
        <v>181.99378537078826</v>
      </c>
      <c r="F34" s="50">
        <f t="shared" si="4"/>
        <v>205.57799406481078</v>
      </c>
      <c r="G34" s="50">
        <f t="shared" si="4"/>
        <v>276.4468857291954</v>
      </c>
      <c r="H34" s="50">
        <f t="shared" si="4"/>
        <v>339.50145515515788</v>
      </c>
      <c r="I34" s="50">
        <f t="shared" si="4"/>
        <v>243.34923320955565</v>
      </c>
      <c r="J34" s="50">
        <f t="shared" si="4"/>
        <v>203.33943728420746</v>
      </c>
      <c r="K34" s="50">
        <f t="shared" si="4"/>
        <v>175.07571238026298</v>
      </c>
      <c r="L34" s="50">
        <f t="shared" si="1"/>
        <v>1813.3314034524135</v>
      </c>
      <c r="S34" s="12" t="s">
        <v>390</v>
      </c>
      <c r="T34" s="336">
        <v>201</v>
      </c>
      <c r="U34" s="336">
        <v>187</v>
      </c>
      <c r="V34" s="336">
        <v>198</v>
      </c>
      <c r="W34" s="336">
        <v>229</v>
      </c>
      <c r="X34" s="336">
        <v>260</v>
      </c>
      <c r="Y34" s="336">
        <v>179</v>
      </c>
      <c r="Z34" s="336">
        <v>167</v>
      </c>
      <c r="AA34" s="336">
        <v>166</v>
      </c>
      <c r="AB34" s="339">
        <v>1588</v>
      </c>
      <c r="AD34" s="50">
        <f t="shared" si="3"/>
        <v>-12.953099741564813</v>
      </c>
      <c r="AE34" s="50">
        <f t="shared" si="3"/>
        <v>-5.0062146292117404</v>
      </c>
      <c r="AF34" s="50">
        <f t="shared" si="3"/>
        <v>7.5779940648107811</v>
      </c>
      <c r="AG34" s="50">
        <f t="shared" si="3"/>
        <v>47.446885729195401</v>
      </c>
      <c r="AH34" s="50">
        <f t="shared" si="3"/>
        <v>79.501455155157885</v>
      </c>
      <c r="AI34" s="50">
        <f t="shared" si="3"/>
        <v>64.349233209555649</v>
      </c>
      <c r="AJ34" s="50">
        <f t="shared" si="3"/>
        <v>36.339437284207463</v>
      </c>
      <c r="AK34" s="50">
        <f t="shared" si="3"/>
        <v>9.0757123802629849</v>
      </c>
      <c r="AL34" s="50">
        <f t="shared" si="3"/>
        <v>225.3314034524135</v>
      </c>
    </row>
    <row r="35" spans="1:39" ht="12.75" customHeight="1">
      <c r="A35" t="s">
        <v>233</v>
      </c>
      <c r="C35" s="10" t="s">
        <v>418</v>
      </c>
      <c r="D35" s="42">
        <f>D27-(D27-D31)*$K$2</f>
        <v>12.939700823651902</v>
      </c>
      <c r="E35" s="42">
        <f t="shared" ref="E35:K35" si="5">E27-(E27-E31)*$K$2</f>
        <v>7.0747268751276007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183.71518640600442</v>
      </c>
      <c r="S35" s="10" t="s">
        <v>415</v>
      </c>
      <c r="T35" s="335">
        <v>112</v>
      </c>
      <c r="U35" s="335">
        <v>98</v>
      </c>
      <c r="V35" s="335">
        <v>107</v>
      </c>
      <c r="W35" s="335">
        <v>137</v>
      </c>
      <c r="X35" s="335">
        <v>166</v>
      </c>
      <c r="Y35" s="335">
        <v>85</v>
      </c>
      <c r="Z35" s="335">
        <v>72</v>
      </c>
      <c r="AA35" s="335">
        <v>71</v>
      </c>
      <c r="AB35" s="336">
        <v>846</v>
      </c>
      <c r="AD35" s="42">
        <f t="shared" si="3"/>
        <v>-99.060299176348096</v>
      </c>
      <c r="AE35" s="42">
        <f t="shared" si="3"/>
        <v>-90.925273124872405</v>
      </c>
      <c r="AF35" s="42">
        <f t="shared" si="3"/>
        <v>-97.382679792017683</v>
      </c>
      <c r="AG35" s="42">
        <f t="shared" si="3"/>
        <v>-76.553222500203134</v>
      </c>
      <c r="AH35" s="42">
        <f t="shared" si="3"/>
        <v>-81.119801471452149</v>
      </c>
      <c r="AI35" s="42">
        <f t="shared" si="3"/>
        <v>-76.475066316476614</v>
      </c>
      <c r="AJ35" s="42">
        <f t="shared" si="3"/>
        <v>-71.768471212625499</v>
      </c>
      <c r="AK35" s="42">
        <f t="shared" si="3"/>
        <v>-71</v>
      </c>
      <c r="AL35" s="42">
        <f t="shared" si="3"/>
        <v>-662.28481359399552</v>
      </c>
    </row>
    <row r="36" spans="1:39" ht="12.75" customHeight="1">
      <c r="C36" s="10" t="s">
        <v>419</v>
      </c>
      <c r="D36" s="42">
        <f t="shared" ref="D36:K38" si="6">D28-(D28-D32)*$K$2</f>
        <v>118.99595245190754</v>
      </c>
      <c r="E36" s="42">
        <f t="shared" si="6"/>
        <v>116.9905974440596</v>
      </c>
      <c r="F36" s="42">
        <f t="shared" si="6"/>
        <v>125.18777913181739</v>
      </c>
      <c r="G36" s="42">
        <f t="shared" si="6"/>
        <v>136.63176996298816</v>
      </c>
      <c r="H36" s="42">
        <f t="shared" si="6"/>
        <v>170.30377749210527</v>
      </c>
      <c r="I36" s="42">
        <f t="shared" si="6"/>
        <v>150.18295316783582</v>
      </c>
      <c r="J36" s="42">
        <f t="shared" si="6"/>
        <v>122.37989371526645</v>
      </c>
      <c r="K36" s="42">
        <f t="shared" si="6"/>
        <v>97.58564225682187</v>
      </c>
      <c r="L36" s="50">
        <f t="shared" si="1"/>
        <v>1038.2583656228021</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 t="shared" si="6"/>
        <v>67.596605372760223</v>
      </c>
      <c r="E37" s="43">
        <f t="shared" si="6"/>
        <v>69.332739659357671</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614.24748842124825</v>
      </c>
      <c r="S37" s="11" t="s">
        <v>417</v>
      </c>
      <c r="T37" s="337">
        <v>90</v>
      </c>
      <c r="U37" s="337">
        <v>89</v>
      </c>
      <c r="V37" s="337">
        <v>92</v>
      </c>
      <c r="W37" s="337">
        <v>92</v>
      </c>
      <c r="X37" s="337">
        <v>94</v>
      </c>
      <c r="Y37" s="337">
        <v>95</v>
      </c>
      <c r="Z37" s="337">
        <v>96</v>
      </c>
      <c r="AA37" s="337">
        <v>96</v>
      </c>
      <c r="AB37" s="338">
        <v>743</v>
      </c>
      <c r="AD37" s="43">
        <f t="shared" ref="AD37:AL38" si="7">D37-T37</f>
        <v>-22.403394627239777</v>
      </c>
      <c r="AE37" s="43">
        <f t="shared" si="7"/>
        <v>-19.667260340642329</v>
      </c>
      <c r="AF37" s="43">
        <f t="shared" si="7"/>
        <v>-21.227105274988929</v>
      </c>
      <c r="AG37" s="43">
        <f t="shared" si="7"/>
        <v>-12.631661733589638</v>
      </c>
      <c r="AH37" s="43">
        <f t="shared" si="7"/>
        <v>-9.6825208654952348</v>
      </c>
      <c r="AI37" s="43">
        <f t="shared" si="7"/>
        <v>-10.358653641803556</v>
      </c>
      <c r="AJ37" s="43">
        <f t="shared" si="7"/>
        <v>-15.271985218433485</v>
      </c>
      <c r="AK37" s="43">
        <f t="shared" si="7"/>
        <v>-18.509929876558871</v>
      </c>
      <c r="AL37" s="43">
        <f t="shared" si="7"/>
        <v>-128.75251157875175</v>
      </c>
    </row>
    <row r="38" spans="1:39" ht="12.75" customHeight="1">
      <c r="C38" s="12" t="s">
        <v>78</v>
      </c>
      <c r="D38" s="50">
        <f t="shared" si="6"/>
        <v>199.53225864831964</v>
      </c>
      <c r="E38" s="50">
        <f t="shared" si="6"/>
        <v>193.39806397854485</v>
      </c>
      <c r="F38" s="50">
        <f t="shared" si="6"/>
        <v>205.57799406481078</v>
      </c>
      <c r="G38" s="50">
        <f t="shared" si="6"/>
        <v>276.4468857291954</v>
      </c>
      <c r="H38" s="50">
        <f t="shared" si="6"/>
        <v>339.50145515515788</v>
      </c>
      <c r="I38" s="50">
        <f t="shared" si="6"/>
        <v>243.34923320955565</v>
      </c>
      <c r="J38" s="50">
        <f t="shared" si="6"/>
        <v>203.33943728420746</v>
      </c>
      <c r="K38" s="50">
        <f t="shared" si="6"/>
        <v>175.07571238026298</v>
      </c>
      <c r="L38" s="50">
        <f t="shared" si="1"/>
        <v>1836.2210404500547</v>
      </c>
      <c r="S38" s="12" t="s">
        <v>390</v>
      </c>
      <c r="T38" s="336">
        <v>201</v>
      </c>
      <c r="U38" s="336">
        <v>187</v>
      </c>
      <c r="V38" s="336">
        <v>198</v>
      </c>
      <c r="W38" s="336">
        <v>229</v>
      </c>
      <c r="X38" s="336">
        <v>260</v>
      </c>
      <c r="Y38" s="336">
        <v>179</v>
      </c>
      <c r="Z38" s="336">
        <v>167</v>
      </c>
      <c r="AA38" s="336">
        <v>166</v>
      </c>
      <c r="AB38" s="339">
        <v>1588</v>
      </c>
      <c r="AD38" s="50">
        <f t="shared" si="7"/>
        <v>-1.4677413516803597</v>
      </c>
      <c r="AE38" s="50">
        <f t="shared" si="7"/>
        <v>6.3980639785448545</v>
      </c>
      <c r="AF38" s="50">
        <f t="shared" si="7"/>
        <v>7.5779940648107811</v>
      </c>
      <c r="AG38" s="50">
        <f t="shared" si="7"/>
        <v>47.446885729195401</v>
      </c>
      <c r="AH38" s="50">
        <f t="shared" si="7"/>
        <v>79.501455155157885</v>
      </c>
      <c r="AI38" s="50">
        <f t="shared" si="7"/>
        <v>64.349233209555649</v>
      </c>
      <c r="AJ38" s="50">
        <f t="shared" si="7"/>
        <v>36.339437284207463</v>
      </c>
      <c r="AK38" s="50">
        <f t="shared" si="7"/>
        <v>9.0757123802629849</v>
      </c>
      <c r="AL38" s="50">
        <f t="shared" si="7"/>
        <v>248.22104045005472</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'GT workings 16-17'!D121</f>
        <v>59.712604450652591</v>
      </c>
      <c r="E40" s="43">
        <f>'GT workings 16-17'!E121</f>
        <v>60.944566094000621</v>
      </c>
      <c r="F40" s="43">
        <f>'GT workings 16-17'!F121</f>
        <v>69.358391105946623</v>
      </c>
      <c r="G40" s="43">
        <f>'GT workings 16-17'!G121</f>
        <v>93.907421891247139</v>
      </c>
      <c r="H40" s="43">
        <f>'GT workings 16-17'!H121</f>
        <v>109.46147793559663</v>
      </c>
      <c r="I40" s="43">
        <f>'GT workings 16-17'!I121</f>
        <v>74.998413516027682</v>
      </c>
      <c r="J40" s="43">
        <f>'GT workings 16-17'!J121</f>
        <v>65.089296911713703</v>
      </c>
      <c r="K40" s="43">
        <f>'GT workings 16-17'!K121</f>
        <v>60.038704349459636</v>
      </c>
      <c r="L40" s="45">
        <f>SUM(D40:K40)</f>
        <v>593.5108762546447</v>
      </c>
      <c r="S40" s="11" t="s">
        <v>79</v>
      </c>
      <c r="T40" s="337">
        <v>95</v>
      </c>
      <c r="U40" s="337">
        <v>88</v>
      </c>
      <c r="V40" s="337">
        <v>93</v>
      </c>
      <c r="W40" s="337">
        <v>108</v>
      </c>
      <c r="X40" s="337">
        <v>122</v>
      </c>
      <c r="Y40" s="337">
        <v>84</v>
      </c>
      <c r="Z40" s="337">
        <v>79</v>
      </c>
      <c r="AA40" s="337">
        <v>78</v>
      </c>
      <c r="AB40" s="338">
        <v>747</v>
      </c>
      <c r="AD40" s="43">
        <f t="shared" si="0"/>
        <v>-35.287395549347409</v>
      </c>
      <c r="AE40" s="43">
        <f t="shared" si="0"/>
        <v>-27.055433905999379</v>
      </c>
      <c r="AF40" s="43">
        <f t="shared" si="0"/>
        <v>-23.641608894053377</v>
      </c>
      <c r="AG40" s="43">
        <f t="shared" si="0"/>
        <v>-14.092578108752861</v>
      </c>
      <c r="AH40" s="43">
        <f t="shared" si="0"/>
        <v>-12.538522064403367</v>
      </c>
      <c r="AI40" s="43">
        <f t="shared" si="0"/>
        <v>-9.0015864839723179</v>
      </c>
      <c r="AJ40" s="43">
        <f t="shared" si="0"/>
        <v>-13.910703088286297</v>
      </c>
      <c r="AK40" s="43">
        <f t="shared" si="0"/>
        <v>-17.961295650540364</v>
      </c>
      <c r="AL40" s="43">
        <f t="shared" si="0"/>
        <v>-153.4891237453553</v>
      </c>
    </row>
    <row r="41" spans="1:39" ht="12.75" customHeight="1">
      <c r="C41" s="10" t="s">
        <v>80</v>
      </c>
      <c r="D41" s="42">
        <f>'GT workings 16-17'!D122</f>
        <v>108.01943052309063</v>
      </c>
      <c r="E41" s="42">
        <f>'GT workings 16-17'!E122</f>
        <v>110.24803529364156</v>
      </c>
      <c r="F41" s="42">
        <f>'GT workings 16-17'!F122</f>
        <v>125.46855020289223</v>
      </c>
      <c r="G41" s="42">
        <f>'GT workings 16-17'!G122</f>
        <v>169.87747106169431</v>
      </c>
      <c r="H41" s="42">
        <f>'GT workings 16-17'!H122</f>
        <v>198.01458368124787</v>
      </c>
      <c r="I41" s="42">
        <f>'GT workings 16-17'!I122</f>
        <v>135.67128737169054</v>
      </c>
      <c r="J41" s="42">
        <f>'GT workings 16-17'!J122</f>
        <v>117.74580677287535</v>
      </c>
      <c r="K41" s="42">
        <f>'GT workings 16-17'!K122</f>
        <v>108.60934157598879</v>
      </c>
      <c r="L41" s="50">
        <f>SUM(D41:K41)</f>
        <v>1073.6545064831214</v>
      </c>
      <c r="S41" s="10" t="s">
        <v>80</v>
      </c>
      <c r="T41" s="335">
        <v>107</v>
      </c>
      <c r="U41" s="335">
        <v>99</v>
      </c>
      <c r="V41" s="335">
        <v>105</v>
      </c>
      <c r="W41" s="335">
        <v>121</v>
      </c>
      <c r="X41" s="335">
        <v>138</v>
      </c>
      <c r="Y41" s="335">
        <v>95</v>
      </c>
      <c r="Z41" s="335">
        <v>89</v>
      </c>
      <c r="AA41" s="335">
        <v>88</v>
      </c>
      <c r="AB41" s="336">
        <v>842</v>
      </c>
      <c r="AD41" s="42">
        <f t="shared" si="0"/>
        <v>1.0194305230906338</v>
      </c>
      <c r="AE41" s="42">
        <f t="shared" si="0"/>
        <v>11.248035293641564</v>
      </c>
      <c r="AF41" s="42">
        <f t="shared" si="0"/>
        <v>20.468550202892231</v>
      </c>
      <c r="AG41" s="42">
        <f t="shared" si="0"/>
        <v>48.877471061694308</v>
      </c>
      <c r="AH41" s="42">
        <f t="shared" si="0"/>
        <v>60.014583681247871</v>
      </c>
      <c r="AI41" s="42">
        <f t="shared" si="0"/>
        <v>40.671287371690539</v>
      </c>
      <c r="AJ41" s="42">
        <f t="shared" si="0"/>
        <v>28.745806772875355</v>
      </c>
      <c r="AK41" s="42">
        <f t="shared" si="0"/>
        <v>20.609341575988793</v>
      </c>
      <c r="AL41" s="42">
        <f t="shared" si="0"/>
        <v>231.65450648312139</v>
      </c>
    </row>
    <row r="42" spans="1:39" ht="12.75" customHeight="1">
      <c r="C42" s="39" t="s">
        <v>420</v>
      </c>
      <c r="D42" s="45">
        <f>D41+D40</f>
        <v>167.73203497374323</v>
      </c>
      <c r="E42" s="45">
        <f t="shared" ref="E42:L42" si="8">E41+E40</f>
        <v>171.19260138764218</v>
      </c>
      <c r="F42" s="45">
        <f t="shared" si="8"/>
        <v>194.82694130883885</v>
      </c>
      <c r="G42" s="45">
        <f t="shared" si="8"/>
        <v>263.78489295294145</v>
      </c>
      <c r="H42" s="45">
        <f t="shared" si="8"/>
        <v>307.4760616168445</v>
      </c>
      <c r="I42" s="45">
        <f t="shared" si="8"/>
        <v>210.66970088771822</v>
      </c>
      <c r="J42" s="45">
        <f t="shared" si="8"/>
        <v>182.83510368458906</v>
      </c>
      <c r="K42" s="45">
        <f t="shared" si="8"/>
        <v>168.64804592544843</v>
      </c>
      <c r="L42" s="45">
        <f t="shared" si="8"/>
        <v>1667.1653827377661</v>
      </c>
      <c r="S42" s="39" t="s">
        <v>421</v>
      </c>
      <c r="T42" s="338">
        <v>201</v>
      </c>
      <c r="U42" s="338">
        <v>187</v>
      </c>
      <c r="V42" s="338">
        <v>198</v>
      </c>
      <c r="W42" s="338">
        <v>229</v>
      </c>
      <c r="X42" s="338">
        <v>260</v>
      </c>
      <c r="Y42" s="338">
        <v>179</v>
      </c>
      <c r="Z42" s="338">
        <v>167</v>
      </c>
      <c r="AA42" s="338">
        <v>166</v>
      </c>
      <c r="AB42" s="340">
        <v>1588</v>
      </c>
      <c r="AD42" s="45">
        <f t="shared" si="0"/>
        <v>-33.267965026256775</v>
      </c>
      <c r="AE42" s="45">
        <f t="shared" si="0"/>
        <v>-15.807398612357815</v>
      </c>
      <c r="AF42" s="45">
        <f t="shared" si="0"/>
        <v>-3.1730586911611454</v>
      </c>
      <c r="AG42" s="45">
        <f t="shared" si="0"/>
        <v>34.784892952941448</v>
      </c>
      <c r="AH42" s="45">
        <f t="shared" si="0"/>
        <v>47.476061616844504</v>
      </c>
      <c r="AI42" s="45">
        <f t="shared" si="0"/>
        <v>31.669700887718221</v>
      </c>
      <c r="AJ42" s="45">
        <f t="shared" si="0"/>
        <v>15.835103684589058</v>
      </c>
      <c r="AK42" s="45">
        <f t="shared" si="0"/>
        <v>2.6480459254484288</v>
      </c>
      <c r="AL42" s="45">
        <f t="shared" si="0"/>
        <v>79.165382737766095</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'GT workings 16-17'!D123</f>
        <v>3.1800223674576458</v>
      </c>
      <c r="E44" s="43">
        <f>'GT workings 16-17'!E123</f>
        <v>2.2205462590902698</v>
      </c>
      <c r="F44" s="43">
        <f>'GT workings 16-17'!F123</f>
        <v>1.0751052755971937</v>
      </c>
      <c r="G44" s="43">
        <f>'GT workings 16-17'!G123</f>
        <v>1.2661992776253896</v>
      </c>
      <c r="H44" s="43">
        <f>'GT workings 16-17'!H123</f>
        <v>3.2025393538313374</v>
      </c>
      <c r="I44" s="43">
        <f>'GT workings 16-17'!I123</f>
        <v>3.2679532321837392</v>
      </c>
      <c r="J44" s="43">
        <f>'GT workings 16-17'!J123</f>
        <v>2.0504333599618434</v>
      </c>
      <c r="K44" s="43">
        <f>'GT workings 16-17'!K123</f>
        <v>0.64276664548145401</v>
      </c>
      <c r="L44" s="45">
        <f>SUM(D44:K44)</f>
        <v>16.905565771228876</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'GT workings 16-17'!D124</f>
        <v>28.620201307118801</v>
      </c>
      <c r="E45" s="42">
        <f>'GT workings 16-17'!E124</f>
        <v>19.984916331812443</v>
      </c>
      <c r="F45" s="42">
        <f>'GT workings 16-17'!F124</f>
        <v>9.6759474803747523</v>
      </c>
      <c r="G45" s="42">
        <f>'GT workings 16-17'!G124</f>
        <v>11.395793498628507</v>
      </c>
      <c r="H45" s="42">
        <f>'GT workings 16-17'!H124</f>
        <v>28.822854184482036</v>
      </c>
      <c r="I45" s="42">
        <f>'GT workings 16-17'!I124</f>
        <v>29.41157908965366</v>
      </c>
      <c r="J45" s="42">
        <f>'GT workings 16-17'!J124</f>
        <v>18.453900239656594</v>
      </c>
      <c r="K45" s="42">
        <f>'GT workings 16-17'!K124</f>
        <v>5.7848998093330914</v>
      </c>
      <c r="L45" s="50">
        <f>SUM(D45:K45)</f>
        <v>152.15009194105988</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D45+D44</f>
        <v>31.800223674576447</v>
      </c>
      <c r="E46" s="45">
        <f t="shared" ref="E46:L46" si="9">E45+E44</f>
        <v>22.205462590902712</v>
      </c>
      <c r="F46" s="45">
        <f t="shared" si="9"/>
        <v>10.751052755971946</v>
      </c>
      <c r="G46" s="45">
        <f t="shared" si="9"/>
        <v>12.661992776253896</v>
      </c>
      <c r="H46" s="45">
        <f t="shared" si="9"/>
        <v>32.025393538313374</v>
      </c>
      <c r="I46" s="45">
        <f t="shared" si="9"/>
        <v>32.679532321837399</v>
      </c>
      <c r="J46" s="45">
        <f t="shared" si="9"/>
        <v>20.504333599618437</v>
      </c>
      <c r="K46" s="45">
        <f t="shared" si="9"/>
        <v>6.4276664548145455</v>
      </c>
      <c r="L46" s="45">
        <f t="shared" si="9"/>
        <v>169.05565771228876</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D41+D45</f>
        <v>136.63963183020942</v>
      </c>
      <c r="E48" s="44">
        <f t="shared" ref="E48:L48" si="10">E41+E45</f>
        <v>130.23295162545401</v>
      </c>
      <c r="F48" s="44">
        <f t="shared" si="10"/>
        <v>135.14449768326699</v>
      </c>
      <c r="G48" s="44">
        <f t="shared" si="10"/>
        <v>181.27326456032281</v>
      </c>
      <c r="H48" s="44">
        <f t="shared" si="10"/>
        <v>226.8374378657299</v>
      </c>
      <c r="I48" s="44">
        <f t="shared" si="10"/>
        <v>165.0828664613442</v>
      </c>
      <c r="J48" s="44">
        <f t="shared" si="10"/>
        <v>136.19970701253195</v>
      </c>
      <c r="K48" s="44">
        <f t="shared" si="10"/>
        <v>114.39424138532189</v>
      </c>
      <c r="L48" s="44">
        <f t="shared" si="10"/>
        <v>1225.8045984241812</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-19.360368169790576</v>
      </c>
      <c r="AE48" s="44">
        <f t="shared" si="0"/>
        <v>-62.767048374545993</v>
      </c>
      <c r="AF48" s="44">
        <f t="shared" si="0"/>
        <v>-164.85550231673301</v>
      </c>
      <c r="AG48" s="44">
        <f t="shared" si="0"/>
        <v>-223.72673543967719</v>
      </c>
      <c r="AH48" s="44">
        <f t="shared" si="0"/>
        <v>-300.1625621342701</v>
      </c>
      <c r="AI48" s="44">
        <f t="shared" si="0"/>
        <v>-302.91713353865578</v>
      </c>
      <c r="AJ48" s="44">
        <f t="shared" si="0"/>
        <v>-377.80029298746808</v>
      </c>
      <c r="AK48" s="44">
        <f t="shared" si="0"/>
        <v>-437.60575861467811</v>
      </c>
      <c r="AL48" s="44">
        <f t="shared" si="0"/>
        <v>-1888.1954015758188</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'GT workings 16-17'!D135</f>
        <v>4562.0597731988728</v>
      </c>
      <c r="E52" s="41">
        <f>D56</f>
        <v>4630.3278823304217</v>
      </c>
      <c r="F52" s="41">
        <f t="shared" ref="F52:K52" si="11">E56</f>
        <v>4637.2650468615047</v>
      </c>
      <c r="G52" s="41">
        <f t="shared" si="11"/>
        <v>4690.7713369463409</v>
      </c>
      <c r="H52" s="41">
        <f t="shared" si="11"/>
        <v>4826.4785733653271</v>
      </c>
      <c r="I52" s="41">
        <f t="shared" si="11"/>
        <v>4963.9150530755023</v>
      </c>
      <c r="J52" s="41">
        <f t="shared" si="11"/>
        <v>4986.1175697071067</v>
      </c>
      <c r="K52" s="41">
        <f t="shared" si="11"/>
        <v>4957.0107413384749</v>
      </c>
    </row>
    <row r="53" spans="1:14">
      <c r="C53" s="10" t="s">
        <v>86</v>
      </c>
      <c r="D53" s="42">
        <f>'GT workings 16-17'!D136</f>
        <v>214.47944766878163</v>
      </c>
      <c r="E53" s="42">
        <f>'GT workings 16-17'!E136</f>
        <v>156.24197737664522</v>
      </c>
      <c r="F53" s="42">
        <f>'GT workings 16-17'!F136</f>
        <v>204.61041123223345</v>
      </c>
      <c r="G53" s="42">
        <f>'GT workings 16-17'!G136</f>
        <v>289.68551995390033</v>
      </c>
      <c r="H53" s="42">
        <f>'GT workings 16-17'!H136</f>
        <v>296.17948360419837</v>
      </c>
      <c r="I53" s="42">
        <f>'GT workings 16-17'!I136</f>
        <v>185.85455118807522</v>
      </c>
      <c r="J53" s="42">
        <f>'GT workings 16-17'!J136</f>
        <v>137.00257168548552</v>
      </c>
      <c r="K53" s="42">
        <f>'GT workings 16-17'!K136</f>
        <v>114.38648340521722</v>
      </c>
    </row>
    <row r="54" spans="1:14">
      <c r="C54" s="11" t="s">
        <v>92</v>
      </c>
      <c r="D54" s="42">
        <f>'GT workings 16-17'!D167</f>
        <v>-146.2113385372329</v>
      </c>
      <c r="E54" s="42">
        <f>'GT workings 16-17'!E167</f>
        <v>-144.85340732479523</v>
      </c>
      <c r="F54" s="42">
        <f>'GT workings 16-17'!F167</f>
        <v>-143.75882243451284</v>
      </c>
      <c r="G54" s="42">
        <f>'GT workings 16-17'!G167</f>
        <v>-143.62994616195877</v>
      </c>
      <c r="H54" s="42">
        <f>'GT workings 16-17'!H167</f>
        <v>-144.36654415261827</v>
      </c>
      <c r="I54" s="42">
        <f>'GT workings 16-17'!I167</f>
        <v>-144.23491526205314</v>
      </c>
      <c r="J54" s="42">
        <f>'GT workings 16-17'!J167</f>
        <v>-143.02394501567159</v>
      </c>
      <c r="K54" s="42">
        <f>'GT workings 16-17'!K167</f>
        <v>-141.36922321253948</v>
      </c>
    </row>
    <row r="55" spans="1:14">
      <c r="C55" s="10" t="s">
        <v>93</v>
      </c>
      <c r="D55" s="42">
        <f>'GT workings 16-17'!D168</f>
        <v>0</v>
      </c>
      <c r="E55" s="42">
        <f>'GT workings 16-17'!E168</f>
        <v>-4.4514055207660359</v>
      </c>
      <c r="F55" s="42">
        <f>'GT workings 16-17'!F168</f>
        <v>-7.3452987128849099</v>
      </c>
      <c r="G55" s="42">
        <f>'GT workings 16-17'!G168</f>
        <v>-10.348337372955184</v>
      </c>
      <c r="H55" s="42">
        <f>'GT workings 16-17'!H168</f>
        <v>-14.376459741404476</v>
      </c>
      <c r="I55" s="42">
        <f>'GT workings 16-17'!I168</f>
        <v>-19.41711929441837</v>
      </c>
      <c r="J55" s="42">
        <f>'GT workings 16-17'!J168</f>
        <v>-23.085455038445915</v>
      </c>
      <c r="K55" s="42">
        <f>'GT workings 16-17'!K168</f>
        <v>-26.111942794722076</v>
      </c>
      <c r="N55" s="132" t="s">
        <v>301</v>
      </c>
    </row>
    <row r="56" spans="1:14" ht="13.8" thickBot="1">
      <c r="C56" s="23" t="s">
        <v>94</v>
      </c>
      <c r="D56" s="44">
        <f>SUM(D52:D55)</f>
        <v>4630.3278823304217</v>
      </c>
      <c r="E56" s="44">
        <f t="shared" ref="E56:K56" si="12">SUM(E52:E55)</f>
        <v>4637.2650468615047</v>
      </c>
      <c r="F56" s="44">
        <f t="shared" si="12"/>
        <v>4690.7713369463409</v>
      </c>
      <c r="G56" s="44">
        <f t="shared" si="12"/>
        <v>4826.4785733653271</v>
      </c>
      <c r="H56" s="44">
        <f t="shared" si="12"/>
        <v>4963.9150530755023</v>
      </c>
      <c r="I56" s="44">
        <f t="shared" si="12"/>
        <v>4986.1175697071067</v>
      </c>
      <c r="J56" s="44">
        <f t="shared" si="12"/>
        <v>4957.0107413384749</v>
      </c>
      <c r="K56" s="44">
        <f t="shared" si="12"/>
        <v>4903.9160587364304</v>
      </c>
      <c r="N56" s="133">
        <f>(K56/D56)^(1/7)-1</f>
        <v>8.2346337651684198E-3</v>
      </c>
    </row>
    <row r="58" spans="1:14">
      <c r="D58" s="53">
        <f>D56-D65-D66</f>
        <v>5.1159076974727213E-13</v>
      </c>
      <c r="E58" s="53">
        <f t="shared" ref="E58:K58" si="13">E56-E65-E66</f>
        <v>-6.8212102632969618E-13</v>
      </c>
      <c r="F58" s="53">
        <f t="shared" si="13"/>
        <v>-7.3896444519050419E-13</v>
      </c>
      <c r="G58" s="53">
        <f t="shared" si="13"/>
        <v>-9.6633812063373625E-13</v>
      </c>
      <c r="H58" s="53">
        <f t="shared" si="13"/>
        <v>-1.3358203432289883E-12</v>
      </c>
      <c r="I58" s="53">
        <f t="shared" si="13"/>
        <v>-3.5527136788005009E-14</v>
      </c>
      <c r="J58" s="53">
        <f t="shared" si="13"/>
        <v>7.6794126613322078E-13</v>
      </c>
      <c r="K58" s="53">
        <f t="shared" si="13"/>
        <v>9.0949470177292824E-13</v>
      </c>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'GT workings 16-17'!D59</f>
        <v>4014.3985484751774</v>
      </c>
      <c r="E61" s="41">
        <f>'GT workings 16-17'!E59</f>
        <v>4314.8417128693691</v>
      </c>
      <c r="F61" s="41">
        <f>'GT workings 16-17'!F59</f>
        <v>4305.0633194415932</v>
      </c>
      <c r="G61" s="41">
        <f>'GT workings 16-17'!G59</f>
        <v>4299.2804670770647</v>
      </c>
      <c r="H61" s="41">
        <f>'GT workings 16-17'!H59</f>
        <v>4350.656432913469</v>
      </c>
      <c r="I61" s="41">
        <f>'GT workings 16-17'!I59</f>
        <v>4894.5652493569305</v>
      </c>
      <c r="J61" s="41">
        <f>'GT workings 16-17'!J59</f>
        <v>4965.338127000271</v>
      </c>
      <c r="K61" s="41">
        <f>'GT workings 16-17'!K59</f>
        <v>4956.2001186854159</v>
      </c>
    </row>
    <row r="62" spans="1:14">
      <c r="C62" s="10" t="s">
        <v>85</v>
      </c>
      <c r="D62" s="42">
        <f>'GT workings 16-17'!D60</f>
        <v>238.90848777994489</v>
      </c>
      <c r="E62" s="42">
        <f>'GT workings 16-17'!E60</f>
        <v>1.5889649604528906</v>
      </c>
      <c r="F62" s="42">
        <f>'GT workings 16-17'!F60</f>
        <v>1.9371656435515117</v>
      </c>
      <c r="G62" s="42">
        <f>'GT workings 16-17'!G60</f>
        <v>14.654700839030934</v>
      </c>
      <c r="H62" s="42">
        <f>'GT workings 16-17'!H60</f>
        <v>475.82214045185901</v>
      </c>
      <c r="I62" s="42">
        <f>'GT workings 16-17'!I60</f>
        <v>69.349803718573156</v>
      </c>
      <c r="J62" s="42">
        <f>'GT workings 16-17'!J60</f>
        <v>20.779442706835688</v>
      </c>
      <c r="K62" s="42">
        <f>'GT workings 16-17'!K60</f>
        <v>0.81062265305823133</v>
      </c>
    </row>
    <row r="63" spans="1:14">
      <c r="C63" s="11" t="s">
        <v>86</v>
      </c>
      <c r="D63" s="43">
        <f>'GT workings 16-17'!D62</f>
        <v>200.31324843447163</v>
      </c>
      <c r="E63" s="43">
        <f>'GT workings 16-17'!E62</f>
        <v>130.22519364534935</v>
      </c>
      <c r="F63" s="43">
        <f>'GT workings 16-17'!F62</f>
        <v>135.13673970316233</v>
      </c>
      <c r="G63" s="43">
        <f>'GT workings 16-17'!G62</f>
        <v>181.26550658021816</v>
      </c>
      <c r="H63" s="43">
        <f>'GT workings 16-17'!H62</f>
        <v>226.82967988562524</v>
      </c>
      <c r="I63" s="43">
        <f>'GT workings 16-17'!I62</f>
        <v>165.07510848123954</v>
      </c>
      <c r="J63" s="43">
        <f>'GT workings 16-17'!J62</f>
        <v>136.19194903242729</v>
      </c>
      <c r="K63" s="43">
        <f>'GT workings 16-17'!K62</f>
        <v>114.38648340521722</v>
      </c>
    </row>
    <row r="64" spans="1:14">
      <c r="C64" s="10" t="s">
        <v>87</v>
      </c>
      <c r="D64" s="42">
        <f>'GT workings 16-17'!D63</f>
        <v>-138.77857182022461</v>
      </c>
      <c r="E64" s="42">
        <f>'GT workings 16-17'!E63</f>
        <v>-141.59255203357839</v>
      </c>
      <c r="F64" s="42">
        <f>'GT workings 16-17'!F63</f>
        <v>-142.85675771124275</v>
      </c>
      <c r="G64" s="42">
        <f>'GT workings 16-17'!G63</f>
        <v>-144.54424158284485</v>
      </c>
      <c r="H64" s="42">
        <f>'GT workings 16-17'!H63</f>
        <v>-158.74300389402276</v>
      </c>
      <c r="I64" s="42">
        <f>'GT workings 16-17'!I63</f>
        <v>-163.65203455647151</v>
      </c>
      <c r="J64" s="42">
        <f>'GT workings 16-17'!J63</f>
        <v>-166.10940005411751</v>
      </c>
      <c r="K64" s="42">
        <f>'GT workings 16-17'!K63</f>
        <v>-167.48116600726155</v>
      </c>
    </row>
    <row r="65" spans="1:14">
      <c r="C65" s="39" t="s">
        <v>94</v>
      </c>
      <c r="D65" s="45">
        <f>SUM(D61:D64)</f>
        <v>4314.8417128693691</v>
      </c>
      <c r="E65" s="45">
        <f t="shared" ref="E65:K65" si="14">SUM(E61:E64)</f>
        <v>4305.0633194415932</v>
      </c>
      <c r="F65" s="45">
        <f t="shared" si="14"/>
        <v>4299.2804670770647</v>
      </c>
      <c r="G65" s="45">
        <f t="shared" si="14"/>
        <v>4350.656432913469</v>
      </c>
      <c r="H65" s="45">
        <f t="shared" si="14"/>
        <v>4894.5652493569305</v>
      </c>
      <c r="I65" s="45">
        <f t="shared" si="14"/>
        <v>4965.338127000271</v>
      </c>
      <c r="J65" s="45">
        <f t="shared" si="14"/>
        <v>4956.2001186854159</v>
      </c>
      <c r="K65" s="45">
        <f t="shared" si="14"/>
        <v>4903.9160587364295</v>
      </c>
    </row>
    <row r="66" spans="1:14">
      <c r="C66" s="10" t="s">
        <v>89</v>
      </c>
      <c r="D66" s="42">
        <f>'GT workings 16-17'!D133</f>
        <v>315.48616946105216</v>
      </c>
      <c r="E66" s="42">
        <f>'GT workings 16-17'!E133</f>
        <v>332.20172741991223</v>
      </c>
      <c r="F66" s="42">
        <f>'GT workings 16-17'!F133</f>
        <v>391.49086986927688</v>
      </c>
      <c r="G66" s="42">
        <f>'GT workings 16-17'!G133</f>
        <v>475.82214045185907</v>
      </c>
      <c r="H66" s="42">
        <f>'GT workings 16-17'!H133</f>
        <v>69.349803718573156</v>
      </c>
      <c r="I66" s="42">
        <f>'GT workings 16-17'!I133</f>
        <v>20.779442706835688</v>
      </c>
      <c r="J66" s="42">
        <f>'GT workings 16-17'!J133</f>
        <v>0.81062265305823133</v>
      </c>
      <c r="K66" s="42">
        <f>'GT workings 16-17'!K133</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'GT workings 16-17'!D75</f>
        <v>62.892626818110237</v>
      </c>
      <c r="E70" s="42">
        <f>'GT workings 16-17'!E75</f>
        <v>63.16511235309089</v>
      </c>
      <c r="F70" s="42">
        <f>'GT workings 16-17'!F75</f>
        <v>70.433496381543819</v>
      </c>
      <c r="G70" s="42">
        <f>'GT workings 16-17'!G75</f>
        <v>95.173621168872529</v>
      </c>
      <c r="H70" s="42">
        <f>'GT workings 16-17'!H75</f>
        <v>112.66401728942797</v>
      </c>
      <c r="I70" s="42">
        <f>'GT workings 16-17'!I75</f>
        <v>78.266366748211425</v>
      </c>
      <c r="J70" s="42">
        <f>'GT workings 16-17'!J75</f>
        <v>67.139730271675546</v>
      </c>
      <c r="K70" s="42">
        <f>'GT workings 16-17'!K75</f>
        <v>60.681470994941087</v>
      </c>
    </row>
    <row r="71" spans="1:14">
      <c r="C71" s="11" t="s">
        <v>98</v>
      </c>
      <c r="D71" s="43">
        <f>'GT workings 16-17'!D76</f>
        <v>110.11544616012048</v>
      </c>
      <c r="E71" s="43">
        <f>'GT workings 16-17'!E76</f>
        <v>110.29121834911521</v>
      </c>
      <c r="F71" s="43">
        <f>'GT workings 16-17'!F76</f>
        <v>110.32860169190292</v>
      </c>
      <c r="G71" s="43">
        <f>'GT workings 16-17'!G76</f>
        <v>110.3596633646699</v>
      </c>
      <c r="H71" s="43">
        <f>'GT workings 16-17'!H76</f>
        <v>110.27343835902431</v>
      </c>
      <c r="I71" s="43">
        <f>'GT workings 16-17'!I76</f>
        <v>110.27662588032852</v>
      </c>
      <c r="J71" s="43">
        <f>'GT workings 16-17'!J76</f>
        <v>110.30420904525512</v>
      </c>
      <c r="K71" s="43">
        <f>'GT workings 16-17'!K76</f>
        <v>110.31067350058066</v>
      </c>
    </row>
    <row r="72" spans="1:14">
      <c r="C72" s="10" t="s">
        <v>99</v>
      </c>
      <c r="D72" s="42">
        <f>'GT workings 16-17'!D145</f>
        <v>40.732299345663577</v>
      </c>
      <c r="E72" s="42">
        <f>'GT workings 16-17'!E145</f>
        <v>41.126253271024638</v>
      </c>
      <c r="F72" s="42">
        <f>'GT workings 16-17'!F145</f>
        <v>64.595975561248082</v>
      </c>
      <c r="G72" s="42">
        <f>'GT workings 16-17'!G145</f>
        <v>65.205446389282784</v>
      </c>
      <c r="H72" s="42">
        <f>'GT workings 16-17'!H145</f>
        <v>65.635487101999388</v>
      </c>
      <c r="I72" s="42">
        <f>'GT workings 16-17'!I145</f>
        <v>66.186928208491921</v>
      </c>
      <c r="J72" s="42">
        <f>'GT workings 16-17'!J145</f>
        <v>66.860633749659101</v>
      </c>
      <c r="K72" s="42">
        <f>'GT workings 16-17'!K145</f>
        <v>67.357502652050897</v>
      </c>
    </row>
    <row r="73" spans="1:14">
      <c r="C73" s="11" t="s">
        <v>100</v>
      </c>
      <c r="D73" s="43">
        <f>'GT workings 16-17'!D79</f>
        <v>0</v>
      </c>
      <c r="E73" s="43">
        <f>'GT workings 16-17'!E79</f>
        <v>0</v>
      </c>
      <c r="F73" s="43">
        <f>'GT workings 16-17'!F79</f>
        <v>0</v>
      </c>
      <c r="G73" s="43">
        <f>'GT workings 16-17'!G79</f>
        <v>0</v>
      </c>
      <c r="H73" s="43">
        <f>'GT workings 16-17'!H79</f>
        <v>0</v>
      </c>
      <c r="I73" s="43">
        <f>'GT workings 16-17'!I79</f>
        <v>0</v>
      </c>
      <c r="J73" s="43">
        <f>'GT workings 16-17'!J79</f>
        <v>0</v>
      </c>
      <c r="K73" s="43">
        <f>'GT workings 16-17'!K79</f>
        <v>0</v>
      </c>
    </row>
    <row r="74" spans="1:14">
      <c r="C74" s="10" t="s">
        <v>101</v>
      </c>
      <c r="D74" s="42">
        <f>'GT workings 16-17'!D80</f>
        <v>-1.1295718210052885</v>
      </c>
      <c r="E74" s="42">
        <f>'GT workings 16-17'!E80</f>
        <v>-1.1444007312827333</v>
      </c>
      <c r="F74" s="42">
        <f>'GT workings 16-17'!F80</f>
        <v>-1.1763817360750841</v>
      </c>
      <c r="G74" s="42">
        <f>'GT workings 16-17'!G80</f>
        <v>-1.5927557463957547</v>
      </c>
      <c r="H74" s="42">
        <f>'GT workings 16-17'!H80</f>
        <v>-1.8565667598967899</v>
      </c>
      <c r="I74" s="42">
        <f>'GT workings 16-17'!I80</f>
        <v>-1.2720416735170972</v>
      </c>
      <c r="J74" s="42">
        <f>'GT workings 16-17'!J80</f>
        <v>-1.1039739947823479</v>
      </c>
      <c r="K74" s="42">
        <f>'GT workings 16-17'!K80</f>
        <v>-1.018311326547777</v>
      </c>
    </row>
    <row r="75" spans="1:14">
      <c r="C75" s="11" t="s">
        <v>102</v>
      </c>
      <c r="D75" s="43">
        <f>'GT workings 16-17'!D82</f>
        <v>9.4624926013528405</v>
      </c>
      <c r="E75" s="43">
        <f>'GT workings 16-17'!E82</f>
        <v>11.77153631165157</v>
      </c>
      <c r="F75" s="43">
        <f>'GT workings 16-17'!F82</f>
        <v>17.037471225103321</v>
      </c>
      <c r="G75" s="43">
        <f>'GT workings 16-17'!G82</f>
        <v>21.777579488360431</v>
      </c>
      <c r="H75" s="43">
        <f>'GT workings 16-17'!H82</f>
        <v>28.842823084410274</v>
      </c>
      <c r="I75" s="43">
        <f>'GT workings 16-17'!I82</f>
        <v>21.523056887770927</v>
      </c>
      <c r="J75" s="43">
        <f>'GT workings 16-17'!J82</f>
        <v>23.063896064044826</v>
      </c>
      <c r="K75" s="43">
        <f>'GT workings 16-17'!K82</f>
        <v>26.453957180642043</v>
      </c>
    </row>
    <row r="76" spans="1:14">
      <c r="C76" s="10" t="s">
        <v>103</v>
      </c>
      <c r="D76" s="42">
        <f>'GT workings 16-17'!D77+'GT workings 16-17'!D78</f>
        <v>322.25047757987898</v>
      </c>
      <c r="E76" s="42">
        <f>'GT workings 16-17'!E77+'GT workings 16-17'!E78</f>
        <v>321.06979318267452</v>
      </c>
      <c r="F76" s="42">
        <f>'GT workings 16-17'!F77+'GT workings 16-17'!F78</f>
        <v>317.62392943295606</v>
      </c>
      <c r="G76" s="42">
        <f>'GT workings 16-17'!G77+'GT workings 16-17'!G78</f>
        <v>316.05221075469632</v>
      </c>
      <c r="H76" s="42">
        <f>'GT workings 16-17'!H77+'GT workings 16-17'!H78</f>
        <v>351.15198293549628</v>
      </c>
      <c r="I76" s="42">
        <f>'GT workings 16-17'!I77+'GT workings 16-17'!I78</f>
        <v>360.20879376955662</v>
      </c>
      <c r="J76" s="42">
        <f>'GT workings 16-17'!J77+'GT workings 16-17'!J78</f>
        <v>362.93705810061704</v>
      </c>
      <c r="K76" s="42">
        <f>'GT workings 16-17'!K77+'GT workings 16-17'!K78</f>
        <v>362.70670686562585</v>
      </c>
    </row>
    <row r="77" spans="1:14">
      <c r="C77" s="11" t="s">
        <v>104</v>
      </c>
      <c r="D77" s="43">
        <f>'GT workings 16-17'!D153</f>
        <v>-9.9342208309186191</v>
      </c>
      <c r="E77" s="43">
        <f>'GT workings 16-17'!E153</f>
        <v>-9.2511752162326601</v>
      </c>
      <c r="F77" s="43">
        <f>'GT workings 16-17'!F153</f>
        <v>-9.0601895392552994</v>
      </c>
      <c r="G77" s="43">
        <f>'GT workings 16-17'!G153</f>
        <v>-8.7619696919027312</v>
      </c>
      <c r="H77" s="43">
        <f>'GT workings 16-17'!H153</f>
        <v>10.356365781786696</v>
      </c>
      <c r="I77" s="43">
        <f>'GT workings 16-17'!I153</f>
        <v>10.895629050226333</v>
      </c>
      <c r="J77" s="43">
        <f>'GT workings 16-17'!J153</f>
        <v>11.456665073129223</v>
      </c>
      <c r="K77" s="43">
        <f>'GT workings 16-17'!K153</f>
        <v>12.040352925456817</v>
      </c>
    </row>
    <row r="78" spans="1:14">
      <c r="C78" s="12" t="s">
        <v>105</v>
      </c>
      <c r="D78" s="50">
        <f>SUM(D70:D77)</f>
        <v>534.38954985320208</v>
      </c>
      <c r="E78" s="50">
        <f t="shared" ref="E78:K78" si="15">SUM(E70:E77)</f>
        <v>537.02833752004142</v>
      </c>
      <c r="F78" s="50">
        <f t="shared" si="15"/>
        <v>569.78290301742379</v>
      </c>
      <c r="G78" s="50">
        <f t="shared" si="15"/>
        <v>598.21379572758337</v>
      </c>
      <c r="H78" s="50">
        <f t="shared" si="15"/>
        <v>677.06754779224821</v>
      </c>
      <c r="I78" s="50">
        <f t="shared" si="15"/>
        <v>646.08535887106871</v>
      </c>
      <c r="J78" s="50">
        <f t="shared" si="15"/>
        <v>640.65821830959851</v>
      </c>
      <c r="K78" s="50">
        <f t="shared" si="15"/>
        <v>638.53235279274952</v>
      </c>
    </row>
    <row r="79" spans="1:14">
      <c r="C79" s="11" t="s">
        <v>106</v>
      </c>
      <c r="D79" s="43">
        <f>'GT workings 16-17'!D89</f>
        <v>3.5</v>
      </c>
      <c r="E79" s="43">
        <f>'GT workings 16-17'!E89</f>
        <v>2.9</v>
      </c>
      <c r="F79" s="43">
        <f>'GT workings 16-17'!F89</f>
        <v>3</v>
      </c>
      <c r="G79" s="43">
        <f>'GT workings 16-17'!G89</f>
        <v>3.1</v>
      </c>
      <c r="H79" s="43">
        <f>'GT workings 16-17'!H89</f>
        <v>3</v>
      </c>
      <c r="I79" s="43">
        <f>'GT workings 16-17'!I89</f>
        <v>3</v>
      </c>
      <c r="J79" s="43">
        <f>'GT workings 16-17'!J89</f>
        <v>3</v>
      </c>
      <c r="K79" s="43">
        <f>'GT workings 16-17'!K89</f>
        <v>3</v>
      </c>
      <c r="N79" s="132" t="s">
        <v>301</v>
      </c>
    </row>
    <row r="80" spans="1:14" ht="13.8" thickBot="1">
      <c r="A80" s="38"/>
      <c r="C80" s="13" t="s">
        <v>107</v>
      </c>
      <c r="D80" s="52">
        <f>D78+D79</f>
        <v>537.88954985320208</v>
      </c>
      <c r="E80" s="52">
        <f t="shared" ref="E80:K80" si="16">E78+E79</f>
        <v>539.9283375200414</v>
      </c>
      <c r="F80" s="52">
        <f t="shared" si="16"/>
        <v>572.78290301742379</v>
      </c>
      <c r="G80" s="52">
        <f t="shared" si="16"/>
        <v>601.3137957275834</v>
      </c>
      <c r="H80" s="52">
        <f t="shared" si="16"/>
        <v>680.06754779224821</v>
      </c>
      <c r="I80" s="52">
        <f t="shared" si="16"/>
        <v>649.08535887106871</v>
      </c>
      <c r="J80" s="52">
        <f t="shared" si="16"/>
        <v>643.65821830959851</v>
      </c>
      <c r="K80" s="52">
        <f t="shared" si="16"/>
        <v>641.53235279274952</v>
      </c>
      <c r="N80" s="133">
        <f>(K80/D80)^(1/7)-1</f>
        <v>2.5491837740071688E-2</v>
      </c>
    </row>
    <row r="82" spans="3:14" ht="13.8" thickBot="1">
      <c r="D82" s="109">
        <f>'GT workings 16-17'!D90-D80</f>
        <v>4.2965915391245062</v>
      </c>
      <c r="E82" s="109">
        <f>'GT workings 16-17'!E90-E80</f>
        <v>13.558985211401364</v>
      </c>
      <c r="F82" s="109">
        <f>'GT workings 16-17'!F90-F80</f>
        <v>-11.914663891784699</v>
      </c>
      <c r="G82" s="109">
        <f>'GT workings 16-17'!G90-G80</f>
        <v>-7.1814819402379726</v>
      </c>
      <c r="H82" s="109">
        <f>'GT workings 16-17'!H90-H80</f>
        <v>-18.44835295878886</v>
      </c>
      <c r="I82" s="109">
        <f>'GT workings 16-17'!I90-I80</f>
        <v>-19.215399234656502</v>
      </c>
      <c r="J82" s="109">
        <f>'GT workings 16-17'!J90-J80</f>
        <v>-18.933749075371225</v>
      </c>
      <c r="K82" s="109">
        <f>'GT workings 16-17'!K90-K80</f>
        <v>-18.194222947782009</v>
      </c>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42</v>
      </c>
      <c r="D85" s="126">
        <f>'GT workings 16-17'!D15</f>
        <v>25.459307795372435</v>
      </c>
      <c r="E85" s="126">
        <f>'GT workings 16-17'!E15</f>
        <v>14.41280752104567</v>
      </c>
      <c r="F85" s="126">
        <f>'GT workings 16-17'!F15</f>
        <v>9.6173202079823099</v>
      </c>
      <c r="G85" s="126">
        <f>'GT workings 16-17'!G15</f>
        <v>60.446777499796859</v>
      </c>
      <c r="H85" s="126">
        <f>'GT workings 16-17'!H15</f>
        <v>84.880198528547851</v>
      </c>
      <c r="I85" s="126">
        <f>'GT workings 16-17'!I15</f>
        <v>8.5249336835233791</v>
      </c>
      <c r="J85" s="126">
        <f>'GT workings 16-17'!J15</f>
        <v>0.23152878737450566</v>
      </c>
      <c r="K85" s="126">
        <f>'GT workings 16-17'!K15</f>
        <v>0</v>
      </c>
      <c r="L85" s="126">
        <f>SUM(D85:K85)</f>
        <v>203.57287402364304</v>
      </c>
      <c r="M85" s="53">
        <f t="shared" ref="M85:M90" si="17">E3</f>
        <v>0.20357287402364305</v>
      </c>
      <c r="N85" s="53"/>
    </row>
    <row r="86" spans="3:14">
      <c r="C86" s="17" t="s">
        <v>43</v>
      </c>
      <c r="D86" s="126">
        <f>'GT workings 16-17'!D16</f>
        <v>97.132518315217595</v>
      </c>
      <c r="E86" s="126">
        <f>'GT workings 16-17'!E16</f>
        <v>109.87971241227922</v>
      </c>
      <c r="F86" s="126">
        <f>'GT workings 16-17'!F16</f>
        <v>114.43672637584547</v>
      </c>
      <c r="G86" s="126">
        <f>'GT workings 16-17'!G16</f>
        <v>123.96977718673423</v>
      </c>
      <c r="H86" s="126">
        <f>'GT workings 16-17'!H16</f>
        <v>138.27838395379189</v>
      </c>
      <c r="I86" s="126">
        <f>'GT workings 16-17'!I16</f>
        <v>117.50342084599842</v>
      </c>
      <c r="J86" s="126">
        <f>'GT workings 16-17'!J16</f>
        <v>101.87556011564801</v>
      </c>
      <c r="K86" s="126">
        <f>'GT workings 16-17'!K16</f>
        <v>91.157975802007329</v>
      </c>
      <c r="L86" s="126">
        <f>SUM(D86:K86)</f>
        <v>894.23407500752216</v>
      </c>
      <c r="M86" s="53">
        <f t="shared" si="17"/>
        <v>0.89423407500752217</v>
      </c>
      <c r="N86" s="53"/>
    </row>
    <row r="87" spans="3:14">
      <c r="C87" s="18" t="s">
        <v>44</v>
      </c>
      <c r="D87" s="128">
        <f>'GT workings 16-17'!D20</f>
        <v>26.86365188906883</v>
      </c>
      <c r="E87" s="128">
        <f>'GT workings 16-17'!E20</f>
        <v>18.171864188371163</v>
      </c>
      <c r="F87" s="128">
        <f>'GT workings 16-17'!F20</f>
        <v>10.751052755971946</v>
      </c>
      <c r="G87" s="128">
        <f>'GT workings 16-17'!G20</f>
        <v>12.661992776253896</v>
      </c>
      <c r="H87" s="128">
        <f>'GT workings 16-17'!H20</f>
        <v>32.025393538313374</v>
      </c>
      <c r="I87" s="128">
        <f>'GT workings 16-17'!I20</f>
        <v>32.679532321837399</v>
      </c>
      <c r="J87" s="128">
        <f>'GT workings 16-17'!J20</f>
        <v>20.504333599618437</v>
      </c>
      <c r="K87" s="128">
        <f>'GT workings 16-17'!K20</f>
        <v>6.4276664548145455</v>
      </c>
      <c r="L87" s="128">
        <f t="shared" ref="L87:L101" si="18">SUM(D87:K87)</f>
        <v>160.0854875242496</v>
      </c>
      <c r="M87" s="53">
        <f t="shared" si="17"/>
        <v>0.16008548752424961</v>
      </c>
      <c r="N87" s="53"/>
    </row>
    <row r="88" spans="3:14">
      <c r="C88" s="17" t="s">
        <v>408</v>
      </c>
      <c r="D88" s="126">
        <f>'GT workings 16-17'!D21</f>
        <v>0</v>
      </c>
      <c r="E88" s="126">
        <f>'GT workings 16-17'!E21</f>
        <v>0</v>
      </c>
      <c r="F88" s="126">
        <f>'GT workings 16-17'!F21</f>
        <v>0</v>
      </c>
      <c r="G88" s="126">
        <f>'GT workings 16-17'!G21</f>
        <v>0</v>
      </c>
      <c r="H88" s="126">
        <f>'GT workings 16-17'!H21</f>
        <v>0</v>
      </c>
      <c r="I88" s="126">
        <f>'GT workings 16-17'!I21</f>
        <v>0</v>
      </c>
      <c r="J88" s="126">
        <f>'GT workings 16-17'!J21</f>
        <v>0</v>
      </c>
      <c r="K88" s="126">
        <f>'GT workings 16-17'!K21</f>
        <v>0</v>
      </c>
      <c r="L88" s="126">
        <f t="shared" si="18"/>
        <v>0</v>
      </c>
      <c r="M88" s="53">
        <f t="shared" si="17"/>
        <v>0</v>
      </c>
      <c r="N88" s="53"/>
    </row>
    <row r="89" spans="3:14">
      <c r="C89" s="18" t="s">
        <v>46</v>
      </c>
      <c r="D89" s="127">
        <f>'GT workings 16-17'!D17</f>
        <v>64.482672010544718</v>
      </c>
      <c r="E89" s="127">
        <f>'GT workings 16-17'!E17</f>
        <v>65.237874215180156</v>
      </c>
      <c r="F89" s="127">
        <f>'GT workings 16-17'!F17</f>
        <v>70.772894725011071</v>
      </c>
      <c r="G89" s="127">
        <f>'GT workings 16-17'!G17</f>
        <v>79.368338266410362</v>
      </c>
      <c r="H89" s="127">
        <f>'GT workings 16-17'!H17</f>
        <v>84.317479134504765</v>
      </c>
      <c r="I89" s="127">
        <f>'GT workings 16-17'!I17</f>
        <v>84.641346358196444</v>
      </c>
      <c r="J89" s="127">
        <f>'GT workings 16-17'!J17</f>
        <v>80.728014781566515</v>
      </c>
      <c r="K89" s="127">
        <f>'GT workings 16-17'!K17</f>
        <v>77.490070123441129</v>
      </c>
      <c r="L89" s="127">
        <f t="shared" si="18"/>
        <v>607.03868961485512</v>
      </c>
      <c r="M89" s="53">
        <f t="shared" si="17"/>
        <v>0.60703868961485508</v>
      </c>
      <c r="N89" s="53"/>
    </row>
    <row r="90" spans="3:14">
      <c r="C90" s="18" t="s">
        <v>137</v>
      </c>
      <c r="D90" s="127">
        <f>D38-D30</f>
        <v>-14.405891361883931</v>
      </c>
      <c r="E90" s="127">
        <f t="shared" ref="E90:K90" si="19">E38-E30</f>
        <v>-14.30419435833133</v>
      </c>
      <c r="F90" s="127">
        <f t="shared" si="19"/>
        <v>0</v>
      </c>
      <c r="G90" s="127">
        <f t="shared" si="19"/>
        <v>0</v>
      </c>
      <c r="H90" s="127">
        <f t="shared" si="19"/>
        <v>0</v>
      </c>
      <c r="I90" s="127">
        <f t="shared" si="19"/>
        <v>0</v>
      </c>
      <c r="J90" s="127">
        <f t="shared" si="19"/>
        <v>0</v>
      </c>
      <c r="K90" s="127">
        <f t="shared" si="19"/>
        <v>0</v>
      </c>
      <c r="L90" s="127">
        <f t="shared" si="18"/>
        <v>-28.710085720215261</v>
      </c>
      <c r="M90" s="53">
        <f t="shared" si="17"/>
        <v>1.8649311261702701</v>
      </c>
      <c r="N90" s="53"/>
    </row>
    <row r="91" spans="3:14">
      <c r="C91" s="19" t="s">
        <v>48</v>
      </c>
      <c r="D91" s="129">
        <f>SUM(D85:D90)</f>
        <v>199.53225864831964</v>
      </c>
      <c r="E91" s="129">
        <f t="shared" ref="E91:K91" si="20">SUM(E85:E90)</f>
        <v>193.39806397854485</v>
      </c>
      <c r="F91" s="129">
        <f t="shared" si="20"/>
        <v>205.57799406481081</v>
      </c>
      <c r="G91" s="129">
        <f t="shared" si="20"/>
        <v>276.44688572919534</v>
      </c>
      <c r="H91" s="129">
        <f t="shared" si="20"/>
        <v>339.50145515515788</v>
      </c>
      <c r="I91" s="129">
        <f t="shared" si="20"/>
        <v>243.34923320955565</v>
      </c>
      <c r="J91" s="129">
        <f t="shared" si="20"/>
        <v>203.33943728420746</v>
      </c>
      <c r="K91" s="129">
        <f t="shared" si="20"/>
        <v>175.07571238026298</v>
      </c>
      <c r="L91" s="129">
        <f t="shared" si="18"/>
        <v>1836.2210404500545</v>
      </c>
      <c r="M91" s="53">
        <f t="shared" ref="M91:M97" si="21">E8</f>
        <v>1.8649311261702701</v>
      </c>
      <c r="N91" s="53"/>
    </row>
    <row r="92" spans="3:14">
      <c r="C92" s="18" t="s">
        <v>52</v>
      </c>
      <c r="D92" s="128">
        <f>'GT workings 16-17'!D26</f>
        <v>110.11544616012048</v>
      </c>
      <c r="E92" s="128">
        <f>'GT workings 16-17'!E26</f>
        <v>110.29121834911521</v>
      </c>
      <c r="F92" s="128">
        <f>'GT workings 16-17'!F26</f>
        <v>110.32860169190292</v>
      </c>
      <c r="G92" s="128">
        <f>'GT workings 16-17'!G26</f>
        <v>110.3596633646699</v>
      </c>
      <c r="H92" s="128">
        <f>'GT workings 16-17'!H26</f>
        <v>110.27343835902431</v>
      </c>
      <c r="I92" s="128">
        <f>'GT workings 16-17'!I26</f>
        <v>110.27662588032852</v>
      </c>
      <c r="J92" s="128">
        <f>'GT workings 16-17'!J26</f>
        <v>110.30420904525512</v>
      </c>
      <c r="K92" s="128">
        <f>'GT workings 16-17'!K26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49</v>
      </c>
      <c r="D94" s="127">
        <f>'GT workings 16-17'!D8</f>
        <v>33.734064323833628</v>
      </c>
      <c r="E94" s="127">
        <f>'GT workings 16-17'!E8</f>
        <v>27.39346022326454</v>
      </c>
      <c r="F94" s="127">
        <f>'GT workings 16-17'!F8</f>
        <v>18.58964637976759</v>
      </c>
      <c r="G94" s="127">
        <f>'GT workings 16-17'!G8</f>
        <v>15.690053681814245</v>
      </c>
      <c r="H94" s="127">
        <f>'GT workings 16-17'!H8</f>
        <v>14.117331818843784</v>
      </c>
      <c r="I94" s="127">
        <f>'GT workings 16-17'!I8</f>
        <v>12.8424465294623</v>
      </c>
      <c r="J94" s="127">
        <f>'GT workings 16-17'!J8</f>
        <v>15.120708694627556</v>
      </c>
      <c r="K94" s="127">
        <f>'GT workings 16-17'!K8</f>
        <v>12.837335667911791</v>
      </c>
      <c r="L94" s="127">
        <f t="shared" si="18"/>
        <v>150.32504731952542</v>
      </c>
      <c r="M94" s="53">
        <f t="shared" si="21"/>
        <v>0.15032504731952542</v>
      </c>
      <c r="N94" s="53"/>
    </row>
    <row r="95" spans="3:14">
      <c r="C95" s="17" t="s">
        <v>44</v>
      </c>
      <c r="D95" s="126">
        <f>'GT workings 16-17'!D12</f>
        <v>19.755956817834338</v>
      </c>
      <c r="E95" s="126">
        <f>'GT workings 16-17'!E12</f>
        <v>4.9583696669587889</v>
      </c>
      <c r="F95" s="126">
        <f>'GT workings 16-17'!F12</f>
        <v>6.5268703309989426</v>
      </c>
      <c r="G95" s="126">
        <f>'GT workings 16-17'!G12</f>
        <v>8.9978253214108026</v>
      </c>
      <c r="H95" s="126">
        <f>'GT workings 16-17'!H12</f>
        <v>8.0555897404504044</v>
      </c>
      <c r="I95" s="126">
        <f>'GT workings 16-17'!I12</f>
        <v>5.1722575344308828</v>
      </c>
      <c r="J95" s="126">
        <f>'GT workings 16-17'!J12</f>
        <v>4.1277105565726</v>
      </c>
      <c r="K95" s="126">
        <f>'GT workings 16-17'!K12</f>
        <v>3.7879167847205548</v>
      </c>
      <c r="L95" s="126">
        <f t="shared" si="18"/>
        <v>61.382496753377325</v>
      </c>
      <c r="M95" s="53">
        <f t="shared" si="21"/>
        <v>6.1382496753377327E-2</v>
      </c>
      <c r="N95" s="53"/>
    </row>
    <row r="96" spans="3:14">
      <c r="C96" s="18" t="s">
        <v>45</v>
      </c>
      <c r="D96" s="127">
        <f>'GT workings 16-17'!D13</f>
        <v>6.3163703255204871</v>
      </c>
      <c r="E96" s="127">
        <f>'GT workings 16-17'!E13</f>
        <v>7.5041818587940385</v>
      </c>
      <c r="F96" s="127">
        <f>'GT workings 16-17'!F13</f>
        <v>11.666765702990109</v>
      </c>
      <c r="G96" s="127">
        <f>'GT workings 16-17'!G13</f>
        <v>14.771156922046991</v>
      </c>
      <c r="H96" s="127">
        <f>'GT workings 16-17'!H13</f>
        <v>13.45775622663338</v>
      </c>
      <c r="I96" s="127">
        <f>'GT workings 16-17'!I13</f>
        <v>11.373748646385858</v>
      </c>
      <c r="J96" s="127">
        <f>'GT workings 16-17'!J13</f>
        <v>9.8338467639554441</v>
      </c>
      <c r="K96" s="127">
        <f>'GT workings 16-17'!K13</f>
        <v>10.346026051396899</v>
      </c>
      <c r="L96" s="127">
        <f t="shared" si="18"/>
        <v>85.269852497723221</v>
      </c>
      <c r="M96" s="53">
        <f t="shared" si="21"/>
        <v>8.5269852497723217E-2</v>
      </c>
      <c r="N96" s="53"/>
    </row>
    <row r="97" spans="1:14">
      <c r="C97" s="17" t="s">
        <v>46</v>
      </c>
      <c r="D97" s="126">
        <f>'GT workings 16-17'!D7</f>
        <v>37.780581733294433</v>
      </c>
      <c r="E97" s="126">
        <f>'GT workings 16-17'!E7</f>
        <v>38.765251453029641</v>
      </c>
      <c r="F97" s="126">
        <f>'GT workings 16-17'!F7</f>
        <v>38.935734544913359</v>
      </c>
      <c r="G97" s="126">
        <f>'GT workings 16-17'!G7</f>
        <v>37.194366497168517</v>
      </c>
      <c r="H97" s="126">
        <f>'GT workings 16-17'!H7</f>
        <v>37.663363739263652</v>
      </c>
      <c r="I97" s="126">
        <f>'GT workings 16-17'!I7</f>
        <v>38.166072267177746</v>
      </c>
      <c r="J97" s="126">
        <f>'GT workings 16-17'!J7</f>
        <v>38.821758225100261</v>
      </c>
      <c r="K97" s="126">
        <f>'GT workings 16-17'!K7</f>
        <v>39.417681323616755</v>
      </c>
      <c r="L97" s="126">
        <f t="shared" si="18"/>
        <v>306.74480978356434</v>
      </c>
      <c r="M97" s="53">
        <f t="shared" si="21"/>
        <v>0.30674480978356433</v>
      </c>
      <c r="N97" s="53"/>
    </row>
    <row r="98" spans="1:14">
      <c r="C98" s="17" t="s">
        <v>137</v>
      </c>
      <c r="D98" s="126">
        <f>D136-D130</f>
        <v>-24.798450660121901</v>
      </c>
      <c r="E98" s="126">
        <f t="shared" ref="E98:L98" si="22">E136-E130</f>
        <v>-6.1833099760968508</v>
      </c>
      <c r="F98" s="126">
        <f t="shared" si="22"/>
        <v>0</v>
      </c>
      <c r="G98" s="126">
        <f t="shared" si="22"/>
        <v>0</v>
      </c>
      <c r="H98" s="126">
        <f t="shared" si="22"/>
        <v>0</v>
      </c>
      <c r="I98" s="126">
        <f t="shared" si="22"/>
        <v>0</v>
      </c>
      <c r="J98" s="126">
        <f t="shared" si="22"/>
        <v>0</v>
      </c>
      <c r="K98" s="126">
        <f t="shared" si="22"/>
        <v>0</v>
      </c>
      <c r="L98" s="126">
        <f t="shared" si="22"/>
        <v>-30.981760636218723</v>
      </c>
      <c r="M98" s="53"/>
      <c r="N98" s="53"/>
    </row>
    <row r="99" spans="1:14">
      <c r="C99" s="123" t="s">
        <v>50</v>
      </c>
      <c r="D99" s="130">
        <f>SUM(D94:D98)</f>
        <v>72.788522540360987</v>
      </c>
      <c r="E99" s="130">
        <f t="shared" ref="E99:L99" si="23">SUM(E94:E98)</f>
        <v>72.437953225950153</v>
      </c>
      <c r="F99" s="130">
        <f t="shared" si="23"/>
        <v>75.719016958669997</v>
      </c>
      <c r="G99" s="130">
        <f t="shared" si="23"/>
        <v>76.653402422440564</v>
      </c>
      <c r="H99" s="130">
        <f t="shared" si="23"/>
        <v>73.294041525191219</v>
      </c>
      <c r="I99" s="130">
        <f t="shared" si="23"/>
        <v>67.554524977456794</v>
      </c>
      <c r="J99" s="130">
        <f t="shared" si="23"/>
        <v>67.904024240255865</v>
      </c>
      <c r="K99" s="130">
        <f t="shared" si="23"/>
        <v>66.388959827646005</v>
      </c>
      <c r="L99" s="130">
        <f t="shared" si="23"/>
        <v>572.74044571797162</v>
      </c>
      <c r="M99" s="53">
        <f>E15</f>
        <v>0.60372220635419027</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8" thickBot="1">
      <c r="C101" s="23" t="s">
        <v>51</v>
      </c>
      <c r="D101" s="131">
        <f t="shared" ref="D101:K101" si="25">D99+D91</f>
        <v>272.3207811886806</v>
      </c>
      <c r="E101" s="131">
        <f t="shared" si="25"/>
        <v>265.83601720449502</v>
      </c>
      <c r="F101" s="131">
        <f t="shared" si="25"/>
        <v>281.29701102348082</v>
      </c>
      <c r="G101" s="131">
        <f t="shared" si="25"/>
        <v>353.10028815163594</v>
      </c>
      <c r="H101" s="131">
        <f t="shared" si="25"/>
        <v>412.79549668034912</v>
      </c>
      <c r="I101" s="131">
        <f t="shared" si="25"/>
        <v>310.90375818701244</v>
      </c>
      <c r="J101" s="131">
        <f t="shared" si="25"/>
        <v>271.24346152446333</v>
      </c>
      <c r="K101" s="131">
        <f t="shared" si="25"/>
        <v>241.46467220790899</v>
      </c>
      <c r="L101" s="131">
        <f t="shared" si="18"/>
        <v>2408.9614861680266</v>
      </c>
      <c r="M101" s="53">
        <f>E17</f>
        <v>2.4686533325244602</v>
      </c>
      <c r="N101" s="53" t="b">
        <f t="shared" si="24"/>
        <v>0</v>
      </c>
    </row>
    <row r="102" spans="1:14">
      <c r="C102" s="39"/>
      <c r="D102" s="203"/>
      <c r="E102" s="203"/>
      <c r="F102" s="203"/>
      <c r="G102" s="203"/>
      <c r="H102" s="203"/>
      <c r="I102" s="203"/>
      <c r="J102" s="203"/>
      <c r="K102" s="203"/>
      <c r="L102" s="203"/>
      <c r="M102" s="53"/>
      <c r="N102" s="53"/>
    </row>
    <row r="103" spans="1:14">
      <c r="A103" s="38" t="s">
        <v>409</v>
      </c>
    </row>
    <row r="104" spans="1:14" ht="13.8" thickBot="1">
      <c r="C104" s="38" t="s">
        <v>140</v>
      </c>
    </row>
    <row r="105" spans="1:14" ht="13.8" thickBot="1">
      <c r="C105" s="7" t="s">
        <v>58</v>
      </c>
      <c r="D105" s="8" t="s">
        <v>59</v>
      </c>
      <c r="E105" s="8" t="s">
        <v>60</v>
      </c>
      <c r="F105" s="8" t="s">
        <v>61</v>
      </c>
      <c r="G105" s="8" t="s">
        <v>62</v>
      </c>
      <c r="H105" s="8" t="s">
        <v>63</v>
      </c>
      <c r="I105" s="8" t="s">
        <v>64</v>
      </c>
      <c r="J105" s="8" t="s">
        <v>65</v>
      </c>
      <c r="K105" s="8" t="s">
        <v>66</v>
      </c>
    </row>
    <row r="106" spans="1:14">
      <c r="C106" s="22" t="s">
        <v>91</v>
      </c>
      <c r="D106" s="175">
        <f>'GT workings 16-17'!D135+'GT workings 16-17'!D156</f>
        <v>4615.060328174176</v>
      </c>
      <c r="E106" s="175">
        <f>'GT workings 16-17'!E135+'GT workings 16-17'!E156</f>
        <v>4697.051255204994</v>
      </c>
      <c r="F106" s="175">
        <f>'GT workings 16-17'!F135+'GT workings 16-17'!F156</f>
        <v>4717.0683436960098</v>
      </c>
      <c r="G106" s="175">
        <f>'GT workings 16-17'!G135+'GT workings 16-17'!G156</f>
        <v>4782.5803044524819</v>
      </c>
      <c r="H106" s="175">
        <f>'GT workings 16-17'!H135+'GT workings 16-17'!H156</f>
        <v>4927.6837794523635</v>
      </c>
      <c r="I106" s="175">
        <f>'GT workings 16-17'!I135+'GT workings 16-17'!I156</f>
        <v>5070.6114721241493</v>
      </c>
      <c r="J106" s="175">
        <f>'GT workings 16-17'!J135+'GT workings 16-17'!J156</f>
        <v>5093.557512498407</v>
      </c>
      <c r="K106" s="175">
        <f>'GT workings 16-17'!K135+'GT workings 16-17'!K156</f>
        <v>5063.3688292837933</v>
      </c>
    </row>
    <row r="107" spans="1:14">
      <c r="C107" s="10" t="s">
        <v>86</v>
      </c>
      <c r="D107" s="176">
        <f>'GT workings 16-17'!D136+'GT workings 16-17'!D157</f>
        <v>238.74730005889407</v>
      </c>
      <c r="E107" s="176">
        <f>'GT workings 16-17'!E136+'GT workings 16-17'!E157</f>
        <v>183.33377188315058</v>
      </c>
      <c r="F107" s="176">
        <f>'GT workings 16-17'!F136+'GT workings 16-17'!F157</f>
        <v>232.92932357477602</v>
      </c>
      <c r="G107" s="176">
        <f>'GT workings 16-17'!G136+'GT workings 16-17'!G157</f>
        <v>318.35389245989307</v>
      </c>
      <c r="H107" s="176">
        <f>'GT workings 16-17'!H136+'GT workings 16-17'!H157</f>
        <v>323.59145513461988</v>
      </c>
      <c r="I107" s="176">
        <f>'GT workings 16-17'!I136+'GT workings 16-17'!I157</f>
        <v>211.11994352964405</v>
      </c>
      <c r="J107" s="176">
        <f>'GT workings 16-17'!J136+'GT workings 16-17'!J157</f>
        <v>162.39867675134121</v>
      </c>
      <c r="K107" s="176">
        <f>'GT workings 16-17'!K136+'GT workings 16-17'!K157</f>
        <v>139.21595438075684</v>
      </c>
    </row>
    <row r="108" spans="1:14">
      <c r="C108" s="11" t="s">
        <v>87</v>
      </c>
      <c r="D108" s="177">
        <f>'GT workings 16-17'!D137+'GT workings 16-17'!D158</f>
        <v>-156.75637302807576</v>
      </c>
      <c r="E108" s="177">
        <f>'GT workings 16-17'!E137+'GT workings 16-17'!E158</f>
        <v>-163.31668339213445</v>
      </c>
      <c r="F108" s="177">
        <f>'GT workings 16-17'!F137+'GT workings 16-17'!F158</f>
        <v>-167.41736281830438</v>
      </c>
      <c r="G108" s="177">
        <f>'GT workings 16-17'!G137+'GT workings 16-17'!G158</f>
        <v>-173.25041746001193</v>
      </c>
      <c r="H108" s="177">
        <f>'GT workings 16-17'!H137+'GT workings 16-17'!H158</f>
        <v>-180.663762462834</v>
      </c>
      <c r="I108" s="177">
        <f>'GT workings 16-17'!I137+'GT workings 16-17'!I158</f>
        <v>-188.17390315538543</v>
      </c>
      <c r="J108" s="177">
        <f>'GT workings 16-17'!J137+'GT workings 16-17'!J158</f>
        <v>-192.58735996595482</v>
      </c>
      <c r="K108" s="177">
        <f>'GT workings 16-17'!K137+'GT workings 16-17'!K158</f>
        <v>-194.11265181911858</v>
      </c>
    </row>
    <row r="109" spans="1:14" ht="13.8" thickBot="1">
      <c r="C109" s="13" t="s">
        <v>94</v>
      </c>
      <c r="D109" s="178">
        <f>'GT workings 16-17'!D138+'GT workings 16-17'!D159</f>
        <v>4697.051255204994</v>
      </c>
      <c r="E109" s="178">
        <f>'GT workings 16-17'!E138+'GT workings 16-17'!E159</f>
        <v>4717.0683436960098</v>
      </c>
      <c r="F109" s="178">
        <f>'GT workings 16-17'!F138+'GT workings 16-17'!F159</f>
        <v>4782.5803044524819</v>
      </c>
      <c r="G109" s="178">
        <f>'GT workings 16-17'!G138+'GT workings 16-17'!G159</f>
        <v>4927.6837794523635</v>
      </c>
      <c r="H109" s="178">
        <f>'GT workings 16-17'!H138+'GT workings 16-17'!H159</f>
        <v>5070.6114721241493</v>
      </c>
      <c r="I109" s="178">
        <f>'GT workings 16-17'!I138+'GT workings 16-17'!I159</f>
        <v>5093.557512498407</v>
      </c>
      <c r="J109" s="178">
        <f>'GT workings 16-17'!J138+'GT workings 16-17'!J159</f>
        <v>5063.3688292837933</v>
      </c>
      <c r="K109" s="178">
        <f>'GT workings 16-17'!K138+'GT workings 16-17'!K159</f>
        <v>5008.4721318454312</v>
      </c>
    </row>
    <row r="111" spans="1:14" ht="13.8" thickBot="1"/>
    <row r="112" spans="1:14" ht="13.8" thickBot="1">
      <c r="C112" s="7" t="s">
        <v>58</v>
      </c>
      <c r="D112" s="8" t="s">
        <v>59</v>
      </c>
      <c r="E112" s="8" t="s">
        <v>60</v>
      </c>
      <c r="F112" s="8" t="s">
        <v>61</v>
      </c>
      <c r="G112" s="8" t="s">
        <v>62</v>
      </c>
      <c r="H112" s="8" t="s">
        <v>63</v>
      </c>
      <c r="I112" s="8" t="s">
        <v>64</v>
      </c>
      <c r="J112" s="8" t="s">
        <v>65</v>
      </c>
      <c r="K112" s="8" t="s">
        <v>66</v>
      </c>
    </row>
    <row r="113" spans="1:14">
      <c r="C113" s="11" t="s">
        <v>142</v>
      </c>
      <c r="D113" s="171">
        <f>'GT workings 16-17'!D119</f>
        <v>94.224999999999994</v>
      </c>
      <c r="E113" s="171">
        <f>'GT workings 16-17'!E119</f>
        <v>87.484999999999999</v>
      </c>
      <c r="F113" s="171">
        <f>'GT workings 16-17'!F119</f>
        <v>79.322999999999993</v>
      </c>
      <c r="G113" s="171">
        <f>'GT workings 16-17'!G119</f>
        <v>58.722999999999999</v>
      </c>
      <c r="H113" s="171">
        <f>'GT workings 16-17'!H119</f>
        <v>3.3000000000000002E-2</v>
      </c>
      <c r="I113" s="171">
        <f>'GT workings 16-17'!I119</f>
        <v>3.3000000000000002E-2</v>
      </c>
      <c r="J113" s="171">
        <f>'GT workings 16-17'!J119</f>
        <v>0</v>
      </c>
      <c r="K113" s="171">
        <f>'GT workings 16-17'!K119</f>
        <v>0</v>
      </c>
    </row>
    <row r="114" spans="1:14" ht="13.8" thickBot="1">
      <c r="C114" s="40" t="s">
        <v>143</v>
      </c>
      <c r="D114" s="174">
        <f>'GT workings 16-17'!D174</f>
        <v>14.16619923431</v>
      </c>
      <c r="E114" s="174">
        <f>'GT workings 16-17'!E174</f>
        <v>26.016783731295874</v>
      </c>
      <c r="F114" s="174">
        <f>'GT workings 16-17'!F174</f>
        <v>69.473671529071126</v>
      </c>
      <c r="G114" s="174">
        <f>'GT workings 16-17'!G174</f>
        <v>108.4200133736822</v>
      </c>
      <c r="H114" s="174">
        <f>'GT workings 16-17'!H174</f>
        <v>69.349803718573156</v>
      </c>
      <c r="I114" s="174">
        <f>'GT workings 16-17'!I174</f>
        <v>20.779442706835688</v>
      </c>
      <c r="J114" s="174">
        <f>'GT workings 16-17'!J174</f>
        <v>0.81062265305823133</v>
      </c>
      <c r="K114" s="174">
        <f>'GT workings 16-17'!K174</f>
        <v>0</v>
      </c>
    </row>
    <row r="117" spans="1:14" ht="13.8" thickBot="1">
      <c r="C117" s="38" t="s">
        <v>122</v>
      </c>
    </row>
    <row r="118" spans="1:14" ht="13.8" thickBot="1">
      <c r="C118" s="7" t="s">
        <v>58</v>
      </c>
      <c r="D118" s="8" t="s">
        <v>59</v>
      </c>
      <c r="E118" s="8" t="s">
        <v>60</v>
      </c>
      <c r="F118" s="8" t="s">
        <v>61</v>
      </c>
      <c r="G118" s="8" t="s">
        <v>62</v>
      </c>
      <c r="H118" s="8" t="s">
        <v>63</v>
      </c>
      <c r="I118" s="8" t="s">
        <v>64</v>
      </c>
      <c r="J118" s="8" t="s">
        <v>65</v>
      </c>
      <c r="K118" s="8" t="s">
        <v>66</v>
      </c>
    </row>
    <row r="119" spans="1:14">
      <c r="C119" s="22" t="s">
        <v>91</v>
      </c>
      <c r="D119" s="41">
        <f>'GT workings 16-17'!D156</f>
        <v>53.000554975302876</v>
      </c>
      <c r="E119" s="41">
        <f>'GT workings 16-17'!E156</f>
        <v>66.723372874572476</v>
      </c>
      <c r="F119" s="41">
        <f>'GT workings 16-17'!F156</f>
        <v>79.803296834504636</v>
      </c>
      <c r="G119" s="41">
        <f>'GT workings 16-17'!G156</f>
        <v>91.808967506140561</v>
      </c>
      <c r="H119" s="41">
        <f>'GT workings 16-17'!H156</f>
        <v>101.20520608703535</v>
      </c>
      <c r="I119" s="41">
        <f>'GT workings 16-17'!I156</f>
        <v>106.69641904864562</v>
      </c>
      <c r="J119" s="41">
        <f>'GT workings 16-17'!J156</f>
        <v>107.43994279130052</v>
      </c>
      <c r="K119" s="41">
        <f>'GT workings 16-17'!K156</f>
        <v>106.3580879453189</v>
      </c>
    </row>
    <row r="120" spans="1:14">
      <c r="C120" s="10" t="s">
        <v>86</v>
      </c>
      <c r="D120" s="42">
        <f>'GT workings 16-17'!D157</f>
        <v>24.267852390112441</v>
      </c>
      <c r="E120" s="42">
        <f>'GT workings 16-17'!E157</f>
        <v>27.091794506505359</v>
      </c>
      <c r="F120" s="42">
        <f>'GT workings 16-17'!F157</f>
        <v>28.318912342542578</v>
      </c>
      <c r="G120" s="42">
        <f>'GT workings 16-17'!G157</f>
        <v>28.668372505992771</v>
      </c>
      <c r="H120" s="42">
        <f>'GT workings 16-17'!H157</f>
        <v>27.411971530421514</v>
      </c>
      <c r="I120" s="42">
        <f>'GT workings 16-17'!I157</f>
        <v>25.265392341568841</v>
      </c>
      <c r="J120" s="42">
        <f>'GT workings 16-17'!J157</f>
        <v>25.396105065855693</v>
      </c>
      <c r="K120" s="42">
        <f>'GT workings 16-17'!K157</f>
        <v>24.829470975539607</v>
      </c>
    </row>
    <row r="121" spans="1:14">
      <c r="C121" s="11" t="s">
        <v>87</v>
      </c>
      <c r="D121" s="43">
        <f>'GT workings 16-17'!D158</f>
        <v>-10.545034490842841</v>
      </c>
      <c r="E121" s="43">
        <f>'GT workings 16-17'!E158</f>
        <v>-14.01187054657319</v>
      </c>
      <c r="F121" s="43">
        <f>'GT workings 16-17'!F158</f>
        <v>-16.313241670906649</v>
      </c>
      <c r="G121" s="43">
        <f>'GT workings 16-17'!G158</f>
        <v>-19.272133925097986</v>
      </c>
      <c r="H121" s="43">
        <f>'GT workings 16-17'!H158</f>
        <v>-21.920758568811237</v>
      </c>
      <c r="I121" s="43">
        <f>'GT workings 16-17'!I158</f>
        <v>-24.52186859891393</v>
      </c>
      <c r="J121" s="43">
        <f>'GT workings 16-17'!J158</f>
        <v>-26.477959911837317</v>
      </c>
      <c r="K121" s="43">
        <f>'GT workings 16-17'!K158</f>
        <v>-26.631485811857029</v>
      </c>
    </row>
    <row r="122" spans="1:14" ht="13.8" thickBot="1">
      <c r="C122" s="13" t="s">
        <v>94</v>
      </c>
      <c r="D122" s="52">
        <f>'GT workings 16-17'!D159</f>
        <v>66.723372874572476</v>
      </c>
      <c r="E122" s="52">
        <f>'GT workings 16-17'!E159</f>
        <v>79.803296834504636</v>
      </c>
      <c r="F122" s="52">
        <f>'GT workings 16-17'!F159</f>
        <v>91.808967506140561</v>
      </c>
      <c r="G122" s="52">
        <f>'GT workings 16-17'!G159</f>
        <v>101.20520608703535</v>
      </c>
      <c r="H122" s="52">
        <f>'GT workings 16-17'!H159</f>
        <v>106.69641904864562</v>
      </c>
      <c r="I122" s="52">
        <f>'GT workings 16-17'!I159</f>
        <v>107.43994279130052</v>
      </c>
      <c r="J122" s="52">
        <f>'GT workings 16-17'!J159</f>
        <v>106.3580879453189</v>
      </c>
      <c r="K122" s="52">
        <f>'GT workings 16-17'!K159</f>
        <v>104.55607310900149</v>
      </c>
    </row>
    <row r="124" spans="1:14">
      <c r="A124" s="38" t="s">
        <v>402</v>
      </c>
    </row>
    <row r="125" spans="1:14" ht="13.8" thickBot="1">
      <c r="C125" s="38" t="s">
        <v>395</v>
      </c>
    </row>
    <row r="126" spans="1:14" ht="13.8" thickBot="1">
      <c r="C126" s="14" t="s">
        <v>58</v>
      </c>
      <c r="D126" s="15" t="s">
        <v>59</v>
      </c>
      <c r="E126" s="15" t="s">
        <v>60</v>
      </c>
      <c r="F126" s="15" t="s">
        <v>61</v>
      </c>
      <c r="G126" s="15" t="s">
        <v>62</v>
      </c>
      <c r="H126" s="15" t="s">
        <v>63</v>
      </c>
      <c r="I126" s="15" t="s">
        <v>64</v>
      </c>
      <c r="J126" s="15" t="s">
        <v>65</v>
      </c>
      <c r="K126" s="15" t="s">
        <v>66</v>
      </c>
      <c r="L126" s="15" t="s">
        <v>118</v>
      </c>
    </row>
    <row r="127" spans="1:14">
      <c r="C127" s="16"/>
      <c r="D127" s="26"/>
      <c r="E127" s="26"/>
      <c r="F127" s="26"/>
      <c r="G127" s="26"/>
      <c r="H127" s="26"/>
      <c r="I127" s="26"/>
      <c r="J127" s="26"/>
      <c r="K127" s="26"/>
      <c r="L127" s="26"/>
    </row>
    <row r="128" spans="1:14">
      <c r="A128" t="s">
        <v>338</v>
      </c>
      <c r="C128" s="17" t="s">
        <v>119</v>
      </c>
      <c r="D128" s="27">
        <f>'GT workings 16-17'!D8+'GT workings 16-17'!D12</f>
        <v>53.490021141667967</v>
      </c>
      <c r="E128" s="27">
        <f>'GT workings 16-17'!E8+'GT workings 16-17'!E12</f>
        <v>32.351829890223328</v>
      </c>
      <c r="F128" s="27">
        <f>'GT workings 16-17'!F8+'GT workings 16-17'!F12</f>
        <v>25.116516710766533</v>
      </c>
      <c r="G128" s="27">
        <f>'GT workings 16-17'!G8+'GT workings 16-17'!G12</f>
        <v>24.687879003225049</v>
      </c>
      <c r="H128" s="27">
        <f>'GT workings 16-17'!H8+'GT workings 16-17'!H12</f>
        <v>22.172921559294188</v>
      </c>
      <c r="I128" s="27">
        <f>'GT workings 16-17'!I8+'GT workings 16-17'!I12</f>
        <v>18.014704063893184</v>
      </c>
      <c r="J128" s="27">
        <f>'GT workings 16-17'!J8+'GT workings 16-17'!J12</f>
        <v>19.248419251200154</v>
      </c>
      <c r="K128" s="27">
        <f>'GT workings 16-17'!K8+'GT workings 16-17'!K12</f>
        <v>16.625252452632346</v>
      </c>
      <c r="L128" s="28">
        <f>SUM(D128:K128)</f>
        <v>211.70754407290275</v>
      </c>
      <c r="N128" s="53" t="b">
        <f>(E11+E12)*1000=L128</f>
        <v>1</v>
      </c>
    </row>
    <row r="129" spans="1:16">
      <c r="C129" s="18" t="s">
        <v>396</v>
      </c>
      <c r="D129" s="29">
        <f>'GT workings 16-17'!D7+'GT workings 16-17'!D13</f>
        <v>44.096952058814921</v>
      </c>
      <c r="E129" s="29">
        <f>'GT workings 16-17'!E7+'GT workings 16-17'!E13</f>
        <v>46.269433311823683</v>
      </c>
      <c r="F129" s="29">
        <f>'GT workings 16-17'!F7+'GT workings 16-17'!F13</f>
        <v>50.602500247903464</v>
      </c>
      <c r="G129" s="29">
        <f>'GT workings 16-17'!G7+'GT workings 16-17'!G13</f>
        <v>51.965523419215508</v>
      </c>
      <c r="H129" s="29">
        <f>'GT workings 16-17'!H7+'GT workings 16-17'!H13</f>
        <v>51.12111996589703</v>
      </c>
      <c r="I129" s="29">
        <f>'GT workings 16-17'!I7+'GT workings 16-17'!I13</f>
        <v>49.539820913563602</v>
      </c>
      <c r="J129" s="29">
        <f>'GT workings 16-17'!J7+'GT workings 16-17'!J13</f>
        <v>48.655604989055703</v>
      </c>
      <c r="K129" s="29">
        <f>'GT workings 16-17'!K7+'GT workings 16-17'!K13</f>
        <v>49.763707375013652</v>
      </c>
      <c r="L129" s="30">
        <f t="shared" ref="L129:L130" si="26">SUM(D129:K129)</f>
        <v>392.01466228128754</v>
      </c>
      <c r="N129" s="53" t="b">
        <f>(E13+E14)*1000=L129</f>
        <v>1</v>
      </c>
    </row>
    <row r="130" spans="1:16">
      <c r="C130" s="19" t="s">
        <v>71</v>
      </c>
      <c r="D130" s="31">
        <f>SUM(D128:D129)</f>
        <v>97.586973200482888</v>
      </c>
      <c r="E130" s="31">
        <f t="shared" ref="E130:K130" si="27">SUM(E128:E129)</f>
        <v>78.621263202047004</v>
      </c>
      <c r="F130" s="31">
        <f t="shared" si="27"/>
        <v>75.719016958669997</v>
      </c>
      <c r="G130" s="31">
        <f t="shared" si="27"/>
        <v>76.653402422440564</v>
      </c>
      <c r="H130" s="31">
        <f t="shared" si="27"/>
        <v>73.294041525191219</v>
      </c>
      <c r="I130" s="31">
        <f t="shared" si="27"/>
        <v>67.554524977456794</v>
      </c>
      <c r="J130" s="31">
        <f t="shared" si="27"/>
        <v>67.904024240255865</v>
      </c>
      <c r="K130" s="31">
        <f t="shared" si="27"/>
        <v>66.388959827646005</v>
      </c>
      <c r="L130" s="28">
        <f t="shared" si="26"/>
        <v>603.72220635419035</v>
      </c>
    </row>
    <row r="131" spans="1:16">
      <c r="A131" t="s">
        <v>346</v>
      </c>
      <c r="C131" s="17" t="s">
        <v>121</v>
      </c>
      <c r="D131" s="27">
        <f>'GT workings 16-17'!D31+'GT workings 16-17'!D35</f>
        <v>17.708231419797961</v>
      </c>
      <c r="E131" s="27">
        <f>'GT workings 16-17'!E31+'GT workings 16-17'!E35</f>
        <v>27.278756272777926</v>
      </c>
      <c r="F131" s="27">
        <f>'GT workings 16-17'!F31+'GT workings 16-17'!F35</f>
        <v>25.116516710766533</v>
      </c>
      <c r="G131" s="27">
        <f>'GT workings 16-17'!G31+'GT workings 16-17'!G35</f>
        <v>24.687879003225049</v>
      </c>
      <c r="H131" s="27">
        <f>'GT workings 16-17'!H31+'GT workings 16-17'!H35</f>
        <v>22.172921559294188</v>
      </c>
      <c r="I131" s="27">
        <f>'GT workings 16-17'!I31+'GT workings 16-17'!I35</f>
        <v>18.014704063893184</v>
      </c>
      <c r="J131" s="27">
        <f>'GT workings 16-17'!J31+'GT workings 16-17'!J35</f>
        <v>19.248419251200154</v>
      </c>
      <c r="K131" s="27">
        <f>'GT workings 16-17'!K31+'GT workings 16-17'!K35</f>
        <v>16.625252452632346</v>
      </c>
      <c r="L131" s="28">
        <f>SUM(D131:K131)</f>
        <v>170.85268073358733</v>
      </c>
      <c r="N131" s="53"/>
      <c r="P131" s="53"/>
    </row>
    <row r="132" spans="1:16">
      <c r="C132" s="18" t="s">
        <v>387</v>
      </c>
      <c r="D132" s="29">
        <f>'GT workings 16-17'!D30+'GT workings 16-17'!D36</f>
        <v>35.309276180178273</v>
      </c>
      <c r="E132" s="29">
        <f>'GT workings 16-17'!E30+'GT workings 16-17'!E36</f>
        <v>40.229440832761433</v>
      </c>
      <c r="F132" s="29">
        <f>'GT workings 16-17'!F30+'GT workings 16-17'!F36</f>
        <v>50.602500247903464</v>
      </c>
      <c r="G132" s="29">
        <f>'GT workings 16-17'!G30+'GT workings 16-17'!G36</f>
        <v>51.965523419215508</v>
      </c>
      <c r="H132" s="29">
        <f>'GT workings 16-17'!H30+'GT workings 16-17'!H36</f>
        <v>51.12111996589703</v>
      </c>
      <c r="I132" s="29">
        <f>'GT workings 16-17'!I30+'GT workings 16-17'!I36</f>
        <v>49.539820913563602</v>
      </c>
      <c r="J132" s="29">
        <f>'GT workings 16-17'!J30+'GT workings 16-17'!J36</f>
        <v>48.655604989055703</v>
      </c>
      <c r="K132" s="29">
        <f>'GT workings 16-17'!K30+'GT workings 16-17'!K36</f>
        <v>49.763707375013652</v>
      </c>
      <c r="L132" s="30">
        <f t="shared" ref="L132:L136" si="28">SUM(D132:K132)</f>
        <v>377.18699392358872</v>
      </c>
      <c r="N132" s="53"/>
      <c r="P132" s="53"/>
    </row>
    <row r="133" spans="1:16">
      <c r="C133" s="19" t="s">
        <v>77</v>
      </c>
      <c r="D133" s="31">
        <f>SUM(D131:D132)</f>
        <v>53.017507599976234</v>
      </c>
      <c r="E133" s="31">
        <f t="shared" ref="E133:K133" si="29">SUM(E131:E132)</f>
        <v>67.508197105539352</v>
      </c>
      <c r="F133" s="31">
        <f t="shared" si="29"/>
        <v>75.719016958669997</v>
      </c>
      <c r="G133" s="31">
        <f t="shared" si="29"/>
        <v>76.653402422440564</v>
      </c>
      <c r="H133" s="31">
        <f t="shared" si="29"/>
        <v>73.294041525191219</v>
      </c>
      <c r="I133" s="31">
        <f t="shared" si="29"/>
        <v>67.554524977456794</v>
      </c>
      <c r="J133" s="31">
        <f t="shared" si="29"/>
        <v>67.904024240255865</v>
      </c>
      <c r="K133" s="31">
        <f t="shared" si="29"/>
        <v>66.388959827646005</v>
      </c>
      <c r="L133" s="28">
        <f t="shared" si="28"/>
        <v>548.03967465717608</v>
      </c>
    </row>
    <row r="134" spans="1:16">
      <c r="A134" t="s">
        <v>233</v>
      </c>
      <c r="C134" s="17" t="s">
        <v>388</v>
      </c>
      <c r="D134" s="42">
        <f>D128-(D128-D131)*$K$2</f>
        <v>33.581033340419495</v>
      </c>
      <c r="E134" s="42">
        <f t="shared" ref="E134:K135" si="30">E128-(E128-E131)*$K$2</f>
        <v>29.529171729476708</v>
      </c>
      <c r="F134" s="42">
        <f t="shared" si="30"/>
        <v>25.116516710766533</v>
      </c>
      <c r="G134" s="42">
        <f t="shared" si="30"/>
        <v>24.687879003225049</v>
      </c>
      <c r="H134" s="42">
        <f t="shared" si="30"/>
        <v>22.172921559294188</v>
      </c>
      <c r="I134" s="42">
        <f t="shared" si="30"/>
        <v>18.014704063893184</v>
      </c>
      <c r="J134" s="42">
        <f t="shared" si="30"/>
        <v>19.248419251200154</v>
      </c>
      <c r="K134" s="42">
        <f t="shared" si="30"/>
        <v>16.625252452632346</v>
      </c>
      <c r="L134" s="28">
        <f>SUM(D134:K134)</f>
        <v>188.97589811090765</v>
      </c>
      <c r="N134" s="53"/>
      <c r="P134" s="53"/>
    </row>
    <row r="135" spans="1:16">
      <c r="C135" s="18" t="s">
        <v>389</v>
      </c>
      <c r="D135" s="43">
        <f>D129-(D129-D132)*$K$2</f>
        <v>39.207489199941492</v>
      </c>
      <c r="E135" s="43">
        <f t="shared" si="30"/>
        <v>42.908781496473445</v>
      </c>
      <c r="F135" s="43">
        <f t="shared" si="30"/>
        <v>50.602500247903464</v>
      </c>
      <c r="G135" s="43">
        <f t="shared" si="30"/>
        <v>51.965523419215508</v>
      </c>
      <c r="H135" s="43">
        <f t="shared" si="30"/>
        <v>51.12111996589703</v>
      </c>
      <c r="I135" s="43">
        <f t="shared" si="30"/>
        <v>49.539820913563602</v>
      </c>
      <c r="J135" s="43">
        <f t="shared" si="30"/>
        <v>48.655604989055703</v>
      </c>
      <c r="K135" s="43">
        <f t="shared" si="30"/>
        <v>49.763707375013652</v>
      </c>
      <c r="L135" s="30">
        <f t="shared" si="28"/>
        <v>383.76454760706395</v>
      </c>
      <c r="N135" s="53"/>
      <c r="P135" s="53"/>
    </row>
    <row r="136" spans="1:16">
      <c r="C136" s="19" t="s">
        <v>78</v>
      </c>
      <c r="D136" s="50">
        <f>SUM(D134:D135)</f>
        <v>72.788522540360987</v>
      </c>
      <c r="E136" s="50">
        <f t="shared" ref="E136:K136" si="31">SUM(E134:E135)</f>
        <v>72.437953225950153</v>
      </c>
      <c r="F136" s="50">
        <f t="shared" si="31"/>
        <v>75.719016958669997</v>
      </c>
      <c r="G136" s="50">
        <f t="shared" si="31"/>
        <v>76.653402422440564</v>
      </c>
      <c r="H136" s="50">
        <f t="shared" si="31"/>
        <v>73.294041525191219</v>
      </c>
      <c r="I136" s="50">
        <f t="shared" si="31"/>
        <v>67.554524977456794</v>
      </c>
      <c r="J136" s="50">
        <f t="shared" si="31"/>
        <v>67.904024240255865</v>
      </c>
      <c r="K136" s="50">
        <f t="shared" si="31"/>
        <v>66.388959827646005</v>
      </c>
      <c r="L136" s="28">
        <f t="shared" si="28"/>
        <v>572.74044571797162</v>
      </c>
    </row>
    <row r="137" spans="1:16">
      <c r="C137" s="20"/>
      <c r="D137" s="32"/>
      <c r="E137" s="32"/>
      <c r="F137" s="32"/>
      <c r="G137" s="32"/>
      <c r="H137" s="32"/>
      <c r="I137" s="32"/>
      <c r="J137" s="32"/>
      <c r="K137" s="32"/>
      <c r="L137" s="33"/>
    </row>
    <row r="138" spans="1:16">
      <c r="C138" s="17" t="s">
        <v>79</v>
      </c>
      <c r="D138" s="27">
        <f>'GT workings 16-17'!D179</f>
        <v>45.565615110265981</v>
      </c>
      <c r="E138" s="27">
        <f>'GT workings 16-17'!E179</f>
        <v>45.346158719444794</v>
      </c>
      <c r="F138" s="27">
        <f>'GT workings 16-17'!F179</f>
        <v>47.400104616127415</v>
      </c>
      <c r="G138" s="27">
        <f>'GT workings 16-17'!G179</f>
        <v>47.985029916447793</v>
      </c>
      <c r="H138" s="27">
        <f>'GT workings 16-17'!H179</f>
        <v>45.882069994769701</v>
      </c>
      <c r="I138" s="27">
        <f>'GT workings 16-17'!I179</f>
        <v>42.289132635887952</v>
      </c>
      <c r="J138" s="27">
        <f>'GT workings 16-17'!J179</f>
        <v>42.507919174400172</v>
      </c>
      <c r="K138" s="27">
        <f>'GT workings 16-17'!K179</f>
        <v>41.559488852106398</v>
      </c>
      <c r="L138" s="28">
        <f t="shared" ref="L138:L140" si="32">SUM(D138:K138)</f>
        <v>358.53551901945013</v>
      </c>
    </row>
    <row r="139" spans="1:16">
      <c r="C139" s="18" t="s">
        <v>80</v>
      </c>
      <c r="D139" s="29">
        <f>'GT workings 16-17'!D178</f>
        <v>27.22290743009501</v>
      </c>
      <c r="E139" s="29">
        <f>'GT workings 16-17'!E178</f>
        <v>27.091794506505359</v>
      </c>
      <c r="F139" s="29">
        <f>'GT workings 16-17'!F178</f>
        <v>28.318912342542578</v>
      </c>
      <c r="G139" s="29">
        <f>'GT workings 16-17'!G178</f>
        <v>28.668372505992771</v>
      </c>
      <c r="H139" s="29">
        <f>'GT workings 16-17'!H178</f>
        <v>27.411971530421514</v>
      </c>
      <c r="I139" s="29">
        <f>'GT workings 16-17'!I178</f>
        <v>25.265392341568841</v>
      </c>
      <c r="J139" s="29">
        <f>'GT workings 16-17'!J178</f>
        <v>25.396105065855693</v>
      </c>
      <c r="K139" s="29">
        <f>'GT workings 16-17'!K178</f>
        <v>24.829470975539607</v>
      </c>
      <c r="L139" s="30">
        <f t="shared" si="32"/>
        <v>214.20492669852138</v>
      </c>
    </row>
    <row r="140" spans="1:16" ht="13.8" thickBot="1">
      <c r="C140" s="21" t="s">
        <v>390</v>
      </c>
      <c r="D140" s="34">
        <f t="shared" ref="D140:K140" si="33">SUM(D138:D139)</f>
        <v>72.788522540360987</v>
      </c>
      <c r="E140" s="34">
        <f t="shared" si="33"/>
        <v>72.437953225950153</v>
      </c>
      <c r="F140" s="34">
        <f t="shared" si="33"/>
        <v>75.719016958669997</v>
      </c>
      <c r="G140" s="34">
        <f t="shared" si="33"/>
        <v>76.653402422440564</v>
      </c>
      <c r="H140" s="34">
        <f t="shared" si="33"/>
        <v>73.294041525191219</v>
      </c>
      <c r="I140" s="34">
        <f t="shared" si="33"/>
        <v>67.554524977456794</v>
      </c>
      <c r="J140" s="34">
        <f t="shared" si="33"/>
        <v>67.904024240255865</v>
      </c>
      <c r="K140" s="34">
        <f t="shared" si="33"/>
        <v>66.388959827646005</v>
      </c>
      <c r="L140" s="35">
        <f t="shared" si="32"/>
        <v>572.74044571797162</v>
      </c>
    </row>
    <row r="142" spans="1:16" ht="13.8" thickBot="1">
      <c r="A142" s="38" t="s">
        <v>410</v>
      </c>
    </row>
    <row r="143" spans="1:16" ht="13.8" thickBot="1">
      <c r="C143" s="7" t="s">
        <v>58</v>
      </c>
      <c r="D143" s="8" t="s">
        <v>59</v>
      </c>
      <c r="E143" s="8" t="s">
        <v>60</v>
      </c>
      <c r="F143" s="8" t="s">
        <v>61</v>
      </c>
      <c r="G143" s="8" t="s">
        <v>62</v>
      </c>
      <c r="H143" s="8" t="s">
        <v>63</v>
      </c>
      <c r="I143" s="8" t="s">
        <v>64</v>
      </c>
      <c r="J143" s="8" t="s">
        <v>65</v>
      </c>
      <c r="K143" s="8" t="s">
        <v>66</v>
      </c>
    </row>
    <row r="144" spans="1:16">
      <c r="C144" s="10" t="s">
        <v>79</v>
      </c>
      <c r="D144" s="42">
        <f>'GT workings 16-17'!D207</f>
        <v>45.565615110265981</v>
      </c>
      <c r="E144" s="42">
        <f>'GT workings 16-17'!E207</f>
        <v>45.346158719444794</v>
      </c>
      <c r="F144" s="42">
        <f>'GT workings 16-17'!F207</f>
        <v>47.400104616127415</v>
      </c>
      <c r="G144" s="42">
        <f>'GT workings 16-17'!G207</f>
        <v>47.985029916447793</v>
      </c>
      <c r="H144" s="42">
        <f>'GT workings 16-17'!H207</f>
        <v>45.882069994769701</v>
      </c>
      <c r="I144" s="42">
        <f>'GT workings 16-17'!I207</f>
        <v>42.289132635887952</v>
      </c>
      <c r="J144" s="42">
        <f>'GT workings 16-17'!J207</f>
        <v>42.507919174400172</v>
      </c>
      <c r="K144" s="42">
        <f>'GT workings 16-17'!K207</f>
        <v>41.559488852106398</v>
      </c>
    </row>
    <row r="145" spans="3:11">
      <c r="C145" s="11" t="s">
        <v>98</v>
      </c>
      <c r="D145" s="43">
        <f>'GT workings 16-17'!D208</f>
        <v>0</v>
      </c>
      <c r="E145" s="43">
        <f>'GT workings 16-17'!E208</f>
        <v>0</v>
      </c>
      <c r="F145" s="43">
        <f>'GT workings 16-17'!F208</f>
        <v>0</v>
      </c>
      <c r="G145" s="43">
        <f>'GT workings 16-17'!G208</f>
        <v>0</v>
      </c>
      <c r="H145" s="43">
        <f>'GT workings 16-17'!H208</f>
        <v>0</v>
      </c>
      <c r="I145" s="43">
        <f>'GT workings 16-17'!I208</f>
        <v>0</v>
      </c>
      <c r="J145" s="43">
        <f>'GT workings 16-17'!J208</f>
        <v>0</v>
      </c>
      <c r="K145" s="43">
        <f>'GT workings 16-17'!K208</f>
        <v>0</v>
      </c>
    </row>
    <row r="146" spans="3:11">
      <c r="C146" s="11" t="s">
        <v>100</v>
      </c>
      <c r="D146" s="43">
        <f>'GT workings 16-17'!D211</f>
        <v>0</v>
      </c>
      <c r="E146" s="43">
        <f>'GT workings 16-17'!E211</f>
        <v>0</v>
      </c>
      <c r="F146" s="43">
        <f>'GT workings 16-17'!F211</f>
        <v>0</v>
      </c>
      <c r="G146" s="43">
        <f>'GT workings 16-17'!G211</f>
        <v>0</v>
      </c>
      <c r="H146" s="43">
        <f>'GT workings 16-17'!H211</f>
        <v>0</v>
      </c>
      <c r="I146" s="43">
        <f>'GT workings 16-17'!I211</f>
        <v>0</v>
      </c>
      <c r="J146" s="43">
        <f>'GT workings 16-17'!J211</f>
        <v>0</v>
      </c>
      <c r="K146" s="43">
        <f>'GT workings 16-17'!K211</f>
        <v>0</v>
      </c>
    </row>
    <row r="147" spans="3:11">
      <c r="C147" s="10" t="s">
        <v>101</v>
      </c>
      <c r="D147" s="42">
        <f>'GT workings 16-17'!D212</f>
        <v>-0.43181154987245485</v>
      </c>
      <c r="E147" s="42">
        <f>'GT workings 16-17'!E212</f>
        <v>-0.39947195996305995</v>
      </c>
      <c r="F147" s="42">
        <f>'GT workings 16-17'!F212</f>
        <v>-0.34734317043598018</v>
      </c>
      <c r="G147" s="42">
        <f>'GT workings 16-17'!G212</f>
        <v>-0.3193206524905472</v>
      </c>
      <c r="H147" s="42">
        <f>'GT workings 16-17'!H212</f>
        <v>-0.31265626882301373</v>
      </c>
      <c r="I147" s="42">
        <f>'GT workings 16-17'!I212</f>
        <v>-0.30799379948941219</v>
      </c>
      <c r="J147" s="42">
        <f>'GT workings 16-17'!J212</f>
        <v>-0.32570922921081308</v>
      </c>
      <c r="K147" s="42">
        <f>'GT workings 16-17'!K212</f>
        <v>-0.31552026220892354</v>
      </c>
    </row>
    <row r="148" spans="3:11">
      <c r="C148" s="11" t="s">
        <v>102</v>
      </c>
      <c r="D148" s="43">
        <f>'GT workings 16-17'!D214</f>
        <v>2.3543560350938115</v>
      </c>
      <c r="E148" s="43">
        <f>'GT workings 16-17'!E214</f>
        <v>1.152393134110165</v>
      </c>
      <c r="F148" s="43">
        <f>'GT workings 16-17'!F214</f>
        <v>-7.1498852217667243E-18</v>
      </c>
      <c r="G148" s="43">
        <f>'GT workings 16-17'!G214</f>
        <v>0</v>
      </c>
      <c r="H148" s="43">
        <f>'GT workings 16-17'!H214</f>
        <v>0</v>
      </c>
      <c r="I148" s="43">
        <f>'GT workings 16-17'!I214</f>
        <v>0</v>
      </c>
      <c r="J148" s="43">
        <f>'GT workings 16-17'!J214</f>
        <v>0.26573073394603886</v>
      </c>
      <c r="K148" s="43">
        <f>'GT workings 16-17'!K214</f>
        <v>0.76540708490425391</v>
      </c>
    </row>
    <row r="149" spans="3:11">
      <c r="C149" s="10" t="s">
        <v>103</v>
      </c>
      <c r="D149" s="42">
        <f>'GT workings 16-17'!D210+'GT workings 16-17'!D209</f>
        <v>13.102815673209051</v>
      </c>
      <c r="E149" s="42">
        <f>'GT workings 16-17'!E210+'GT workings 16-17'!E209</f>
        <v>17.056428126856392</v>
      </c>
      <c r="F149" s="42">
        <f>'GT workings 16-17'!F210+'GT workings 16-17'!F209</f>
        <v>19.793148416975431</v>
      </c>
      <c r="G149" s="42">
        <f>'GT workings 16-17'!G210+'GT workings 16-17'!G209</f>
        <v>23.089319452670036</v>
      </c>
      <c r="H149" s="42">
        <f>'GT workings 16-17'!H210+'GT workings 16-17'!H209</f>
        <v>26.034182494202128</v>
      </c>
      <c r="I149" s="42">
        <f>'GT workings 16-17'!I210+'GT workings 16-17'!I209</f>
        <v>28.76057376605128</v>
      </c>
      <c r="J149" s="42">
        <f>'GT workings 16-17'!J210+'GT workings 16-17'!J209</f>
        <v>30.710682587066337</v>
      </c>
      <c r="K149" s="42">
        <f>'GT workings 16-17'!K210+'GT workings 16-17'!K209</f>
        <v>30.807402136511683</v>
      </c>
    </row>
    <row r="150" spans="3:11">
      <c r="C150" s="11" t="s">
        <v>104</v>
      </c>
      <c r="D150" s="43">
        <f>'GT workings 16-17'!D213</f>
        <v>8.3082796001737652E-2</v>
      </c>
      <c r="E150" s="43">
        <f>'GT workings 16-17'!E213</f>
        <v>7.976923323919452E-2</v>
      </c>
      <c r="F150" s="43">
        <f>'GT workings 16-17'!F213</f>
        <v>0.75266180631023005</v>
      </c>
      <c r="G150" s="43">
        <f>'GT workings 16-17'!G213</f>
        <v>0.74924415240021436</v>
      </c>
      <c r="H150" s="43">
        <f>'GT workings 16-17'!H213</f>
        <v>0.74568851071358178</v>
      </c>
      <c r="I150" s="43">
        <f>'GT workings 16-17'!I213</f>
        <v>0.74198930999385149</v>
      </c>
      <c r="J150" s="43">
        <f>'GT workings 16-17'!J213</f>
        <v>0.73814075404506196</v>
      </c>
      <c r="K150" s="43">
        <f>'GT workings 16-17'!K213</f>
        <v>0.7341368126498401</v>
      </c>
    </row>
    <row r="151" spans="3:11">
      <c r="C151" s="12" t="s">
        <v>105</v>
      </c>
      <c r="D151" s="50">
        <f>SUM(D144:D150)</f>
        <v>60.674058064698123</v>
      </c>
      <c r="E151" s="50">
        <f t="shared" ref="E151:K151" si="34">SUM(E144:E150)</f>
        <v>63.235277253687492</v>
      </c>
      <c r="F151" s="50">
        <f t="shared" si="34"/>
        <v>67.598571668977101</v>
      </c>
      <c r="G151" s="50">
        <f t="shared" si="34"/>
        <v>71.504272869027488</v>
      </c>
      <c r="H151" s="50">
        <f t="shared" si="34"/>
        <v>72.349284730862394</v>
      </c>
      <c r="I151" s="50">
        <f t="shared" si="34"/>
        <v>71.483701912443678</v>
      </c>
      <c r="J151" s="50">
        <f t="shared" si="34"/>
        <v>73.896764020246792</v>
      </c>
      <c r="K151" s="50">
        <f t="shared" si="34"/>
        <v>73.550914623963251</v>
      </c>
    </row>
    <row r="152" spans="3:11">
      <c r="C152" s="11" t="s">
        <v>126</v>
      </c>
      <c r="D152" s="43">
        <f>'GT workings 16-17'!D220</f>
        <v>94.224999999999994</v>
      </c>
      <c r="E152" s="43">
        <f>'GT workings 16-17'!E220</f>
        <v>87.484999999999999</v>
      </c>
      <c r="F152" s="43">
        <f>'GT workings 16-17'!F220</f>
        <v>79.322999999999993</v>
      </c>
      <c r="G152" s="43">
        <f>'GT workings 16-17'!G220</f>
        <v>58.722999999999999</v>
      </c>
      <c r="H152" s="43">
        <f>'GT workings 16-17'!H220</f>
        <v>3.3000000000000002E-2</v>
      </c>
      <c r="I152" s="43">
        <f>'GT workings 16-17'!I220</f>
        <v>3.3000000000000002E-2</v>
      </c>
      <c r="J152" s="43">
        <f>'GT workings 16-17'!J220</f>
        <v>0</v>
      </c>
      <c r="K152" s="43">
        <f>'GT workings 16-17'!K220</f>
        <v>0</v>
      </c>
    </row>
    <row r="153" spans="3:11" ht="13.8" thickBot="1">
      <c r="C153" s="13" t="s">
        <v>107</v>
      </c>
      <c r="D153" s="52">
        <f>D151+D152</f>
        <v>154.89905806469812</v>
      </c>
      <c r="E153" s="52">
        <f t="shared" ref="E153:K153" si="35">E151+E152</f>
        <v>150.7202772536875</v>
      </c>
      <c r="F153" s="52">
        <f t="shared" si="35"/>
        <v>146.92157166897709</v>
      </c>
      <c r="G153" s="52">
        <f t="shared" si="35"/>
        <v>130.2272728690275</v>
      </c>
      <c r="H153" s="52">
        <f t="shared" si="35"/>
        <v>72.382284730862395</v>
      </c>
      <c r="I153" s="52">
        <f t="shared" si="35"/>
        <v>71.516701912443679</v>
      </c>
      <c r="J153" s="52">
        <f t="shared" si="35"/>
        <v>73.896764020246792</v>
      </c>
      <c r="K153" s="52">
        <f t="shared" si="35"/>
        <v>73.550914623963251</v>
      </c>
    </row>
    <row r="155" spans="3:11">
      <c r="D155" s="53">
        <f>'GT workings 16-17'!D229-D151</f>
        <v>-4.6018205381048176</v>
      </c>
      <c r="E155" s="53">
        <f>'GT workings 16-17'!E229-E151</f>
        <v>2.6442443147202894</v>
      </c>
      <c r="F155" s="53">
        <f>'GT workings 16-17'!F229-F151</f>
        <v>5.2252622323280207E-2</v>
      </c>
      <c r="G155" s="53">
        <f>'GT workings 16-17'!G229-G151</f>
        <v>0.14926988941797958</v>
      </c>
      <c r="H155" s="53">
        <f>'GT workings 16-17'!H229-H151</f>
        <v>0.15556796005431295</v>
      </c>
      <c r="I155" s="53">
        <f>'GT workings 16-17'!I229-I151</f>
        <v>0.15745580955231731</v>
      </c>
      <c r="J155" s="53">
        <f>'GT workings 16-17'!J229-J151</f>
        <v>-0.10981258235077007</v>
      </c>
      <c r="K155" s="53">
        <f>'GT workings 16-17'!K229-K151</f>
        <v>-0.18696988344120768</v>
      </c>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7" tint="-0.249977111117893"/>
  </sheetPr>
  <dimension ref="A1:Y255"/>
  <sheetViews>
    <sheetView zoomScale="70" zoomScaleNormal="70" workbookViewId="0">
      <pane xSplit="2" ySplit="4" topLeftCell="C5" activePane="bottomRight" state="frozen"/>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426</v>
      </c>
    </row>
    <row r="7" spans="2:22">
      <c r="B7" t="s">
        <v>204</v>
      </c>
      <c r="D7" s="196">
        <v>37.780581733294433</v>
      </c>
      <c r="E7" s="196">
        <v>38.765251453029641</v>
      </c>
      <c r="F7" s="196">
        <v>38.935734544913359</v>
      </c>
      <c r="G7" s="196">
        <v>37.194366497168517</v>
      </c>
      <c r="H7" s="196">
        <v>37.663363739263652</v>
      </c>
      <c r="I7" s="196">
        <v>38.166072267177746</v>
      </c>
      <c r="J7" s="196">
        <v>38.821758225100261</v>
      </c>
      <c r="K7" s="196">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52.370551845660252</v>
      </c>
      <c r="U7" s="53">
        <f t="shared" si="0"/>
        <v>54.711741677180051</v>
      </c>
      <c r="V7" s="53">
        <f>SUM(N7:U7)</f>
        <v>387.87349490683522</v>
      </c>
    </row>
    <row r="8" spans="2:22">
      <c r="B8" t="s">
        <v>206</v>
      </c>
      <c r="D8" s="196">
        <v>33.734064323833628</v>
      </c>
      <c r="E8" s="196">
        <v>27.39346022326454</v>
      </c>
      <c r="F8" s="196">
        <v>18.58964637976759</v>
      </c>
      <c r="G8" s="196">
        <v>15.690053681814245</v>
      </c>
      <c r="H8" s="196">
        <v>14.117331818843784</v>
      </c>
      <c r="I8" s="196">
        <v>12.8424465294623</v>
      </c>
      <c r="J8" s="196">
        <v>15.120708694627556</v>
      </c>
      <c r="K8" s="196">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20.397836029052574</v>
      </c>
      <c r="U8" s="53">
        <f t="shared" si="0"/>
        <v>17.818221907061567</v>
      </c>
      <c r="V8" s="53">
        <f>SUM(N8:U8)</f>
        <v>186.64168256785229</v>
      </c>
    </row>
    <row r="9" spans="2:22">
      <c r="B9" s="38" t="s">
        <v>207</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72.768387874712829</v>
      </c>
      <c r="U9" s="57">
        <f t="shared" si="2"/>
        <v>72.529963584241614</v>
      </c>
      <c r="V9" s="57">
        <f t="shared" si="2"/>
        <v>574.51517747468756</v>
      </c>
    </row>
    <row r="10" spans="2:22">
      <c r="D10" s="53"/>
      <c r="E10" s="53"/>
      <c r="F10" s="53"/>
      <c r="G10" s="53"/>
      <c r="H10" s="53"/>
      <c r="I10" s="53"/>
      <c r="J10" s="53"/>
      <c r="K10" s="53"/>
      <c r="N10" s="53"/>
      <c r="O10" s="53"/>
      <c r="P10" s="53"/>
      <c r="Q10" s="53"/>
      <c r="R10" s="53"/>
      <c r="S10" s="53"/>
      <c r="T10" s="53"/>
      <c r="U10" s="53"/>
      <c r="V10" s="53"/>
    </row>
    <row r="11" spans="2:22">
      <c r="B11" s="38" t="s">
        <v>427</v>
      </c>
      <c r="D11" s="53"/>
      <c r="E11" s="53"/>
      <c r="F11" s="53"/>
      <c r="G11" s="53"/>
      <c r="H11" s="53"/>
      <c r="I11" s="53"/>
      <c r="J11" s="53"/>
      <c r="K11" s="53"/>
      <c r="N11" s="53"/>
      <c r="O11" s="53"/>
      <c r="P11" s="53"/>
      <c r="Q11" s="53"/>
      <c r="R11" s="53"/>
      <c r="S11" s="53"/>
      <c r="T11" s="53"/>
      <c r="U11" s="53"/>
      <c r="V11" s="53"/>
    </row>
    <row r="12" spans="2:22">
      <c r="B12" t="s">
        <v>210</v>
      </c>
      <c r="D12" s="196">
        <v>19.755956817834338</v>
      </c>
      <c r="E12" s="196">
        <v>4.9583696669587889</v>
      </c>
      <c r="F12" s="196">
        <v>6.5268703309989426</v>
      </c>
      <c r="G12" s="196">
        <v>8.9978253214108026</v>
      </c>
      <c r="H12" s="196">
        <v>8.0555897404504044</v>
      </c>
      <c r="I12" s="196">
        <v>5.1722575344308828</v>
      </c>
      <c r="J12" s="196">
        <v>4.1277105565726</v>
      </c>
      <c r="K12" s="196">
        <v>3.7879167847205548</v>
      </c>
      <c r="L12" s="53">
        <f t="shared" ref="L12:L13" si="3">SUM(D12:K12)</f>
        <v>61.382496753377325</v>
      </c>
      <c r="N12" s="53">
        <f t="shared" ref="N12:U13" si="4">D12*N$1</f>
        <v>23.055201606412673</v>
      </c>
      <c r="O12" s="53">
        <f t="shared" si="4"/>
        <v>5.9004599036809582</v>
      </c>
      <c r="P12" s="53">
        <f t="shared" si="4"/>
        <v>7.8452981378607287</v>
      </c>
      <c r="Q12" s="53">
        <f t="shared" si="4"/>
        <v>11.049329494692465</v>
      </c>
      <c r="R12" s="53">
        <f t="shared" si="4"/>
        <v>10.262821329333816</v>
      </c>
      <c r="S12" s="53">
        <f t="shared" si="4"/>
        <v>6.7911741427077486</v>
      </c>
      <c r="T12" s="53">
        <f t="shared" si="4"/>
        <v>5.5682815408164377</v>
      </c>
      <c r="U12" s="53">
        <f t="shared" si="4"/>
        <v>5.2576284971921297</v>
      </c>
      <c r="V12" s="53">
        <f>SUM(N12:U12)</f>
        <v>75.730194652696966</v>
      </c>
    </row>
    <row r="13" spans="2:22">
      <c r="B13" t="s">
        <v>212</v>
      </c>
      <c r="D13" s="196">
        <v>6.3163703255204871</v>
      </c>
      <c r="E13" s="196">
        <v>7.5041818587940385</v>
      </c>
      <c r="F13" s="196">
        <v>11.666765702990109</v>
      </c>
      <c r="G13" s="196">
        <v>14.771156922046991</v>
      </c>
      <c r="H13" s="196">
        <v>13.45775622663338</v>
      </c>
      <c r="I13" s="196">
        <v>11.373748646385858</v>
      </c>
      <c r="J13" s="196">
        <v>9.8338467639554441</v>
      </c>
      <c r="K13" s="196">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13.265859284575894</v>
      </c>
      <c r="U13" s="53">
        <f t="shared" si="4"/>
        <v>14.360284159338896</v>
      </c>
      <c r="V13" s="53">
        <f>SUM(N13:U13)</f>
        <v>108.16867050646547</v>
      </c>
    </row>
    <row r="14" spans="2:22">
      <c r="B14" s="38" t="s">
        <v>428</v>
      </c>
      <c r="N14" s="53"/>
      <c r="O14" s="53"/>
      <c r="P14" s="53"/>
      <c r="Q14" s="53"/>
      <c r="R14" s="53"/>
      <c r="S14" s="53"/>
      <c r="T14" s="53"/>
      <c r="U14" s="53"/>
      <c r="V14" s="53"/>
    </row>
    <row r="15" spans="2:22">
      <c r="B15" t="s">
        <v>215</v>
      </c>
      <c r="D15" s="196">
        <v>25.459307795372435</v>
      </c>
      <c r="E15" s="196">
        <v>14.41280752104567</v>
      </c>
      <c r="F15" s="196">
        <v>9.6173202079823099</v>
      </c>
      <c r="G15" s="196">
        <v>60.446777499796859</v>
      </c>
      <c r="H15" s="196">
        <v>84.880198528547851</v>
      </c>
      <c r="I15" s="196">
        <v>8.5249336835233791</v>
      </c>
      <c r="J15" s="196">
        <v>0.23152878737450566</v>
      </c>
      <c r="K15" s="196">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0.31233233416820816</v>
      </c>
      <c r="U15" s="53">
        <f t="shared" si="5"/>
        <v>0</v>
      </c>
      <c r="V15" s="53">
        <f>SUM(N15:U15)</f>
        <v>252.29385799299362</v>
      </c>
    </row>
    <row r="16" spans="2:22">
      <c r="B16" t="s">
        <v>217</v>
      </c>
      <c r="D16" s="196">
        <v>97.132518315217595</v>
      </c>
      <c r="E16" s="196">
        <v>109.87971241227922</v>
      </c>
      <c r="F16" s="196">
        <v>114.43672637584547</v>
      </c>
      <c r="G16" s="196">
        <v>123.96977718673423</v>
      </c>
      <c r="H16" s="196">
        <v>138.27838395379189</v>
      </c>
      <c r="I16" s="196">
        <v>117.50342084599842</v>
      </c>
      <c r="J16" s="196">
        <v>101.87556011564801</v>
      </c>
      <c r="K16" s="196">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137.43013059600918</v>
      </c>
      <c r="U16" s="53">
        <f t="shared" si="5"/>
        <v>126.52727041318616</v>
      </c>
      <c r="V16" s="53">
        <f>SUM(N16:U16)</f>
        <v>1128.3043918706692</v>
      </c>
    </row>
    <row r="17" spans="1:22">
      <c r="B17" t="s">
        <v>204</v>
      </c>
      <c r="D17" s="196">
        <v>64.482672010544718</v>
      </c>
      <c r="E17" s="196">
        <v>65.237874215180156</v>
      </c>
      <c r="F17" s="196">
        <v>70.772894725011071</v>
      </c>
      <c r="G17" s="196">
        <v>79.368338266410362</v>
      </c>
      <c r="H17" s="196">
        <v>84.317479134504765</v>
      </c>
      <c r="I17" s="196">
        <v>84.641346358196444</v>
      </c>
      <c r="J17" s="196">
        <v>80.728014781566515</v>
      </c>
      <c r="K17" s="196">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108.90209194033322</v>
      </c>
      <c r="U17" s="53">
        <f t="shared" si="5"/>
        <v>107.55621733133628</v>
      </c>
      <c r="V17" s="53">
        <f>SUM(N17:U17)</f>
        <v>770.43055286032575</v>
      </c>
    </row>
    <row r="18" spans="1:22">
      <c r="N18" s="53"/>
      <c r="O18" s="53"/>
      <c r="P18" s="53"/>
      <c r="Q18" s="53"/>
      <c r="R18" s="53"/>
      <c r="S18" s="53"/>
      <c r="T18" s="53"/>
      <c r="U18" s="53"/>
      <c r="V18" s="53"/>
    </row>
    <row r="19" spans="1:22">
      <c r="B19" s="38" t="s">
        <v>429</v>
      </c>
      <c r="N19" s="53"/>
      <c r="O19" s="53"/>
      <c r="P19" s="53"/>
      <c r="Q19" s="53"/>
      <c r="R19" s="53"/>
      <c r="S19" s="53"/>
      <c r="T19" s="53"/>
      <c r="U19" s="53"/>
      <c r="V19" s="53"/>
    </row>
    <row r="20" spans="1:22">
      <c r="B20" t="s">
        <v>206</v>
      </c>
      <c r="D20" s="196">
        <v>26.86365188906883</v>
      </c>
      <c r="E20" s="196">
        <v>18.171864188371163</v>
      </c>
      <c r="F20" s="196">
        <v>10.751052755971946</v>
      </c>
      <c r="G20" s="196">
        <v>12.661992776253896</v>
      </c>
      <c r="H20" s="196">
        <v>32.025393538313374</v>
      </c>
      <c r="I20" s="196">
        <v>32.679532321837399</v>
      </c>
      <c r="J20" s="196">
        <v>20.504333599618437</v>
      </c>
      <c r="K20" s="196">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42.908225938572507</v>
      </c>
      <c r="T20" s="53">
        <f t="shared" si="6"/>
        <v>27.660346025885271</v>
      </c>
      <c r="U20" s="53">
        <f t="shared" si="6"/>
        <v>8.9216010392825886</v>
      </c>
      <c r="V20" s="53">
        <f>SUM(N20:U20)</f>
        <v>201.73661705217469</v>
      </c>
    </row>
    <row r="21" spans="1:22">
      <c r="B21" t="s">
        <v>204</v>
      </c>
      <c r="D21" s="196">
        <v>0</v>
      </c>
      <c r="E21" s="196">
        <v>0</v>
      </c>
      <c r="F21" s="196">
        <v>0</v>
      </c>
      <c r="G21" s="196">
        <v>0</v>
      </c>
      <c r="H21" s="196">
        <v>0</v>
      </c>
      <c r="I21" s="196">
        <v>0</v>
      </c>
      <c r="J21" s="196">
        <v>0</v>
      </c>
      <c r="K21" s="196">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345</v>
      </c>
      <c r="C23" s="60"/>
      <c r="D23" s="61">
        <f t="shared" ref="D23:L23" si="7">SUM(D15:D21)</f>
        <v>213.93815001020357</v>
      </c>
      <c r="E23" s="61">
        <f t="shared" si="7"/>
        <v>207.70225833687618</v>
      </c>
      <c r="F23" s="61">
        <f t="shared" si="7"/>
        <v>205.57799406481081</v>
      </c>
      <c r="G23" s="61">
        <f t="shared" si="7"/>
        <v>276.44688572919534</v>
      </c>
      <c r="H23" s="61">
        <f t="shared" si="7"/>
        <v>339.50145515515788</v>
      </c>
      <c r="I23" s="61">
        <f t="shared" si="7"/>
        <v>243.34923320955565</v>
      </c>
      <c r="J23" s="61">
        <f t="shared" si="7"/>
        <v>203.33943728420746</v>
      </c>
      <c r="K23" s="61">
        <f t="shared" si="7"/>
        <v>175.07571238026301</v>
      </c>
      <c r="L23" s="61">
        <f t="shared" si="7"/>
        <v>1864.9311261702699</v>
      </c>
      <c r="N23" s="61">
        <f t="shared" ref="N23:V23" si="8">SUM(N15:N21)</f>
        <v>249.66582106190759</v>
      </c>
      <c r="O23" s="61">
        <f t="shared" si="8"/>
        <v>247.16568742088268</v>
      </c>
      <c r="P23" s="61">
        <f t="shared" si="8"/>
        <v>247.10474886590254</v>
      </c>
      <c r="Q23" s="61">
        <f t="shared" si="8"/>
        <v>339.47677567545185</v>
      </c>
      <c r="R23" s="61">
        <f t="shared" si="8"/>
        <v>432.52485386767114</v>
      </c>
      <c r="S23" s="61">
        <f t="shared" si="8"/>
        <v>319.51754320414659</v>
      </c>
      <c r="T23" s="61">
        <f t="shared" si="8"/>
        <v>274.30490089639585</v>
      </c>
      <c r="U23" s="61">
        <f t="shared" si="8"/>
        <v>243.00508878380504</v>
      </c>
      <c r="V23" s="61">
        <f t="shared" si="8"/>
        <v>2352.7654197761631</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7">
        <v>110.11544616012048</v>
      </c>
      <c r="E26" s="197">
        <v>110.29121834911521</v>
      </c>
      <c r="F26" s="197">
        <v>110.32860169190292</v>
      </c>
      <c r="G26" s="197">
        <v>110.3596633646699</v>
      </c>
      <c r="H26" s="197">
        <v>110.27343835902431</v>
      </c>
      <c r="I26" s="197">
        <v>110.27662588032852</v>
      </c>
      <c r="J26" s="197">
        <v>110.30420904525512</v>
      </c>
      <c r="K26" s="197">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148.80037800204914</v>
      </c>
      <c r="U26" s="58">
        <f t="shared" si="9"/>
        <v>153.11121481880596</v>
      </c>
      <c r="V26" s="58">
        <f>SUM(N26:U26)</f>
        <v>1115.0810844209129</v>
      </c>
    </row>
    <row r="27" spans="1:22">
      <c r="N27" s="53"/>
      <c r="O27" s="53"/>
      <c r="P27" s="53"/>
      <c r="Q27" s="53"/>
      <c r="R27" s="53"/>
      <c r="S27" s="53"/>
      <c r="T27" s="53"/>
      <c r="U27" s="53"/>
      <c r="V27" s="53"/>
    </row>
    <row r="28" spans="1:22">
      <c r="A28" t="s">
        <v>346</v>
      </c>
      <c r="N28" s="53"/>
      <c r="O28" s="53"/>
      <c r="P28" s="53"/>
      <c r="Q28" s="53"/>
      <c r="R28" s="53"/>
      <c r="S28" s="53"/>
      <c r="T28" s="53"/>
      <c r="U28" s="53"/>
      <c r="V28" s="53"/>
    </row>
    <row r="29" spans="1:22">
      <c r="B29" s="38" t="s">
        <v>426</v>
      </c>
    </row>
    <row r="30" spans="1:22">
      <c r="B30" t="s">
        <v>204</v>
      </c>
      <c r="D30" s="223">
        <v>35.309276180178273</v>
      </c>
      <c r="E30" s="223">
        <v>40.229440832761433</v>
      </c>
      <c r="F30" s="223">
        <v>50.602500247903464</v>
      </c>
      <c r="G30" s="223">
        <v>51.965523419215508</v>
      </c>
      <c r="H30" s="223">
        <v>51.12111996589703</v>
      </c>
      <c r="I30" s="223">
        <v>49.539820913563602</v>
      </c>
      <c r="J30" s="223">
        <v>48.655604989055703</v>
      </c>
      <c r="K30" s="223">
        <v>49.763707375013652</v>
      </c>
      <c r="L30" s="53">
        <f>SUM(D30:K30)</f>
        <v>377.18699392358872</v>
      </c>
      <c r="N30" s="53">
        <f t="shared" ref="N30:U31" si="10">D30*N$1</f>
        <v>41.205925302268042</v>
      </c>
      <c r="O30" s="53">
        <f t="shared" si="10"/>
        <v>47.873034590986101</v>
      </c>
      <c r="P30" s="53">
        <f t="shared" si="10"/>
        <v>60.824205297979958</v>
      </c>
      <c r="Q30" s="53">
        <f t="shared" si="10"/>
        <v>63.813662758796646</v>
      </c>
      <c r="R30" s="53">
        <f t="shared" si="10"/>
        <v>65.128306836552824</v>
      </c>
      <c r="S30" s="53">
        <f t="shared" si="10"/>
        <v>65.045784859509013</v>
      </c>
      <c r="T30" s="53">
        <f t="shared" si="10"/>
        <v>65.636411130236141</v>
      </c>
      <c r="U30" s="53">
        <f t="shared" si="10"/>
        <v>69.072025836518947</v>
      </c>
      <c r="V30" s="53">
        <f>SUM(N30:U30)</f>
        <v>478.59935661284766</v>
      </c>
    </row>
    <row r="31" spans="1:22">
      <c r="B31" t="s">
        <v>206</v>
      </c>
      <c r="D31" s="223">
        <v>17.708231419797961</v>
      </c>
      <c r="E31" s="223">
        <v>27.278756272777926</v>
      </c>
      <c r="F31" s="223">
        <v>25.116516710766533</v>
      </c>
      <c r="G31" s="223">
        <v>24.687879003225049</v>
      </c>
      <c r="H31" s="223">
        <v>22.172921559294188</v>
      </c>
      <c r="I31" s="223">
        <v>18.014704063893184</v>
      </c>
      <c r="J31" s="223">
        <v>19.248419251200154</v>
      </c>
      <c r="K31" s="223">
        <v>16.625252452632346</v>
      </c>
      <c r="L31" s="53">
        <f>SUM(D31:K31)</f>
        <v>170.85268073358733</v>
      </c>
      <c r="N31" s="53">
        <f t="shared" si="10"/>
        <v>20.665506066904221</v>
      </c>
      <c r="O31" s="53">
        <f t="shared" si="10"/>
        <v>32.461719964605727</v>
      </c>
      <c r="P31" s="53">
        <f t="shared" si="10"/>
        <v>30.190053086341372</v>
      </c>
      <c r="Q31" s="53">
        <f t="shared" si="10"/>
        <v>30.31671541596036</v>
      </c>
      <c r="R31" s="53">
        <f t="shared" si="10"/>
        <v>28.248302066540795</v>
      </c>
      <c r="S31" s="53">
        <f t="shared" si="10"/>
        <v>23.65330643589175</v>
      </c>
      <c r="T31" s="53">
        <f t="shared" si="10"/>
        <v>25.966117569869006</v>
      </c>
      <c r="U31" s="53">
        <f t="shared" si="10"/>
        <v>23.075850404253693</v>
      </c>
      <c r="V31" s="53">
        <f>SUM(N31:U31)</f>
        <v>214.57757101036691</v>
      </c>
    </row>
    <row r="32" spans="1:22">
      <c r="B32" s="38" t="s">
        <v>207</v>
      </c>
      <c r="D32" s="57">
        <f t="shared" ref="D32:L32" si="11">SUM(D30:D31)</f>
        <v>53.017507599976234</v>
      </c>
      <c r="E32" s="57">
        <f t="shared" si="11"/>
        <v>67.508197105539352</v>
      </c>
      <c r="F32" s="57">
        <f t="shared" si="11"/>
        <v>75.719016958669997</v>
      </c>
      <c r="G32" s="57">
        <f t="shared" si="11"/>
        <v>76.653402422440564</v>
      </c>
      <c r="H32" s="57">
        <f t="shared" si="11"/>
        <v>73.294041525191219</v>
      </c>
      <c r="I32" s="57">
        <f t="shared" si="11"/>
        <v>67.554524977456794</v>
      </c>
      <c r="J32" s="57">
        <f t="shared" si="11"/>
        <v>67.904024240255865</v>
      </c>
      <c r="K32" s="57">
        <f t="shared" si="11"/>
        <v>66.388959827646005</v>
      </c>
      <c r="L32" s="57">
        <f t="shared" si="11"/>
        <v>548.03967465717608</v>
      </c>
      <c r="N32" s="57">
        <f t="shared" ref="N32:V32" si="12">SUM(N30:N31)</f>
        <v>61.871431369172264</v>
      </c>
      <c r="O32" s="57">
        <f t="shared" si="12"/>
        <v>80.334754555591829</v>
      </c>
      <c r="P32" s="57">
        <f t="shared" si="12"/>
        <v>91.014258384321323</v>
      </c>
      <c r="Q32" s="57">
        <f t="shared" si="12"/>
        <v>94.130378174756999</v>
      </c>
      <c r="R32" s="57">
        <f t="shared" si="12"/>
        <v>93.376608903093626</v>
      </c>
      <c r="S32" s="57">
        <f t="shared" si="12"/>
        <v>88.699091295400763</v>
      </c>
      <c r="T32" s="57">
        <f t="shared" si="12"/>
        <v>91.602528700105154</v>
      </c>
      <c r="U32" s="57">
        <f t="shared" si="12"/>
        <v>92.147876240772632</v>
      </c>
      <c r="V32" s="57">
        <f t="shared" si="12"/>
        <v>693.17692762321462</v>
      </c>
    </row>
    <row r="33" spans="2:22">
      <c r="D33" s="53"/>
      <c r="E33" s="53"/>
      <c r="F33" s="53"/>
      <c r="G33" s="53"/>
      <c r="H33" s="53"/>
      <c r="I33" s="53"/>
      <c r="J33" s="53"/>
      <c r="K33" s="53"/>
      <c r="N33" s="53"/>
      <c r="O33" s="53"/>
      <c r="P33" s="53"/>
      <c r="Q33" s="53"/>
      <c r="R33" s="53"/>
      <c r="S33" s="53"/>
      <c r="T33" s="53"/>
      <c r="U33" s="53"/>
      <c r="V33" s="53"/>
    </row>
    <row r="34" spans="2:22">
      <c r="B34" s="38" t="s">
        <v>427</v>
      </c>
      <c r="D34" s="53"/>
      <c r="E34" s="53"/>
      <c r="F34" s="53"/>
      <c r="G34" s="53"/>
      <c r="H34" s="53"/>
      <c r="I34" s="53"/>
      <c r="J34" s="53"/>
      <c r="K34" s="53"/>
      <c r="N34" s="53"/>
      <c r="O34" s="53"/>
      <c r="P34" s="53"/>
      <c r="Q34" s="53"/>
      <c r="R34" s="53"/>
      <c r="S34" s="53"/>
      <c r="T34" s="53"/>
      <c r="U34" s="53"/>
      <c r="V34" s="53"/>
    </row>
    <row r="35" spans="2:22">
      <c r="B35" t="s">
        <v>210</v>
      </c>
      <c r="D35" s="223">
        <v>0</v>
      </c>
      <c r="E35" s="223">
        <v>0</v>
      </c>
      <c r="F35" s="223">
        <v>0</v>
      </c>
      <c r="G35" s="223">
        <v>0</v>
      </c>
      <c r="H35" s="223">
        <v>0</v>
      </c>
      <c r="I35" s="223">
        <v>0</v>
      </c>
      <c r="J35" s="223">
        <v>0</v>
      </c>
      <c r="K35" s="223">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212</v>
      </c>
      <c r="D36" s="223">
        <v>0</v>
      </c>
      <c r="E36" s="223">
        <v>0</v>
      </c>
      <c r="F36" s="223">
        <v>0</v>
      </c>
      <c r="G36" s="223">
        <v>0</v>
      </c>
      <c r="H36" s="223">
        <v>0</v>
      </c>
      <c r="I36" s="223">
        <v>0</v>
      </c>
      <c r="J36" s="223">
        <v>0</v>
      </c>
      <c r="K36" s="223">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428</v>
      </c>
      <c r="N37" s="53"/>
      <c r="O37" s="53"/>
      <c r="P37" s="53"/>
      <c r="Q37" s="53"/>
      <c r="R37" s="53"/>
      <c r="S37" s="53"/>
      <c r="T37" s="53"/>
      <c r="U37" s="53"/>
      <c r="V37" s="53"/>
    </row>
    <row r="38" spans="2:22">
      <c r="B38" t="s">
        <v>215</v>
      </c>
      <c r="D38" s="223">
        <v>2.9582169044297091</v>
      </c>
      <c r="E38" s="223">
        <v>1.2243088763331087</v>
      </c>
      <c r="F38" s="223">
        <v>9.6173202079823099</v>
      </c>
      <c r="G38" s="223">
        <v>60.446777499796859</v>
      </c>
      <c r="H38" s="223">
        <v>84.880198528547851</v>
      </c>
      <c r="I38" s="223">
        <v>8.5249336835233791</v>
      </c>
      <c r="J38" s="223">
        <v>0.23152878737450566</v>
      </c>
      <c r="K38" s="223">
        <v>0</v>
      </c>
      <c r="L38" s="53">
        <f>SUM(D38:K38)</f>
        <v>167.88328448798774</v>
      </c>
      <c r="N38" s="53">
        <f t="shared" ref="N38:U40" si="15">D38*N$1</f>
        <v>3.4522391274694706</v>
      </c>
      <c r="O38" s="53">
        <f t="shared" si="15"/>
        <v>1.4569275628363993</v>
      </c>
      <c r="P38" s="53">
        <f t="shared" si="15"/>
        <v>11.560018889994737</v>
      </c>
      <c r="Q38" s="53">
        <f t="shared" si="15"/>
        <v>74.228642769750536</v>
      </c>
      <c r="R38" s="53">
        <f t="shared" si="15"/>
        <v>108.13737292536996</v>
      </c>
      <c r="S38" s="53">
        <f t="shared" si="15"/>
        <v>11.193237926466196</v>
      </c>
      <c r="T38" s="53">
        <f t="shared" si="15"/>
        <v>0.31233233416820816</v>
      </c>
      <c r="U38" s="53">
        <f t="shared" si="15"/>
        <v>0</v>
      </c>
      <c r="V38" s="53">
        <f>SUM(N38:U38)</f>
        <v>210.34077153605551</v>
      </c>
    </row>
    <row r="39" spans="2:22">
      <c r="B39" t="s">
        <v>217</v>
      </c>
      <c r="D39" s="223">
        <v>84.41261705461848</v>
      </c>
      <c r="E39" s="223">
        <v>86.374566309550133</v>
      </c>
      <c r="F39" s="223">
        <v>125.18777913181739</v>
      </c>
      <c r="G39" s="223">
        <v>136.63176996298816</v>
      </c>
      <c r="H39" s="223">
        <v>170.30377749210527</v>
      </c>
      <c r="I39" s="223">
        <v>150.18295316783582</v>
      </c>
      <c r="J39" s="223">
        <v>122.37989371526645</v>
      </c>
      <c r="K39" s="223">
        <v>97.58564225682187</v>
      </c>
      <c r="L39" s="53">
        <f>SUM(D39:K39)</f>
        <v>973.05899909100356</v>
      </c>
      <c r="N39" s="53">
        <f t="shared" si="15"/>
        <v>98.509524102739775</v>
      </c>
      <c r="O39" s="53">
        <f t="shared" si="15"/>
        <v>102.78573390836465</v>
      </c>
      <c r="P39" s="53">
        <f t="shared" si="15"/>
        <v>150.47571051644451</v>
      </c>
      <c r="Q39" s="53">
        <f t="shared" si="15"/>
        <v>167.78381351454945</v>
      </c>
      <c r="R39" s="53">
        <f t="shared" si="15"/>
        <v>216.96701252494211</v>
      </c>
      <c r="S39" s="53">
        <f t="shared" si="15"/>
        <v>197.19021750936841</v>
      </c>
      <c r="T39" s="53">
        <f t="shared" si="15"/>
        <v>165.09047662189442</v>
      </c>
      <c r="U39" s="53">
        <f t="shared" si="15"/>
        <v>135.44887145246875</v>
      </c>
      <c r="V39" s="53">
        <f>SUM(N39:U39)</f>
        <v>1234.2513601507719</v>
      </c>
    </row>
    <row r="40" spans="2:22">
      <c r="B40" t="s">
        <v>204</v>
      </c>
      <c r="D40" s="223">
        <v>64.940071158147774</v>
      </c>
      <c r="E40" s="223">
        <v>68.973588048058744</v>
      </c>
      <c r="F40" s="223">
        <v>70.772894725011071</v>
      </c>
      <c r="G40" s="223">
        <v>79.368338266410362</v>
      </c>
      <c r="H40" s="223">
        <v>84.317479134504765</v>
      </c>
      <c r="I40" s="223">
        <v>84.641346358196444</v>
      </c>
      <c r="J40" s="223">
        <v>80.728014781566515</v>
      </c>
      <c r="K40" s="223">
        <v>77.490070123441129</v>
      </c>
      <c r="L40" s="53">
        <f>SUM(D40:K40)</f>
        <v>611.23180259533672</v>
      </c>
      <c r="N40" s="53">
        <f t="shared" si="15"/>
        <v>75.785063041558459</v>
      </c>
      <c r="O40" s="53">
        <f t="shared" si="15"/>
        <v>82.078569777189898</v>
      </c>
      <c r="P40" s="53">
        <f t="shared" si="15"/>
        <v>85.069019459463306</v>
      </c>
      <c r="Q40" s="53">
        <f t="shared" si="15"/>
        <v>97.464319391151918</v>
      </c>
      <c r="R40" s="53">
        <f t="shared" si="15"/>
        <v>107.42046841735907</v>
      </c>
      <c r="S40" s="53">
        <f t="shared" si="15"/>
        <v>111.13408776831193</v>
      </c>
      <c r="T40" s="53">
        <f t="shared" si="15"/>
        <v>108.90209194033322</v>
      </c>
      <c r="U40" s="53">
        <f t="shared" si="15"/>
        <v>107.55621733133628</v>
      </c>
      <c r="V40" s="53">
        <f>SUM(N40:U40)</f>
        <v>775.40983712670402</v>
      </c>
    </row>
    <row r="41" spans="2:22">
      <c r="N41" s="53"/>
      <c r="O41" s="53"/>
      <c r="P41" s="53"/>
      <c r="Q41" s="53"/>
      <c r="R41" s="53"/>
      <c r="S41" s="53"/>
      <c r="T41" s="53"/>
      <c r="U41" s="53"/>
      <c r="V41" s="53"/>
    </row>
    <row r="42" spans="2:22">
      <c r="B42" s="38" t="s">
        <v>429</v>
      </c>
      <c r="N42" s="53"/>
      <c r="O42" s="53"/>
      <c r="P42" s="53"/>
      <c r="Q42" s="53"/>
      <c r="R42" s="53"/>
      <c r="S42" s="53"/>
      <c r="T42" s="53"/>
      <c r="U42" s="53"/>
      <c r="V42" s="53"/>
    </row>
    <row r="43" spans="2:22">
      <c r="B43" t="s">
        <v>215</v>
      </c>
      <c r="D43" s="223">
        <v>0</v>
      </c>
      <c r="E43" s="223">
        <v>0</v>
      </c>
      <c r="F43" s="223">
        <v>0</v>
      </c>
      <c r="G43" s="223">
        <v>0</v>
      </c>
      <c r="H43" s="223">
        <v>0</v>
      </c>
      <c r="I43" s="223">
        <v>0</v>
      </c>
      <c r="J43" s="223">
        <v>0</v>
      </c>
      <c r="K43" s="223">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217</v>
      </c>
      <c r="D44" s="223">
        <v>30.596821028210556</v>
      </c>
      <c r="E44" s="223">
        <v>21.797464718507179</v>
      </c>
      <c r="F44" s="223">
        <v>0</v>
      </c>
      <c r="G44" s="223">
        <v>0</v>
      </c>
      <c r="H44" s="223">
        <v>0</v>
      </c>
      <c r="I44" s="223">
        <v>0</v>
      </c>
      <c r="J44" s="223">
        <v>0</v>
      </c>
      <c r="K44" s="223">
        <v>0</v>
      </c>
      <c r="L44" s="53">
        <f>SUM(D44:K44)</f>
        <v>52.394285746717735</v>
      </c>
      <c r="N44" s="53">
        <f t="shared" si="16"/>
        <v>35.706490139921719</v>
      </c>
      <c r="O44" s="53">
        <f t="shared" si="16"/>
        <v>25.938983015023542</v>
      </c>
      <c r="P44" s="53">
        <f t="shared" si="16"/>
        <v>0</v>
      </c>
      <c r="Q44" s="53">
        <f t="shared" si="16"/>
        <v>0</v>
      </c>
      <c r="R44" s="53">
        <f t="shared" si="16"/>
        <v>0</v>
      </c>
      <c r="S44" s="53">
        <f t="shared" si="16"/>
        <v>0</v>
      </c>
      <c r="T44" s="53">
        <f t="shared" si="16"/>
        <v>0</v>
      </c>
      <c r="U44" s="53">
        <f t="shared" si="16"/>
        <v>0</v>
      </c>
      <c r="V44" s="53">
        <f>SUM(N44:U44)</f>
        <v>61.645473154945265</v>
      </c>
    </row>
    <row r="45" spans="2:22">
      <c r="B45" t="s">
        <v>204</v>
      </c>
      <c r="D45" s="223">
        <v>5.1391741130286883</v>
      </c>
      <c r="E45" s="223">
        <v>3.6238574183390933</v>
      </c>
      <c r="F45" s="223">
        <v>0</v>
      </c>
      <c r="G45" s="223">
        <v>0</v>
      </c>
      <c r="H45" s="223">
        <v>0</v>
      </c>
      <c r="I45" s="223">
        <v>0</v>
      </c>
      <c r="J45" s="223">
        <v>0</v>
      </c>
      <c r="K45" s="223">
        <v>0</v>
      </c>
      <c r="L45" s="53">
        <f>SUM(D45:K45)</f>
        <v>8.7630315313677816</v>
      </c>
      <c r="N45" s="53">
        <f t="shared" si="16"/>
        <v>5.9974161899044791</v>
      </c>
      <c r="O45" s="53">
        <f t="shared" si="16"/>
        <v>4.3123903278235209</v>
      </c>
      <c r="P45" s="53">
        <f t="shared" si="16"/>
        <v>0</v>
      </c>
      <c r="Q45" s="53">
        <f t="shared" si="16"/>
        <v>0</v>
      </c>
      <c r="R45" s="53">
        <f t="shared" si="16"/>
        <v>0</v>
      </c>
      <c r="S45" s="53">
        <f t="shared" si="16"/>
        <v>0</v>
      </c>
      <c r="T45" s="53">
        <f t="shared" si="16"/>
        <v>0</v>
      </c>
      <c r="U45" s="53">
        <f t="shared" si="16"/>
        <v>0</v>
      </c>
      <c r="V45" s="53">
        <f>SUM(N45:U45)</f>
        <v>10.309806517727999</v>
      </c>
    </row>
    <row r="46" spans="2:22">
      <c r="N46" s="53"/>
      <c r="O46" s="53"/>
      <c r="P46" s="53"/>
      <c r="Q46" s="53"/>
      <c r="R46" s="53"/>
      <c r="S46" s="53"/>
      <c r="T46" s="53"/>
      <c r="U46" s="53"/>
      <c r="V46" s="53"/>
    </row>
    <row r="47" spans="2:22" ht="15.6">
      <c r="B47" s="59" t="s">
        <v>345</v>
      </c>
      <c r="C47" s="60"/>
      <c r="D47" s="61">
        <f t="shared" ref="D47:L47" si="17">SUM(D38:D45)</f>
        <v>188.04690025843522</v>
      </c>
      <c r="E47" s="61">
        <f t="shared" si="17"/>
        <v>181.99378537078826</v>
      </c>
      <c r="F47" s="61">
        <f t="shared" si="17"/>
        <v>205.57799406481078</v>
      </c>
      <c r="G47" s="61">
        <f t="shared" si="17"/>
        <v>276.4468857291954</v>
      </c>
      <c r="H47" s="61">
        <f t="shared" si="17"/>
        <v>339.50145515515788</v>
      </c>
      <c r="I47" s="61">
        <f t="shared" si="17"/>
        <v>243.34923320955565</v>
      </c>
      <c r="J47" s="61">
        <f t="shared" si="17"/>
        <v>203.33943728420746</v>
      </c>
      <c r="K47" s="61">
        <f t="shared" si="17"/>
        <v>175.07571238026298</v>
      </c>
      <c r="L47" s="61">
        <f t="shared" si="17"/>
        <v>1813.3314034524133</v>
      </c>
      <c r="N47" s="61">
        <f t="shared" ref="N47:V47" si="18">SUM(N38:N45)</f>
        <v>219.4507326015939</v>
      </c>
      <c r="O47" s="61">
        <f t="shared" si="18"/>
        <v>216.57260459123802</v>
      </c>
      <c r="P47" s="61">
        <f t="shared" si="18"/>
        <v>247.10474886590256</v>
      </c>
      <c r="Q47" s="61">
        <f t="shared" si="18"/>
        <v>339.4767756754519</v>
      </c>
      <c r="R47" s="61">
        <f t="shared" si="18"/>
        <v>432.52485386767114</v>
      </c>
      <c r="S47" s="61">
        <f t="shared" si="18"/>
        <v>319.51754320414653</v>
      </c>
      <c r="T47" s="61">
        <f t="shared" si="18"/>
        <v>274.30490089639585</v>
      </c>
      <c r="U47" s="61">
        <f t="shared" si="18"/>
        <v>243.00508878380504</v>
      </c>
      <c r="V47" s="61">
        <f t="shared" si="18"/>
        <v>2291.9572484862047</v>
      </c>
    </row>
    <row r="48" spans="2:22">
      <c r="N48" s="53"/>
      <c r="O48" s="53"/>
      <c r="P48" s="53"/>
      <c r="Q48" s="53"/>
      <c r="R48" s="53"/>
      <c r="S48" s="53"/>
      <c r="T48" s="53"/>
      <c r="U48" s="53"/>
      <c r="V48" s="53"/>
    </row>
    <row r="49" spans="1:16">
      <c r="D49" s="53"/>
      <c r="E49" s="53"/>
      <c r="F49" s="53"/>
      <c r="G49" s="53"/>
      <c r="H49" s="53"/>
      <c r="I49" s="53"/>
      <c r="J49" s="53"/>
      <c r="K49" s="53"/>
      <c r="L49" s="53"/>
    </row>
    <row r="50" spans="1:16" s="195" customFormat="1">
      <c r="D50" s="196"/>
      <c r="E50" s="196"/>
      <c r="F50" s="196"/>
      <c r="G50" s="196"/>
      <c r="H50" s="196"/>
      <c r="I50" s="196"/>
      <c r="J50" s="196"/>
      <c r="K50" s="196"/>
      <c r="L50" s="196"/>
    </row>
    <row r="51" spans="1:16" ht="13.8" thickBot="1"/>
    <row r="52" spans="1:16" ht="16.8">
      <c r="A52" s="68"/>
      <c r="B52" s="69" t="s">
        <v>237</v>
      </c>
      <c r="D52" s="70">
        <v>41729</v>
      </c>
      <c r="E52" s="71">
        <v>42094</v>
      </c>
      <c r="F52" s="71">
        <v>42460</v>
      </c>
      <c r="G52" s="71">
        <v>42825</v>
      </c>
      <c r="H52" s="71">
        <v>43190</v>
      </c>
      <c r="I52" s="71">
        <v>43555</v>
      </c>
      <c r="J52" s="71">
        <v>43921</v>
      </c>
      <c r="K52" s="72">
        <v>44286</v>
      </c>
      <c r="L52" s="73" t="s">
        <v>238</v>
      </c>
    </row>
    <row r="53" spans="1:16" ht="16.8">
      <c r="A53" s="74"/>
      <c r="B53" s="75" t="s">
        <v>239</v>
      </c>
      <c r="D53" s="76" t="s">
        <v>240</v>
      </c>
      <c r="E53" s="77" t="s">
        <v>240</v>
      </c>
      <c r="F53" s="77" t="s">
        <v>240</v>
      </c>
      <c r="G53" s="77" t="s">
        <v>240</v>
      </c>
      <c r="H53" s="77" t="s">
        <v>240</v>
      </c>
      <c r="I53" s="77" t="s">
        <v>240</v>
      </c>
      <c r="J53" s="77" t="s">
        <v>240</v>
      </c>
      <c r="K53" s="78" t="s">
        <v>240</v>
      </c>
      <c r="L53" s="79" t="s">
        <v>240</v>
      </c>
    </row>
    <row r="54" spans="1:16" ht="16.8">
      <c r="A54" s="80"/>
      <c r="B54" s="81" t="s">
        <v>207</v>
      </c>
      <c r="D54" s="82"/>
      <c r="E54" s="83"/>
      <c r="F54" s="83"/>
      <c r="G54" s="83"/>
      <c r="H54" s="83"/>
      <c r="I54" s="83"/>
      <c r="J54" s="83"/>
      <c r="K54" s="84"/>
      <c r="L54" s="85"/>
    </row>
    <row r="55" spans="1:16" ht="16.8">
      <c r="A55" s="86">
        <v>1</v>
      </c>
      <c r="B55" s="75" t="s">
        <v>241</v>
      </c>
      <c r="D55" s="87">
        <v>136.63963183020942</v>
      </c>
      <c r="E55" s="88">
        <v>130.23295162545401</v>
      </c>
      <c r="F55" s="88">
        <v>135.14449768326699</v>
      </c>
      <c r="G55" s="88">
        <v>181.27326456032281</v>
      </c>
      <c r="H55" s="88">
        <v>226.8374378657299</v>
      </c>
      <c r="I55" s="88">
        <v>165.0828664613442</v>
      </c>
      <c r="J55" s="88">
        <v>136.19970701253195</v>
      </c>
      <c r="K55" s="89">
        <v>114.39424138532189</v>
      </c>
      <c r="L55" s="90">
        <v>1225.8045984241812</v>
      </c>
    </row>
    <row r="56" spans="1:16" ht="16.8">
      <c r="A56" s="86">
        <v>2</v>
      </c>
      <c r="B56" s="75" t="s">
        <v>242</v>
      </c>
      <c r="D56" s="87">
        <v>62.892626818110237</v>
      </c>
      <c r="E56" s="88">
        <v>63.16511235309089</v>
      </c>
      <c r="F56" s="88">
        <v>70.433496381543819</v>
      </c>
      <c r="G56" s="88">
        <v>95.173621168872529</v>
      </c>
      <c r="H56" s="88">
        <v>112.66401728942797</v>
      </c>
      <c r="I56" s="88">
        <v>78.266366748211425</v>
      </c>
      <c r="J56" s="88">
        <v>67.139730271675546</v>
      </c>
      <c r="K56" s="89">
        <v>60.681470994941087</v>
      </c>
      <c r="L56" s="90">
        <v>610.41644202587349</v>
      </c>
    </row>
    <row r="57" spans="1:16" ht="16.8">
      <c r="A57" s="86">
        <v>3</v>
      </c>
      <c r="B57" s="75" t="s">
        <v>243</v>
      </c>
      <c r="D57" s="87">
        <v>199.53225864831967</v>
      </c>
      <c r="E57" s="88">
        <v>193.39806397854488</v>
      </c>
      <c r="F57" s="88">
        <v>205.57799406481081</v>
      </c>
      <c r="G57" s="88">
        <v>276.44688572919534</v>
      </c>
      <c r="H57" s="88">
        <v>339.50145515515788</v>
      </c>
      <c r="I57" s="88">
        <v>243.34923320955562</v>
      </c>
      <c r="J57" s="88">
        <v>203.33943728420749</v>
      </c>
      <c r="K57" s="89">
        <v>175.07571238026298</v>
      </c>
      <c r="L57" s="90">
        <v>1836.2210404500547</v>
      </c>
      <c r="P57" s="118"/>
    </row>
    <row r="58" spans="1:16" ht="16.8">
      <c r="A58" s="80"/>
      <c r="B58" s="81" t="s">
        <v>244</v>
      </c>
      <c r="D58" s="82">
        <v>0</v>
      </c>
      <c r="E58" s="83">
        <v>0</v>
      </c>
      <c r="F58" s="83">
        <v>0</v>
      </c>
      <c r="G58" s="83">
        <v>0</v>
      </c>
      <c r="H58" s="83">
        <v>0</v>
      </c>
      <c r="I58" s="83">
        <v>0</v>
      </c>
      <c r="J58" s="83">
        <v>0</v>
      </c>
      <c r="K58" s="84">
        <v>0</v>
      </c>
      <c r="L58" s="85">
        <v>0</v>
      </c>
    </row>
    <row r="59" spans="1:16" ht="16.8">
      <c r="A59" s="86">
        <v>4</v>
      </c>
      <c r="B59" s="75" t="s">
        <v>245</v>
      </c>
      <c r="D59" s="87">
        <v>4014.3985484751774</v>
      </c>
      <c r="E59" s="88">
        <v>4314.8417128693691</v>
      </c>
      <c r="F59" s="88">
        <v>4305.0633194415932</v>
      </c>
      <c r="G59" s="88">
        <v>4299.2804670770647</v>
      </c>
      <c r="H59" s="88">
        <v>4350.656432913469</v>
      </c>
      <c r="I59" s="88">
        <v>4894.5652493569305</v>
      </c>
      <c r="J59" s="88">
        <v>4965.338127000271</v>
      </c>
      <c r="K59" s="89">
        <v>4956.2001186854159</v>
      </c>
      <c r="L59" s="90">
        <v>0</v>
      </c>
    </row>
    <row r="60" spans="1:16" ht="16.8">
      <c r="A60" s="86">
        <v>5</v>
      </c>
      <c r="B60" s="75" t="s">
        <v>246</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247</v>
      </c>
      <c r="D61" s="87">
        <v>4253.3070362551225</v>
      </c>
      <c r="E61" s="88">
        <v>4316.4306778298223</v>
      </c>
      <c r="F61" s="88">
        <v>4307.0004850851446</v>
      </c>
      <c r="G61" s="88">
        <v>4313.9351679160955</v>
      </c>
      <c r="H61" s="88">
        <v>4826.478573365328</v>
      </c>
      <c r="I61" s="88">
        <v>4963.9150530755032</v>
      </c>
      <c r="J61" s="88">
        <v>4986.1175697071067</v>
      </c>
      <c r="K61" s="89">
        <v>4957.010741338474</v>
      </c>
      <c r="L61" s="90">
        <v>0</v>
      </c>
    </row>
    <row r="62" spans="1:16" ht="16.8">
      <c r="A62" s="86">
        <v>7</v>
      </c>
      <c r="B62" s="75" t="s">
        <v>248</v>
      </c>
      <c r="D62" s="87">
        <v>200.31324843447163</v>
      </c>
      <c r="E62" s="88">
        <v>130.22519364534935</v>
      </c>
      <c r="F62" s="88">
        <v>135.13673970316233</v>
      </c>
      <c r="G62" s="88">
        <v>181.26550658021816</v>
      </c>
      <c r="H62" s="88">
        <v>226.82967988562524</v>
      </c>
      <c r="I62" s="88">
        <v>165.07510848123954</v>
      </c>
      <c r="J62" s="88">
        <v>136.19194903242729</v>
      </c>
      <c r="K62" s="89">
        <v>114.38648340521722</v>
      </c>
      <c r="L62" s="90">
        <v>1289.4239091677109</v>
      </c>
    </row>
    <row r="63" spans="1:16" ht="16.8">
      <c r="A63" s="86">
        <v>8</v>
      </c>
      <c r="B63" s="75" t="s">
        <v>249</v>
      </c>
      <c r="D63" s="87">
        <v>-138.77857182022461</v>
      </c>
      <c r="E63" s="88">
        <v>-141.59255203357839</v>
      </c>
      <c r="F63" s="88">
        <v>-142.85675771124275</v>
      </c>
      <c r="G63" s="88">
        <v>-144.54424158284485</v>
      </c>
      <c r="H63" s="88">
        <v>-158.74300389402276</v>
      </c>
      <c r="I63" s="88">
        <v>-163.65203455647151</v>
      </c>
      <c r="J63" s="88">
        <v>-166.10940005411751</v>
      </c>
      <c r="K63" s="89">
        <v>-167.48116600726155</v>
      </c>
      <c r="L63" s="90">
        <v>-1223.757727659764</v>
      </c>
    </row>
    <row r="64" spans="1:16" ht="16.8">
      <c r="A64" s="86">
        <v>9</v>
      </c>
      <c r="B64" s="75" t="s">
        <v>250</v>
      </c>
      <c r="D64" s="87">
        <v>4314.8417128693691</v>
      </c>
      <c r="E64" s="88">
        <v>4305.0633194415932</v>
      </c>
      <c r="F64" s="88">
        <v>4299.2804670770647</v>
      </c>
      <c r="G64" s="88">
        <v>4350.656432913469</v>
      </c>
      <c r="H64" s="88">
        <v>4894.5652493569305</v>
      </c>
      <c r="I64" s="88">
        <v>4965.338127000271</v>
      </c>
      <c r="J64" s="88">
        <v>4956.2001186854159</v>
      </c>
      <c r="K64" s="89">
        <v>4903.9160587364295</v>
      </c>
      <c r="L64" s="90">
        <v>0</v>
      </c>
    </row>
    <row r="65" spans="1:12" ht="16.8">
      <c r="A65" s="80"/>
      <c r="B65" s="81" t="s">
        <v>251</v>
      </c>
      <c r="D65" s="91">
        <v>0</v>
      </c>
      <c r="E65" s="92">
        <v>0</v>
      </c>
      <c r="F65" s="92">
        <v>0</v>
      </c>
      <c r="G65" s="92">
        <v>0</v>
      </c>
      <c r="H65" s="92">
        <v>0</v>
      </c>
      <c r="I65" s="92">
        <v>0</v>
      </c>
      <c r="J65" s="92">
        <v>0</v>
      </c>
      <c r="K65" s="93">
        <v>0</v>
      </c>
      <c r="L65" s="94">
        <v>0</v>
      </c>
    </row>
    <row r="66" spans="1:12" ht="16.8">
      <c r="A66" s="86">
        <v>10</v>
      </c>
      <c r="B66" s="75" t="s">
        <v>252</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253</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254</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255</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256</v>
      </c>
      <c r="D70" s="87">
        <v>0</v>
      </c>
      <c r="E70" s="88">
        <v>0</v>
      </c>
      <c r="F70" s="88">
        <v>0</v>
      </c>
      <c r="G70" s="88">
        <v>0</v>
      </c>
      <c r="H70" s="88">
        <v>0</v>
      </c>
      <c r="I70" s="88">
        <v>0</v>
      </c>
      <c r="J70" s="88">
        <v>0</v>
      </c>
      <c r="K70" s="89">
        <v>0</v>
      </c>
      <c r="L70" s="90">
        <v>0</v>
      </c>
    </row>
    <row r="71" spans="1:12" ht="16.8">
      <c r="A71" s="86">
        <v>15</v>
      </c>
      <c r="B71" s="75" t="s">
        <v>257</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258</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259</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260</v>
      </c>
      <c r="D74" s="91">
        <v>0</v>
      </c>
      <c r="E74" s="92">
        <v>0</v>
      </c>
      <c r="F74" s="92">
        <v>0</v>
      </c>
      <c r="G74" s="92">
        <v>0</v>
      </c>
      <c r="H74" s="92">
        <v>0</v>
      </c>
      <c r="I74" s="92">
        <v>0</v>
      </c>
      <c r="J74" s="92">
        <v>0</v>
      </c>
      <c r="K74" s="93">
        <v>0</v>
      </c>
      <c r="L74" s="94">
        <v>0</v>
      </c>
    </row>
    <row r="75" spans="1:12" ht="16.8">
      <c r="A75" s="86">
        <v>18</v>
      </c>
      <c r="B75" s="75" t="s">
        <v>252</v>
      </c>
      <c r="D75" s="87">
        <v>62.892626818110237</v>
      </c>
      <c r="E75" s="88">
        <v>63.16511235309089</v>
      </c>
      <c r="F75" s="88">
        <v>70.433496381543819</v>
      </c>
      <c r="G75" s="88">
        <v>95.173621168872529</v>
      </c>
      <c r="H75" s="88">
        <v>112.66401728942797</v>
      </c>
      <c r="I75" s="88">
        <v>78.266366748211425</v>
      </c>
      <c r="J75" s="88">
        <v>67.139730271675546</v>
      </c>
      <c r="K75" s="89">
        <v>60.681470994941087</v>
      </c>
      <c r="L75" s="90">
        <v>610.41644202587349</v>
      </c>
    </row>
    <row r="76" spans="1:12" ht="16.8">
      <c r="A76" s="86">
        <v>19</v>
      </c>
      <c r="B76" s="75" t="s">
        <v>253</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254</v>
      </c>
      <c r="D77" s="87">
        <v>138.77857182022461</v>
      </c>
      <c r="E77" s="88">
        <v>141.59255203357839</v>
      </c>
      <c r="F77" s="88">
        <v>142.85675771124275</v>
      </c>
      <c r="G77" s="88">
        <v>144.54424158284485</v>
      </c>
      <c r="H77" s="88">
        <v>158.74300389402276</v>
      </c>
      <c r="I77" s="88">
        <v>163.65203455647151</v>
      </c>
      <c r="J77" s="88">
        <v>166.10940005411751</v>
      </c>
      <c r="K77" s="89">
        <v>167.48116600726155</v>
      </c>
      <c r="L77" s="90">
        <v>1223.757727659764</v>
      </c>
    </row>
    <row r="78" spans="1:12" ht="16.8">
      <c r="A78" s="86">
        <v>21</v>
      </c>
      <c r="B78" s="75" t="s">
        <v>255</v>
      </c>
      <c r="D78" s="87">
        <v>183.47190575965439</v>
      </c>
      <c r="E78" s="88">
        <v>179.4772411490961</v>
      </c>
      <c r="F78" s="88">
        <v>174.76717172171334</v>
      </c>
      <c r="G78" s="88">
        <v>171.50796917185147</v>
      </c>
      <c r="H78" s="88">
        <v>192.40897904147351</v>
      </c>
      <c r="I78" s="88">
        <v>196.55675921308512</v>
      </c>
      <c r="J78" s="88">
        <v>196.82765804649955</v>
      </c>
      <c r="K78" s="89">
        <v>195.22554085836427</v>
      </c>
      <c r="L78" s="90">
        <v>1490.2432249617377</v>
      </c>
    </row>
    <row r="79" spans="1:12" ht="16.8">
      <c r="A79" s="86">
        <v>22</v>
      </c>
      <c r="B79" s="75" t="s">
        <v>256</v>
      </c>
      <c r="D79" s="87">
        <v>0</v>
      </c>
      <c r="E79" s="88">
        <v>0</v>
      </c>
      <c r="F79" s="88">
        <v>0</v>
      </c>
      <c r="G79" s="88">
        <v>0</v>
      </c>
      <c r="H79" s="88">
        <v>0</v>
      </c>
      <c r="I79" s="88">
        <v>0</v>
      </c>
      <c r="J79" s="88">
        <v>0</v>
      </c>
      <c r="K79" s="89">
        <v>0</v>
      </c>
      <c r="L79" s="90">
        <v>0</v>
      </c>
    </row>
    <row r="80" spans="1:12" ht="16.8">
      <c r="A80" s="86">
        <v>23</v>
      </c>
      <c r="B80" s="75" t="s">
        <v>257</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258</v>
      </c>
      <c r="D81" s="87">
        <v>30.798078514744958</v>
      </c>
      <c r="E81" s="88">
        <v>31.875078054791977</v>
      </c>
      <c r="F81" s="88">
        <v>55.535786021992777</v>
      </c>
      <c r="G81" s="88">
        <v>56.443476697380049</v>
      </c>
      <c r="H81" s="88">
        <v>75.99185288378608</v>
      </c>
      <c r="I81" s="88">
        <v>77.082557258718253</v>
      </c>
      <c r="J81" s="88">
        <v>78.317298822788331</v>
      </c>
      <c r="K81" s="89">
        <v>79.397855577507713</v>
      </c>
      <c r="L81" s="90">
        <v>485.4419838317101</v>
      </c>
    </row>
    <row r="82" spans="1:12" ht="16.8">
      <c r="A82" s="86">
        <v>25</v>
      </c>
      <c r="B82" s="75" t="s">
        <v>259</v>
      </c>
      <c r="D82" s="87">
        <v>9.4624926013528405</v>
      </c>
      <c r="E82" s="88">
        <v>11.77153631165157</v>
      </c>
      <c r="F82" s="88">
        <v>17.037471225103321</v>
      </c>
      <c r="G82" s="88">
        <v>21.777579488360431</v>
      </c>
      <c r="H82" s="88">
        <v>28.842823084410274</v>
      </c>
      <c r="I82" s="88">
        <v>21.523056887770927</v>
      </c>
      <c r="J82" s="88">
        <v>23.063896064044826</v>
      </c>
      <c r="K82" s="89">
        <v>26.453957180642043</v>
      </c>
      <c r="L82" s="90">
        <v>159.93281284333622</v>
      </c>
    </row>
    <row r="83" spans="1:12" ht="16.8">
      <c r="A83" s="80"/>
      <c r="B83" s="81" t="s">
        <v>261</v>
      </c>
      <c r="D83" s="91">
        <v>0</v>
      </c>
      <c r="E83" s="92">
        <v>0</v>
      </c>
      <c r="F83" s="92">
        <v>0</v>
      </c>
      <c r="G83" s="92">
        <v>0</v>
      </c>
      <c r="H83" s="92">
        <v>0</v>
      </c>
      <c r="I83" s="92">
        <v>0</v>
      </c>
      <c r="J83" s="92">
        <v>0</v>
      </c>
      <c r="K83" s="93">
        <v>0</v>
      </c>
      <c r="L83" s="95">
        <v>0</v>
      </c>
    </row>
    <row r="84" spans="1:12" ht="16.8">
      <c r="A84" s="86">
        <v>26</v>
      </c>
      <c r="B84" s="75" t="s">
        <v>262</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263</v>
      </c>
      <c r="D85" s="87">
        <v>0</v>
      </c>
      <c r="E85" s="88">
        <v>7.660590030135495</v>
      </c>
      <c r="F85" s="88">
        <v>9.903155913025671</v>
      </c>
      <c r="G85" s="88">
        <v>10.462384566159812</v>
      </c>
      <c r="H85" s="88">
        <v>0</v>
      </c>
      <c r="I85" s="88">
        <v>0</v>
      </c>
      <c r="J85" s="88">
        <v>0</v>
      </c>
      <c r="K85" s="89">
        <v>0</v>
      </c>
      <c r="L85" s="90">
        <v>28.026130509320978</v>
      </c>
    </row>
    <row r="86" spans="1:12" ht="16.8">
      <c r="A86" s="86">
        <v>28</v>
      </c>
      <c r="B86" s="75" t="s">
        <v>264</v>
      </c>
      <c r="D86" s="96">
        <v>538.68614139232659</v>
      </c>
      <c r="E86" s="88">
        <v>550.58732273144278</v>
      </c>
      <c r="F86" s="88">
        <v>557.86823912563909</v>
      </c>
      <c r="G86" s="88">
        <v>591.0323137873454</v>
      </c>
      <c r="H86" s="88">
        <v>658.61919483345935</v>
      </c>
      <c r="I86" s="88">
        <v>626.8699596364122</v>
      </c>
      <c r="J86" s="88">
        <v>621.72446923422729</v>
      </c>
      <c r="K86" s="89">
        <v>620.33812984496751</v>
      </c>
      <c r="L86" s="90">
        <v>4765.7257705858201</v>
      </c>
    </row>
    <row r="87" spans="1:12" ht="16.8">
      <c r="A87" s="86">
        <v>29</v>
      </c>
      <c r="B87" s="75" t="s">
        <v>168</v>
      </c>
      <c r="D87" s="96">
        <v>0</v>
      </c>
      <c r="E87" s="88">
        <v>0</v>
      </c>
      <c r="F87" s="88">
        <v>0</v>
      </c>
      <c r="G87" s="88">
        <v>0</v>
      </c>
      <c r="H87" s="88">
        <v>0</v>
      </c>
      <c r="I87" s="88">
        <v>0</v>
      </c>
      <c r="J87" s="88">
        <v>0</v>
      </c>
      <c r="K87" s="89">
        <v>0</v>
      </c>
      <c r="L87" s="90">
        <v>0</v>
      </c>
    </row>
    <row r="88" spans="1:12" ht="16.8">
      <c r="A88" s="86">
        <v>30</v>
      </c>
      <c r="B88" s="75" t="s">
        <v>265</v>
      </c>
      <c r="D88" s="96">
        <v>0</v>
      </c>
      <c r="E88" s="88">
        <v>0</v>
      </c>
      <c r="F88" s="88">
        <v>0</v>
      </c>
      <c r="G88" s="88">
        <v>0</v>
      </c>
      <c r="H88" s="88">
        <v>0</v>
      </c>
      <c r="I88" s="88">
        <v>0</v>
      </c>
      <c r="J88" s="88">
        <v>0</v>
      </c>
      <c r="K88" s="89">
        <v>0</v>
      </c>
      <c r="L88" s="90">
        <v>0</v>
      </c>
    </row>
    <row r="89" spans="1:12" ht="16.8">
      <c r="A89" s="86">
        <v>31</v>
      </c>
      <c r="B89" s="75" t="s">
        <v>266</v>
      </c>
      <c r="D89" s="96">
        <v>3.5</v>
      </c>
      <c r="E89" s="88">
        <v>2.9</v>
      </c>
      <c r="F89" s="88">
        <v>3</v>
      </c>
      <c r="G89" s="88">
        <v>3.1</v>
      </c>
      <c r="H89" s="88">
        <v>3</v>
      </c>
      <c r="I89" s="88">
        <v>3</v>
      </c>
      <c r="J89" s="88">
        <v>3</v>
      </c>
      <c r="K89" s="89">
        <v>3</v>
      </c>
      <c r="L89" s="90">
        <v>24.5</v>
      </c>
    </row>
    <row r="90" spans="1:12" ht="16.8">
      <c r="A90" s="86">
        <v>32</v>
      </c>
      <c r="B90" s="75" t="s">
        <v>267</v>
      </c>
      <c r="D90" s="96">
        <v>542.18614139232659</v>
      </c>
      <c r="E90" s="88">
        <v>553.48732273144276</v>
      </c>
      <c r="F90" s="88">
        <v>560.86823912563909</v>
      </c>
      <c r="G90" s="88">
        <v>594.13231378734542</v>
      </c>
      <c r="H90" s="88">
        <v>661.61919483345935</v>
      </c>
      <c r="I90" s="88">
        <v>629.8699596364122</v>
      </c>
      <c r="J90" s="88">
        <v>624.72446923422729</v>
      </c>
      <c r="K90" s="89">
        <v>623.33812984496751</v>
      </c>
      <c r="L90" s="90">
        <v>4790.2257705858201</v>
      </c>
    </row>
    <row r="91" spans="1:12" ht="16.8">
      <c r="A91" s="80"/>
      <c r="B91" s="81" t="s">
        <v>268</v>
      </c>
      <c r="D91" s="91">
        <v>0</v>
      </c>
      <c r="E91" s="92">
        <v>0</v>
      </c>
      <c r="F91" s="92">
        <v>0</v>
      </c>
      <c r="G91" s="92">
        <v>0</v>
      </c>
      <c r="H91" s="92">
        <v>0</v>
      </c>
      <c r="I91" s="97">
        <v>0</v>
      </c>
      <c r="J91" s="92">
        <v>0</v>
      </c>
      <c r="K91" s="93">
        <v>0</v>
      </c>
      <c r="L91" s="95">
        <v>0</v>
      </c>
    </row>
    <row r="92" spans="1:12" ht="16.8">
      <c r="A92" s="86">
        <v>33</v>
      </c>
      <c r="B92" s="75" t="s">
        <v>268</v>
      </c>
      <c r="D92" s="87">
        <v>534.38954985320231</v>
      </c>
      <c r="E92" s="88">
        <v>537.0283375200413</v>
      </c>
      <c r="F92" s="88">
        <v>569.78290301742379</v>
      </c>
      <c r="G92" s="88">
        <v>598.21379572758349</v>
      </c>
      <c r="H92" s="88">
        <v>677.06754779224821</v>
      </c>
      <c r="I92" s="88">
        <v>646.08535887106859</v>
      </c>
      <c r="J92" s="88">
        <v>640.65821830959851</v>
      </c>
      <c r="K92" s="89">
        <v>638.53235279274963</v>
      </c>
      <c r="L92" s="90">
        <v>4841.7580638839163</v>
      </c>
    </row>
    <row r="93" spans="1:12" ht="16.8">
      <c r="A93" s="86">
        <v>34</v>
      </c>
      <c r="B93" s="75" t="s">
        <v>269</v>
      </c>
      <c r="D93" s="87">
        <v>533.21780050947348</v>
      </c>
      <c r="E93" s="88">
        <v>545.59934143510225</v>
      </c>
      <c r="F93" s="88">
        <v>569.01836260740231</v>
      </c>
      <c r="G93" s="88">
        <v>601.54260576120225</v>
      </c>
      <c r="H93" s="88">
        <v>678.42432194190053</v>
      </c>
      <c r="I93" s="88">
        <v>646.41394359043636</v>
      </c>
      <c r="J93" s="88">
        <v>641.15737199261594</v>
      </c>
      <c r="K93" s="89">
        <v>639.70344022835093</v>
      </c>
      <c r="L93" s="90">
        <v>4855.0771880664834</v>
      </c>
    </row>
    <row r="94" spans="1:12" ht="16.8">
      <c r="A94" s="80"/>
      <c r="B94" s="81" t="s">
        <v>270</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8">
      <c r="A99" s="86">
        <v>39</v>
      </c>
      <c r="B99" s="98">
        <v>43190</v>
      </c>
      <c r="D99" s="96">
        <v>0</v>
      </c>
      <c r="E99" s="88">
        <v>0</v>
      </c>
      <c r="F99" s="88">
        <v>0</v>
      </c>
      <c r="G99" s="88">
        <v>0</v>
      </c>
      <c r="H99" s="88">
        <v>0</v>
      </c>
      <c r="I99" s="88">
        <v>0</v>
      </c>
      <c r="J99" s="88">
        <v>0</v>
      </c>
      <c r="K99" s="89">
        <v>0</v>
      </c>
      <c r="L99" s="90">
        <v>0</v>
      </c>
    </row>
    <row r="100" spans="1:12" ht="16.8">
      <c r="A100" s="86">
        <v>40</v>
      </c>
      <c r="B100" s="98">
        <v>43555</v>
      </c>
      <c r="D100" s="96">
        <v>0</v>
      </c>
      <c r="E100" s="88">
        <v>0</v>
      </c>
      <c r="F100" s="88">
        <v>0</v>
      </c>
      <c r="G100" s="88">
        <v>0</v>
      </c>
      <c r="H100" s="88">
        <v>0</v>
      </c>
      <c r="I100" s="88">
        <v>0</v>
      </c>
      <c r="J100" s="88">
        <v>0</v>
      </c>
      <c r="K100" s="89">
        <v>0</v>
      </c>
      <c r="L100" s="90">
        <v>0</v>
      </c>
    </row>
    <row r="101" spans="1:12" ht="16.8">
      <c r="A101" s="86">
        <v>41</v>
      </c>
      <c r="B101" s="98">
        <v>43921</v>
      </c>
      <c r="D101" s="96">
        <v>0</v>
      </c>
      <c r="E101" s="88">
        <v>0</v>
      </c>
      <c r="F101" s="88">
        <v>0</v>
      </c>
      <c r="G101" s="88">
        <v>0</v>
      </c>
      <c r="H101" s="88">
        <v>0</v>
      </c>
      <c r="I101" s="88">
        <v>0</v>
      </c>
      <c r="J101" s="88">
        <v>0</v>
      </c>
      <c r="K101" s="89">
        <v>0</v>
      </c>
      <c r="L101" s="90">
        <v>0</v>
      </c>
    </row>
    <row r="102" spans="1:12" ht="16.8">
      <c r="A102" s="86">
        <v>42</v>
      </c>
      <c r="B102" s="98">
        <v>44286</v>
      </c>
      <c r="D102" s="96">
        <v>0</v>
      </c>
      <c r="E102" s="88">
        <v>0</v>
      </c>
      <c r="F102" s="88">
        <v>0</v>
      </c>
      <c r="G102" s="88">
        <v>0</v>
      </c>
      <c r="H102" s="88">
        <v>0</v>
      </c>
      <c r="I102" s="88">
        <v>0</v>
      </c>
      <c r="J102" s="88">
        <v>0</v>
      </c>
      <c r="K102" s="89">
        <v>0</v>
      </c>
      <c r="L102" s="90">
        <v>0</v>
      </c>
    </row>
    <row r="103" spans="1:12" ht="16.8">
      <c r="A103" s="80"/>
      <c r="B103" s="81" t="s">
        <v>271</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8">
      <c r="A108" s="86">
        <v>47</v>
      </c>
      <c r="B108" s="98">
        <v>43190</v>
      </c>
      <c r="D108" s="96">
        <v>0</v>
      </c>
      <c r="E108" s="88">
        <v>0</v>
      </c>
      <c r="F108" s="88">
        <v>0</v>
      </c>
      <c r="G108" s="88">
        <v>0</v>
      </c>
      <c r="H108" s="88">
        <v>0</v>
      </c>
      <c r="I108" s="88">
        <v>0</v>
      </c>
      <c r="J108" s="88">
        <v>0</v>
      </c>
      <c r="K108" s="89">
        <v>0</v>
      </c>
      <c r="L108" s="90">
        <v>0</v>
      </c>
    </row>
    <row r="109" spans="1:12" ht="16.8">
      <c r="A109" s="86">
        <v>48</v>
      </c>
      <c r="B109" s="98">
        <v>43555</v>
      </c>
      <c r="D109" s="96">
        <v>0</v>
      </c>
      <c r="E109" s="88">
        <v>0</v>
      </c>
      <c r="F109" s="88">
        <v>0</v>
      </c>
      <c r="G109" s="88">
        <v>0</v>
      </c>
      <c r="H109" s="88">
        <v>0</v>
      </c>
      <c r="I109" s="88">
        <v>0</v>
      </c>
      <c r="J109" s="88">
        <v>0</v>
      </c>
      <c r="K109" s="89">
        <v>0</v>
      </c>
      <c r="L109" s="90">
        <v>0</v>
      </c>
    </row>
    <row r="110" spans="1:12" ht="16.8">
      <c r="A110" s="86">
        <v>49</v>
      </c>
      <c r="B110" s="98">
        <v>43921</v>
      </c>
      <c r="D110" s="96">
        <v>0</v>
      </c>
      <c r="E110" s="88">
        <v>0</v>
      </c>
      <c r="F110" s="88">
        <v>0</v>
      </c>
      <c r="G110" s="88">
        <v>0</v>
      </c>
      <c r="H110" s="88">
        <v>0</v>
      </c>
      <c r="I110" s="88">
        <v>0</v>
      </c>
      <c r="J110" s="88">
        <v>0</v>
      </c>
      <c r="K110" s="89">
        <v>0</v>
      </c>
      <c r="L110" s="90">
        <v>0</v>
      </c>
    </row>
    <row r="111" spans="1:12" ht="16.8">
      <c r="A111" s="86">
        <v>50</v>
      </c>
      <c r="B111" s="98">
        <v>44286</v>
      </c>
      <c r="D111" s="96">
        <v>0</v>
      </c>
      <c r="E111" s="88">
        <v>0</v>
      </c>
      <c r="F111" s="88">
        <v>0</v>
      </c>
      <c r="G111" s="88">
        <v>0</v>
      </c>
      <c r="H111" s="88">
        <v>0</v>
      </c>
      <c r="I111" s="88">
        <v>0</v>
      </c>
      <c r="J111" s="88">
        <v>0</v>
      </c>
      <c r="K111" s="89">
        <v>0</v>
      </c>
      <c r="L111" s="90">
        <v>0</v>
      </c>
    </row>
    <row r="112" spans="1:12" ht="16.8">
      <c r="A112" s="80"/>
      <c r="B112" s="81" t="s">
        <v>272</v>
      </c>
      <c r="D112" s="91">
        <v>0</v>
      </c>
      <c r="E112" s="92">
        <v>0</v>
      </c>
      <c r="F112" s="92">
        <v>0</v>
      </c>
      <c r="G112" s="92">
        <v>0</v>
      </c>
      <c r="H112" s="92">
        <v>0</v>
      </c>
      <c r="I112" s="97">
        <v>0</v>
      </c>
      <c r="J112" s="92">
        <v>0</v>
      </c>
      <c r="K112" s="93">
        <v>0</v>
      </c>
      <c r="L112" s="95">
        <v>0</v>
      </c>
    </row>
    <row r="113" spans="1:12" ht="16.8">
      <c r="A113" s="86">
        <v>51</v>
      </c>
      <c r="B113" s="75" t="s">
        <v>273</v>
      </c>
      <c r="D113" s="87">
        <v>4193.643560220672</v>
      </c>
      <c r="E113" s="88">
        <v>4222.9939093904959</v>
      </c>
      <c r="F113" s="88">
        <v>4217.6089706597486</v>
      </c>
      <c r="G113" s="88">
        <v>4247.8753974452375</v>
      </c>
      <c r="H113" s="88">
        <v>4765.5474685194677</v>
      </c>
      <c r="I113" s="88">
        <v>4868.2788659587641</v>
      </c>
      <c r="J113" s="88">
        <v>4874.9884345882238</v>
      </c>
      <c r="K113" s="89">
        <v>4835.3075135198578</v>
      </c>
      <c r="L113" s="90">
        <v>36226.244120302465</v>
      </c>
    </row>
    <row r="114" spans="1:12" ht="16.8">
      <c r="A114" s="86">
        <v>52</v>
      </c>
      <c r="B114" s="75" t="s">
        <v>26</v>
      </c>
      <c r="D114" s="99">
        <v>0.625</v>
      </c>
      <c r="E114" s="100">
        <v>0.625</v>
      </c>
      <c r="F114" s="100">
        <v>0.625</v>
      </c>
      <c r="G114" s="100">
        <v>0.625</v>
      </c>
      <c r="H114" s="100">
        <v>0.625</v>
      </c>
      <c r="I114" s="100">
        <v>0.625</v>
      </c>
      <c r="J114" s="100">
        <v>0.625</v>
      </c>
      <c r="K114" s="101">
        <v>0.625</v>
      </c>
      <c r="L114" s="102">
        <v>0.625</v>
      </c>
    </row>
    <row r="115" spans="1:12" ht="16.8">
      <c r="A115" s="86">
        <v>53</v>
      </c>
      <c r="B115" s="75" t="s">
        <v>274</v>
      </c>
      <c r="D115" s="87">
        <v>1572.6163350827519</v>
      </c>
      <c r="E115" s="88">
        <v>1583.622716021436</v>
      </c>
      <c r="F115" s="88">
        <v>1581.6033639974057</v>
      </c>
      <c r="G115" s="88">
        <v>1592.9532740419641</v>
      </c>
      <c r="H115" s="88">
        <v>1787.0803006948004</v>
      </c>
      <c r="I115" s="88">
        <v>1825.6045747345365</v>
      </c>
      <c r="J115" s="88">
        <v>1828.1206629705839</v>
      </c>
      <c r="K115" s="89">
        <v>1813.2403175699467</v>
      </c>
      <c r="L115" s="90">
        <v>13584.841545113424</v>
      </c>
    </row>
    <row r="116" spans="1:12" ht="16.8">
      <c r="A116" s="86">
        <v>54</v>
      </c>
      <c r="B116" s="75" t="s">
        <v>275</v>
      </c>
      <c r="D116" s="87">
        <v>76.533994974027266</v>
      </c>
      <c r="E116" s="88">
        <v>71.790896459638446</v>
      </c>
      <c r="F116" s="88">
        <v>67.21814296988974</v>
      </c>
      <c r="G116" s="88">
        <v>63.187146536997901</v>
      </c>
      <c r="H116" s="88">
        <v>70.887518594227075</v>
      </c>
      <c r="I116" s="88">
        <v>72.415648131136606</v>
      </c>
      <c r="J116" s="88">
        <v>72.515452964499829</v>
      </c>
      <c r="K116" s="89">
        <v>71.92519926360788</v>
      </c>
      <c r="L116" s="90">
        <v>566.4739998940247</v>
      </c>
    </row>
    <row r="117" spans="1:12" ht="17.399999999999999" thickBot="1">
      <c r="A117" s="103">
        <v>55</v>
      </c>
      <c r="B117" s="104" t="s">
        <v>276</v>
      </c>
      <c r="D117" s="105">
        <v>106.93791078562712</v>
      </c>
      <c r="E117" s="106">
        <v>107.68634468945766</v>
      </c>
      <c r="F117" s="106">
        <v>107.5490287518236</v>
      </c>
      <c r="G117" s="106">
        <v>108.32082263485357</v>
      </c>
      <c r="H117" s="106">
        <v>121.52146044724644</v>
      </c>
      <c r="I117" s="106">
        <v>124.14111108194851</v>
      </c>
      <c r="J117" s="106">
        <v>124.31220508199972</v>
      </c>
      <c r="K117" s="107">
        <v>123.30034159475639</v>
      </c>
      <c r="L117" s="108">
        <v>923.76922506771302</v>
      </c>
    </row>
    <row r="118" spans="1:12">
      <c r="D118" s="53"/>
      <c r="E118" s="53"/>
      <c r="F118" s="53"/>
      <c r="G118" s="53"/>
      <c r="H118" s="53"/>
      <c r="I118" s="53"/>
      <c r="J118" s="53"/>
      <c r="K118" s="53"/>
    </row>
    <row r="119" spans="1:12" ht="16.8">
      <c r="B119" s="75" t="s">
        <v>277</v>
      </c>
      <c r="D119" s="96">
        <v>94.224999999999994</v>
      </c>
      <c r="E119" s="88">
        <v>87.484999999999999</v>
      </c>
      <c r="F119" s="88">
        <v>79.322999999999993</v>
      </c>
      <c r="G119" s="88">
        <v>58.722999999999999</v>
      </c>
      <c r="H119" s="88">
        <v>3.3000000000000002E-2</v>
      </c>
      <c r="I119" s="88">
        <v>3.3000000000000002E-2</v>
      </c>
      <c r="J119" s="88">
        <v>0</v>
      </c>
      <c r="K119" s="88">
        <v>0</v>
      </c>
      <c r="L119" s="172">
        <v>319.822</v>
      </c>
    </row>
    <row r="120" spans="1:12">
      <c r="D120" s="53"/>
      <c r="E120" s="53"/>
      <c r="F120" s="53"/>
      <c r="G120" s="53"/>
      <c r="H120" s="53"/>
      <c r="I120" s="53"/>
      <c r="J120" s="53"/>
      <c r="K120" s="53"/>
    </row>
    <row r="121" spans="1:12" ht="16.8">
      <c r="B121" s="213" t="s">
        <v>278</v>
      </c>
      <c r="D121" s="53">
        <v>59.712604450652591</v>
      </c>
      <c r="E121" s="53">
        <v>60.944566094000621</v>
      </c>
      <c r="F121" s="53">
        <v>69.358391105946623</v>
      </c>
      <c r="G121" s="53">
        <v>93.907421891247139</v>
      </c>
      <c r="H121" s="53">
        <v>109.46147793559663</v>
      </c>
      <c r="I121" s="53">
        <v>74.998413516027682</v>
      </c>
      <c r="J121" s="53">
        <v>65.089296911713703</v>
      </c>
      <c r="K121" s="53">
        <v>60.038704349459636</v>
      </c>
    </row>
    <row r="122" spans="1:12">
      <c r="B122" t="s">
        <v>279</v>
      </c>
      <c r="D122" s="53">
        <v>108.01943052309063</v>
      </c>
      <c r="E122" s="53">
        <v>110.24803529364156</v>
      </c>
      <c r="F122" s="53">
        <v>125.46855020289223</v>
      </c>
      <c r="G122" s="53">
        <v>169.87747106169431</v>
      </c>
      <c r="H122" s="53">
        <v>198.01458368124787</v>
      </c>
      <c r="I122" s="53">
        <v>135.67128737169054</v>
      </c>
      <c r="J122" s="53">
        <v>117.74580677287535</v>
      </c>
      <c r="K122" s="53">
        <v>108.60934157598879</v>
      </c>
    </row>
    <row r="123" spans="1:12" ht="16.8">
      <c r="B123" s="213" t="s">
        <v>280</v>
      </c>
      <c r="D123" s="53">
        <v>3.1800223674576458</v>
      </c>
      <c r="E123" s="53">
        <v>2.2205462590902698</v>
      </c>
      <c r="F123" s="53">
        <v>1.0751052755971937</v>
      </c>
      <c r="G123" s="53">
        <v>1.2661992776253896</v>
      </c>
      <c r="H123" s="53">
        <v>3.2025393538313374</v>
      </c>
      <c r="I123" s="53">
        <v>3.2679532321837392</v>
      </c>
      <c r="J123" s="53">
        <v>2.0504333599618434</v>
      </c>
      <c r="K123" s="53">
        <v>0.64276664548145401</v>
      </c>
    </row>
    <row r="124" spans="1:12">
      <c r="B124" t="s">
        <v>281</v>
      </c>
      <c r="D124" s="53">
        <v>28.620201307118801</v>
      </c>
      <c r="E124" s="53">
        <v>19.984916331812443</v>
      </c>
      <c r="F124" s="53">
        <v>9.6759474803747523</v>
      </c>
      <c r="G124" s="53">
        <v>11.395793498628507</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282</v>
      </c>
      <c r="D126" s="53">
        <v>0</v>
      </c>
      <c r="E126" s="53">
        <v>0</v>
      </c>
      <c r="F126" s="53">
        <v>114.43672637584547</v>
      </c>
      <c r="G126" s="53">
        <v>123.96977718673423</v>
      </c>
      <c r="H126" s="53">
        <v>138.27838395379189</v>
      </c>
      <c r="I126" s="53">
        <v>117.50342084599842</v>
      </c>
      <c r="J126" s="53">
        <v>101.87556011564801</v>
      </c>
      <c r="K126" s="53">
        <v>91.157975802007329</v>
      </c>
    </row>
    <row r="127" spans="1:12">
      <c r="B127" t="s">
        <v>283</v>
      </c>
      <c r="D127" s="53">
        <v>0</v>
      </c>
      <c r="E127" s="53">
        <v>0</v>
      </c>
      <c r="F127" s="53">
        <v>40.739474589800984</v>
      </c>
      <c r="G127" s="53">
        <v>44.133240678477385</v>
      </c>
      <c r="H127" s="53">
        <v>49.227104687549911</v>
      </c>
      <c r="I127" s="53">
        <v>41.831217821175436</v>
      </c>
      <c r="J127" s="53">
        <v>36.267699401170688</v>
      </c>
      <c r="K127" s="53">
        <v>32.452239385514609</v>
      </c>
    </row>
    <row r="128" spans="1:12">
      <c r="B128" t="s">
        <v>284</v>
      </c>
      <c r="D128" s="53">
        <f t="shared" ref="D128:K128" si="19">D126-D127</f>
        <v>0</v>
      </c>
      <c r="E128" s="53">
        <f t="shared" si="19"/>
        <v>0</v>
      </c>
      <c r="F128" s="53">
        <f t="shared" si="19"/>
        <v>73.69725178604449</v>
      </c>
      <c r="G128" s="53">
        <f t="shared" si="19"/>
        <v>79.836536508256842</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430</v>
      </c>
      <c r="D130" s="196">
        <v>308.75273694375045</v>
      </c>
      <c r="E130" s="196">
        <v>313.89720450059929</v>
      </c>
      <c r="F130" s="196">
        <v>330.26456177636072</v>
      </c>
      <c r="G130" s="196">
        <v>376.83616903024597</v>
      </c>
      <c r="H130" s="196">
        <v>0</v>
      </c>
      <c r="I130" s="196">
        <v>0</v>
      </c>
      <c r="J130" s="196">
        <v>0</v>
      </c>
      <c r="K130" s="196">
        <v>0</v>
      </c>
    </row>
    <row r="131" spans="2:25">
      <c r="B131" t="s">
        <v>206</v>
      </c>
      <c r="D131" s="196">
        <v>14.16619923431</v>
      </c>
      <c r="E131" s="196">
        <v>26.016783731295874</v>
      </c>
      <c r="F131" s="196">
        <v>69.473671529071126</v>
      </c>
      <c r="G131" s="196">
        <v>108.4200133736822</v>
      </c>
      <c r="H131" s="196">
        <v>69.349803718573156</v>
      </c>
      <c r="I131" s="196">
        <v>20.779442706835688</v>
      </c>
      <c r="J131" s="196">
        <v>0.81062265305823133</v>
      </c>
      <c r="K131" s="196">
        <v>0</v>
      </c>
    </row>
    <row r="132" spans="2:25" ht="16.8">
      <c r="B132" s="110" t="s">
        <v>287</v>
      </c>
      <c r="D132" s="196">
        <v>7.4327667170082803</v>
      </c>
      <c r="E132" s="196">
        <v>7.7122608119828824</v>
      </c>
      <c r="F132" s="196">
        <v>8.2473634361549806</v>
      </c>
      <c r="G132" s="196">
        <v>9.4340419520691015</v>
      </c>
      <c r="H132" s="196">
        <v>0</v>
      </c>
      <c r="I132" s="196">
        <v>0</v>
      </c>
      <c r="J132" s="196">
        <v>0</v>
      </c>
      <c r="K132" s="196">
        <v>0</v>
      </c>
    </row>
    <row r="133" spans="2:25" ht="16.8">
      <c r="B133" s="110" t="s">
        <v>288</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289</v>
      </c>
      <c r="D135" s="53">
        <f>D61+D130</f>
        <v>4562.0597731988728</v>
      </c>
      <c r="E135" s="53">
        <f>D138</f>
        <v>4630.3278823304217</v>
      </c>
      <c r="F135" s="53">
        <f t="shared" ref="F135:K135" si="21">E138</f>
        <v>4637.2650468615057</v>
      </c>
      <c r="G135" s="53">
        <f t="shared" si="21"/>
        <v>4690.7713369463418</v>
      </c>
      <c r="H135" s="53">
        <f t="shared" si="21"/>
        <v>4826.478573365328</v>
      </c>
      <c r="I135" s="53">
        <f t="shared" si="21"/>
        <v>4963.9150530755032</v>
      </c>
      <c r="J135" s="53">
        <f t="shared" si="21"/>
        <v>4986.1175697071067</v>
      </c>
      <c r="K135" s="53">
        <f t="shared" si="21"/>
        <v>4957.010741338474</v>
      </c>
      <c r="L135" s="53"/>
      <c r="N135" s="53">
        <f t="shared" ref="N135:U135" si="22">D135*N$1</f>
        <v>5323.9237553230851</v>
      </c>
      <c r="O135" s="53">
        <f t="shared" si="22"/>
        <v>5510.0901799732019</v>
      </c>
      <c r="P135" s="53">
        <f t="shared" si="22"/>
        <v>5573.9925863275294</v>
      </c>
      <c r="Q135" s="53">
        <f t="shared" si="22"/>
        <v>5760.2672017701079</v>
      </c>
      <c r="R135" s="53">
        <f t="shared" si="22"/>
        <v>6148.9337024674278</v>
      </c>
      <c r="S135" s="53">
        <f t="shared" si="22"/>
        <v>6517.6204646881351</v>
      </c>
      <c r="T135" s="53">
        <f t="shared" si="22"/>
        <v>6726.2726015348871</v>
      </c>
      <c r="U135" s="53">
        <f t="shared" si="22"/>
        <v>6880.3309089778013</v>
      </c>
    </row>
    <row r="136" spans="2:25">
      <c r="B136" t="str">
        <f>B62</f>
        <v>RAV additions (after disposals)</v>
      </c>
      <c r="D136" s="53">
        <f>D62+D131</f>
        <v>214.47944766878163</v>
      </c>
      <c r="E136" s="53">
        <f t="shared" ref="E136:K136" si="23">E62+E131</f>
        <v>156.24197737664522</v>
      </c>
      <c r="F136" s="53">
        <f t="shared" si="23"/>
        <v>204.61041123223345</v>
      </c>
      <c r="G136" s="53">
        <f t="shared" si="23"/>
        <v>289.68551995390033</v>
      </c>
      <c r="H136" s="53">
        <f t="shared" si="23"/>
        <v>296.17948360419837</v>
      </c>
      <c r="I136" s="53">
        <f t="shared" si="23"/>
        <v>185.85455118807522</v>
      </c>
      <c r="J136" s="53">
        <f t="shared" si="23"/>
        <v>137.00257168548552</v>
      </c>
      <c r="K136" s="53">
        <f t="shared" si="23"/>
        <v>114.38648340521722</v>
      </c>
    </row>
    <row r="137" spans="2:25">
      <c r="B137" t="str">
        <f>B63</f>
        <v>Depreciation</v>
      </c>
      <c r="D137" s="53">
        <f>D63-D132</f>
        <v>-146.2113385372329</v>
      </c>
      <c r="E137" s="53">
        <f t="shared" ref="E137:K137" si="24">E63-E132</f>
        <v>-149.30481284556126</v>
      </c>
      <c r="F137" s="53">
        <f t="shared" si="24"/>
        <v>-151.10412114739773</v>
      </c>
      <c r="G137" s="53">
        <f t="shared" si="24"/>
        <v>-153.97828353491394</v>
      </c>
      <c r="H137" s="53">
        <f t="shared" si="24"/>
        <v>-158.74300389402276</v>
      </c>
      <c r="I137" s="53">
        <f t="shared" si="24"/>
        <v>-163.65203455647151</v>
      </c>
      <c r="J137" s="53">
        <f t="shared" si="24"/>
        <v>-166.10940005411751</v>
      </c>
      <c r="K137" s="53">
        <f t="shared" si="24"/>
        <v>-167.48116600726155</v>
      </c>
    </row>
    <row r="138" spans="2:25">
      <c r="B138" t="str">
        <f>B64</f>
        <v>Closing asset value</v>
      </c>
      <c r="D138" s="53">
        <f>SUM(D135:D137)</f>
        <v>4630.3278823304217</v>
      </c>
      <c r="E138" s="53">
        <f t="shared" ref="E138:K138" si="25">SUM(E135:E137)</f>
        <v>4637.2650468615057</v>
      </c>
      <c r="F138" s="53">
        <f t="shared" si="25"/>
        <v>4690.7713369463418</v>
      </c>
      <c r="G138" s="53">
        <f t="shared" si="25"/>
        <v>4826.478573365328</v>
      </c>
      <c r="H138" s="53">
        <f t="shared" si="25"/>
        <v>4963.9150530755032</v>
      </c>
      <c r="I138" s="53">
        <f t="shared" si="25"/>
        <v>4986.1175697071067</v>
      </c>
      <c r="J138" s="53">
        <f t="shared" si="25"/>
        <v>4957.010741338474</v>
      </c>
      <c r="K138" s="53">
        <f t="shared" si="25"/>
        <v>4903.9160587364295</v>
      </c>
      <c r="N138" s="53">
        <f t="shared" ref="N138:U138" si="26">D138*N$1</f>
        <v>5403.5926386796027</v>
      </c>
      <c r="O138" s="53">
        <f t="shared" si="26"/>
        <v>5518.3454057651916</v>
      </c>
      <c r="P138" s="53">
        <f t="shared" si="26"/>
        <v>5638.3071470095028</v>
      </c>
      <c r="Q138" s="53">
        <f t="shared" si="26"/>
        <v>5926.915688092623</v>
      </c>
      <c r="R138" s="53">
        <f t="shared" si="26"/>
        <v>6324.0277776181911</v>
      </c>
      <c r="S138" s="53">
        <f t="shared" si="26"/>
        <v>6546.7723690254306</v>
      </c>
      <c r="T138" s="53">
        <f t="shared" si="26"/>
        <v>6687.0074900656009</v>
      </c>
      <c r="U138" s="53">
        <f t="shared" si="26"/>
        <v>6806.6354895261638</v>
      </c>
      <c r="V138" s="53"/>
      <c r="W138" s="53"/>
      <c r="X138" s="53"/>
      <c r="Y138" s="53"/>
    </row>
    <row r="139" spans="2:25">
      <c r="B139" t="s">
        <v>201</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290</v>
      </c>
      <c r="D141" s="196">
        <v>2.6999999999999997</v>
      </c>
      <c r="E141" s="196">
        <v>2.6</v>
      </c>
      <c r="F141" s="196">
        <v>2.6</v>
      </c>
      <c r="G141" s="196">
        <v>2.6999999999999997</v>
      </c>
      <c r="H141" s="196">
        <v>2.6</v>
      </c>
      <c r="I141" s="196">
        <v>2.6</v>
      </c>
      <c r="J141" s="196">
        <v>2.6999999999999997</v>
      </c>
      <c r="K141" s="196">
        <v>2.6</v>
      </c>
    </row>
    <row r="142" spans="2:25">
      <c r="B142" t="s">
        <v>291</v>
      </c>
      <c r="D142" s="196">
        <v>26.409854043050455</v>
      </c>
      <c r="E142" s="196">
        <v>26.409854043050455</v>
      </c>
      <c r="F142" s="196">
        <v>49.377503040264713</v>
      </c>
      <c r="G142" s="196">
        <v>49.377503040264713</v>
      </c>
      <c r="H142" s="196">
        <v>49.377503040264713</v>
      </c>
      <c r="I142" s="196">
        <v>49.377503040264713</v>
      </c>
      <c r="J142" s="196">
        <v>49.377503040264713</v>
      </c>
      <c r="K142" s="196">
        <v>49.377503040264713</v>
      </c>
    </row>
    <row r="143" spans="2:25">
      <c r="B143" t="s">
        <v>292</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51.977503040264715</v>
      </c>
      <c r="J143" s="53">
        <f t="shared" si="28"/>
        <v>52.077503040264716</v>
      </c>
      <c r="K143" s="53">
        <f t="shared" si="28"/>
        <v>51.977503040264715</v>
      </c>
    </row>
    <row r="144" spans="2:25">
      <c r="B144" t="s">
        <v>293</v>
      </c>
      <c r="D144" s="196">
        <v>11.622445302613123</v>
      </c>
      <c r="E144" s="196">
        <v>12.116399227974181</v>
      </c>
      <c r="F144" s="196">
        <v>12.618472520983362</v>
      </c>
      <c r="G144" s="196">
        <v>13.127943349018066</v>
      </c>
      <c r="H144" s="196">
        <v>13.657984061734671</v>
      </c>
      <c r="I144" s="196">
        <v>14.209425168227209</v>
      </c>
      <c r="J144" s="196">
        <v>14.783130709394383</v>
      </c>
      <c r="K144" s="196">
        <v>15.379999611786182</v>
      </c>
    </row>
    <row r="145" spans="2:12">
      <c r="B145" s="38" t="s">
        <v>294</v>
      </c>
      <c r="C145" s="38"/>
      <c r="D145" s="58">
        <f t="shared" ref="D145:K145" si="29">D143+D144</f>
        <v>40.732299345663577</v>
      </c>
      <c r="E145" s="58">
        <f t="shared" si="29"/>
        <v>41.126253271024638</v>
      </c>
      <c r="F145" s="58">
        <f t="shared" si="29"/>
        <v>64.595975561248082</v>
      </c>
      <c r="G145" s="58">
        <f t="shared" si="29"/>
        <v>65.205446389282784</v>
      </c>
      <c r="H145" s="58">
        <f t="shared" si="29"/>
        <v>65.635487101999388</v>
      </c>
      <c r="I145" s="58">
        <f t="shared" si="29"/>
        <v>66.186928208491921</v>
      </c>
      <c r="J145" s="58">
        <f t="shared" si="29"/>
        <v>66.860633749659101</v>
      </c>
      <c r="K145" s="58">
        <f t="shared" si="29"/>
        <v>67.357502652050897</v>
      </c>
    </row>
    <row r="146" spans="2:12">
      <c r="D146" s="53"/>
      <c r="E146" s="53"/>
      <c r="F146" s="53"/>
      <c r="G146" s="53"/>
      <c r="H146" s="53"/>
      <c r="I146" s="53"/>
      <c r="J146" s="53"/>
      <c r="K146" s="53"/>
    </row>
    <row r="147" spans="2:12">
      <c r="B147" t="s">
        <v>295</v>
      </c>
      <c r="D147" s="196">
        <v>-17.8</v>
      </c>
      <c r="E147" s="196">
        <v>-18.2</v>
      </c>
      <c r="F147" s="196">
        <v>-18.399999999999999</v>
      </c>
      <c r="G147" s="196">
        <v>-18.5</v>
      </c>
      <c r="H147" s="196">
        <v>0</v>
      </c>
      <c r="I147" s="196">
        <v>0</v>
      </c>
      <c r="J147" s="196">
        <v>0</v>
      </c>
      <c r="K147" s="196">
        <v>0</v>
      </c>
    </row>
    <row r="148" spans="2:12">
      <c r="B148" t="s">
        <v>296</v>
      </c>
      <c r="D148" s="196">
        <v>11.365779169081382</v>
      </c>
      <c r="E148" s="196">
        <v>11.848824783767339</v>
      </c>
      <c r="F148" s="196">
        <v>12.339810460744699</v>
      </c>
      <c r="G148" s="196">
        <v>12.838030308097268</v>
      </c>
      <c r="H148" s="196">
        <v>13.356365781786696</v>
      </c>
      <c r="I148" s="196">
        <v>13.895629050226333</v>
      </c>
      <c r="J148" s="196">
        <v>14.456665073129223</v>
      </c>
      <c r="K148" s="196">
        <v>15.040352925456817</v>
      </c>
    </row>
    <row r="149" spans="2:12">
      <c r="B149" t="s">
        <v>297</v>
      </c>
      <c r="D149" s="53">
        <v>-3.5</v>
      </c>
      <c r="E149" s="53">
        <v>-2.9</v>
      </c>
      <c r="F149" s="53">
        <v>-3</v>
      </c>
      <c r="G149" s="53">
        <v>-3.1</v>
      </c>
      <c r="H149" s="53">
        <v>-3</v>
      </c>
      <c r="I149" s="53">
        <v>-3</v>
      </c>
      <c r="J149" s="53">
        <v>-3</v>
      </c>
      <c r="K149" s="53">
        <v>-3</v>
      </c>
    </row>
    <row r="150" spans="2:12">
      <c r="B150" s="38" t="s">
        <v>298</v>
      </c>
      <c r="D150" s="58">
        <f t="shared" ref="D150:K150" si="30">SUM(D145:D149)</f>
        <v>30.798078514744958</v>
      </c>
      <c r="E150" s="58">
        <f t="shared" si="30"/>
        <v>31.875078054791977</v>
      </c>
      <c r="F150" s="58">
        <f t="shared" si="30"/>
        <v>55.535786021992784</v>
      </c>
      <c r="G150" s="58">
        <f t="shared" si="30"/>
        <v>56.443476697380049</v>
      </c>
      <c r="H150" s="58">
        <f t="shared" si="30"/>
        <v>75.99185288378608</v>
      </c>
      <c r="I150" s="58">
        <f t="shared" si="30"/>
        <v>77.082557258718253</v>
      </c>
      <c r="J150" s="58">
        <f t="shared" si="30"/>
        <v>78.317298822788331</v>
      </c>
      <c r="K150" s="58">
        <f t="shared" si="30"/>
        <v>79.397855577507713</v>
      </c>
    </row>
    <row r="151" spans="2:12">
      <c r="B151" t="s">
        <v>299</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300</v>
      </c>
      <c r="D153" s="53">
        <f t="shared" ref="D153:K153" si="31">SUM(D147:D149,D151)</f>
        <v>-9.9342208309186191</v>
      </c>
      <c r="E153" s="53">
        <f t="shared" si="31"/>
        <v>-9.2511752162326601</v>
      </c>
      <c r="F153" s="53">
        <f t="shared" si="31"/>
        <v>-9.0601895392552994</v>
      </c>
      <c r="G153" s="53">
        <f t="shared" si="31"/>
        <v>-8.7619696919027312</v>
      </c>
      <c r="H153" s="53">
        <f t="shared" si="31"/>
        <v>10.356365781786696</v>
      </c>
      <c r="I153" s="53">
        <f t="shared" si="31"/>
        <v>10.895629050226333</v>
      </c>
      <c r="J153" s="53">
        <f t="shared" si="31"/>
        <v>11.456665073129223</v>
      </c>
      <c r="K153" s="53">
        <f t="shared" si="31"/>
        <v>12.040352925456817</v>
      </c>
    </row>
    <row r="156" spans="2:12" ht="16.8">
      <c r="B156" s="75" t="s">
        <v>247</v>
      </c>
      <c r="D156" s="198">
        <v>53.000554975302876</v>
      </c>
      <c r="E156" s="198">
        <v>66.723372874572476</v>
      </c>
      <c r="F156" s="198">
        <v>79.803296834504636</v>
      </c>
      <c r="G156" s="198">
        <v>91.808967506140561</v>
      </c>
      <c r="H156" s="198">
        <v>101.20520608703535</v>
      </c>
      <c r="I156" s="198">
        <v>106.69641904864562</v>
      </c>
      <c r="J156" s="198">
        <v>107.43994279130052</v>
      </c>
      <c r="K156" s="198">
        <v>106.3580879453189</v>
      </c>
    </row>
    <row r="157" spans="2:12" ht="16.8">
      <c r="B157" s="75" t="s">
        <v>248</v>
      </c>
      <c r="D157" s="198">
        <v>24.267852390112441</v>
      </c>
      <c r="E157" s="198">
        <v>27.091794506505359</v>
      </c>
      <c r="F157" s="198">
        <v>28.318912342542578</v>
      </c>
      <c r="G157" s="198">
        <v>28.668372505992771</v>
      </c>
      <c r="H157" s="198">
        <v>27.411971530421514</v>
      </c>
      <c r="I157" s="198">
        <v>25.265392341568841</v>
      </c>
      <c r="J157" s="198">
        <v>25.396105065855693</v>
      </c>
      <c r="K157" s="198">
        <v>24.829470975539607</v>
      </c>
    </row>
    <row r="158" spans="2:12" ht="16.8">
      <c r="B158" s="75" t="s">
        <v>249</v>
      </c>
      <c r="D158" s="198">
        <v>-10.545034490842841</v>
      </c>
      <c r="E158" s="198">
        <v>-14.01187054657319</v>
      </c>
      <c r="F158" s="198">
        <v>-16.313241670906649</v>
      </c>
      <c r="G158" s="198">
        <v>-19.272133925097986</v>
      </c>
      <c r="H158" s="198">
        <v>-21.920758568811237</v>
      </c>
      <c r="I158" s="198">
        <v>-24.52186859891393</v>
      </c>
      <c r="J158" s="198">
        <v>-26.477959911837317</v>
      </c>
      <c r="K158" s="198">
        <v>-26.631485811857029</v>
      </c>
    </row>
    <row r="159" spans="2:12" ht="16.8">
      <c r="B159" s="75" t="s">
        <v>250</v>
      </c>
      <c r="D159" s="198">
        <v>66.723372874572476</v>
      </c>
      <c r="E159" s="198">
        <v>79.803296834504636</v>
      </c>
      <c r="F159" s="198">
        <v>91.808967506140561</v>
      </c>
      <c r="G159" s="198">
        <v>101.20520608703535</v>
      </c>
      <c r="H159" s="198">
        <v>106.69641904864562</v>
      </c>
      <c r="I159" s="198">
        <v>107.43994279130052</v>
      </c>
      <c r="J159" s="198">
        <v>106.3580879453189</v>
      </c>
      <c r="K159" s="198">
        <v>104.55607310900149</v>
      </c>
    </row>
    <row r="160" spans="2:12" ht="15.6">
      <c r="L160" s="119" t="s">
        <v>301</v>
      </c>
    </row>
    <row r="161" spans="2:21" ht="15.6">
      <c r="B161" t="s">
        <v>289</v>
      </c>
      <c r="D161" s="53">
        <f t="shared" ref="D161:K161" si="32">D135+D156</f>
        <v>4615.060328174176</v>
      </c>
      <c r="E161" s="53">
        <f t="shared" si="32"/>
        <v>4697.051255204994</v>
      </c>
      <c r="F161" s="53">
        <f t="shared" si="32"/>
        <v>4717.0683436960098</v>
      </c>
      <c r="G161" s="53">
        <f t="shared" si="32"/>
        <v>4782.5803044524819</v>
      </c>
      <c r="H161" s="53">
        <f t="shared" si="32"/>
        <v>4927.6837794523635</v>
      </c>
      <c r="I161" s="53">
        <f t="shared" si="32"/>
        <v>5070.6114721241493</v>
      </c>
      <c r="J161" s="53">
        <f t="shared" si="32"/>
        <v>5093.557512498407</v>
      </c>
      <c r="K161" s="53">
        <f t="shared" si="32"/>
        <v>5063.3688292837933</v>
      </c>
      <c r="L161" s="120">
        <f>(K161/D161)^(1/7)-1</f>
        <v>1.3331959687612249E-2</v>
      </c>
      <c r="M161" t="s">
        <v>302</v>
      </c>
      <c r="N161" s="114">
        <f t="shared" ref="N161:U162" si="33">D161*N$1</f>
        <v>5385.7754029792632</v>
      </c>
      <c r="O161" s="109">
        <f t="shared" si="33"/>
        <v>5589.490993693943</v>
      </c>
      <c r="P161" s="109">
        <f t="shared" si="33"/>
        <v>5669.9161491226032</v>
      </c>
      <c r="Q161" s="109">
        <f t="shared" si="33"/>
        <v>5873.0086138676479</v>
      </c>
      <c r="R161" s="109">
        <f t="shared" si="33"/>
        <v>6277.8691350223116</v>
      </c>
      <c r="S161" s="109">
        <f t="shared" si="33"/>
        <v>6657.7128628990076</v>
      </c>
      <c r="T161" s="109">
        <f t="shared" si="33"/>
        <v>6871.209084360351</v>
      </c>
      <c r="U161" s="109">
        <f t="shared" si="33"/>
        <v>7027.9559350459049</v>
      </c>
    </row>
    <row r="162" spans="2:21" ht="15.6">
      <c r="B162" t="s">
        <v>250</v>
      </c>
      <c r="D162" s="53">
        <f t="shared" ref="D162:K162" si="34">D138+D159</f>
        <v>4697.051255204994</v>
      </c>
      <c r="E162" s="53">
        <f t="shared" si="34"/>
        <v>4717.0683436960098</v>
      </c>
      <c r="F162" s="53">
        <f t="shared" si="34"/>
        <v>4782.5803044524819</v>
      </c>
      <c r="G162" s="53">
        <f t="shared" si="34"/>
        <v>4927.6837794523635</v>
      </c>
      <c r="H162" s="53">
        <f t="shared" si="34"/>
        <v>5070.6114721241493</v>
      </c>
      <c r="I162" s="53">
        <f t="shared" si="34"/>
        <v>5093.557512498407</v>
      </c>
      <c r="J162" s="53">
        <f t="shared" si="34"/>
        <v>5063.3688292837933</v>
      </c>
      <c r="K162" s="53">
        <f t="shared" si="34"/>
        <v>5008.4721318454312</v>
      </c>
      <c r="L162" s="121">
        <f>(K162/D162)^(1/7)-1</f>
        <v>9.2130362198414861E-3</v>
      </c>
      <c r="N162" s="109">
        <f t="shared" si="33"/>
        <v>5481.4588148242283</v>
      </c>
      <c r="O162" s="109">
        <f t="shared" si="33"/>
        <v>5613.3113289982512</v>
      </c>
      <c r="P162" s="109">
        <f t="shared" si="33"/>
        <v>5748.661525951883</v>
      </c>
      <c r="Q162" s="109">
        <f t="shared" si="33"/>
        <v>6051.1956811675027</v>
      </c>
      <c r="R162" s="109">
        <f t="shared" si="33"/>
        <v>6459.9590154861662</v>
      </c>
      <c r="S162" s="109">
        <f t="shared" si="33"/>
        <v>6687.841013910408</v>
      </c>
      <c r="T162" s="109">
        <f t="shared" si="33"/>
        <v>6830.4845507038372</v>
      </c>
      <c r="U162" s="114">
        <f t="shared" si="33"/>
        <v>6951.7593190014577</v>
      </c>
    </row>
    <row r="163" spans="2:21">
      <c r="N163" s="109"/>
      <c r="O163" s="109"/>
      <c r="P163" s="109"/>
      <c r="Q163" s="109"/>
      <c r="R163" s="109"/>
      <c r="S163" s="109"/>
      <c r="T163" s="109"/>
      <c r="U163" s="109"/>
    </row>
    <row r="164" spans="2:21">
      <c r="B164" t="s">
        <v>289</v>
      </c>
      <c r="M164" t="s">
        <v>303</v>
      </c>
      <c r="N164" s="115">
        <f>D161*N$3</f>
        <v>5305.0164815467579</v>
      </c>
      <c r="O164" s="109">
        <f t="shared" ref="N164:U165" si="35">E161*O$2</f>
        <v>5596.841701127164</v>
      </c>
      <c r="P164" s="109">
        <f t="shared" si="35"/>
        <v>5708.1409448742243</v>
      </c>
      <c r="Q164" s="109">
        <f t="shared" si="35"/>
        <v>5969.1744600141519</v>
      </c>
      <c r="R164" s="109">
        <f t="shared" si="35"/>
        <v>6355.821392653761</v>
      </c>
      <c r="S164" s="109">
        <f t="shared" si="35"/>
        <v>6699.9752697478543</v>
      </c>
      <c r="T164" s="109">
        <f t="shared" si="35"/>
        <v>6933.3130299124787</v>
      </c>
      <c r="U164" s="109">
        <f t="shared" si="35"/>
        <v>7098.7288932103247</v>
      </c>
    </row>
    <row r="165" spans="2:21">
      <c r="B165" t="s">
        <v>250</v>
      </c>
      <c r="N165" s="109">
        <f t="shared" si="35"/>
        <v>5546.7727166363338</v>
      </c>
      <c r="O165" s="109">
        <f t="shared" si="35"/>
        <v>5620.6933624173234</v>
      </c>
      <c r="P165" s="109">
        <f t="shared" si="35"/>
        <v>5787.4171983278693</v>
      </c>
      <c r="Q165" s="109">
        <f t="shared" si="35"/>
        <v>6150.2791988561175</v>
      </c>
      <c r="R165" s="109">
        <f t="shared" si="35"/>
        <v>6540.1722819039915</v>
      </c>
      <c r="S165" s="109">
        <f t="shared" si="35"/>
        <v>6730.2946708479667</v>
      </c>
      <c r="T165" s="109">
        <f t="shared" si="35"/>
        <v>6892.2204163169336</v>
      </c>
      <c r="U165" s="115">
        <f t="shared" si="35"/>
        <v>7021.7649616093458</v>
      </c>
    </row>
    <row r="166" spans="2:21">
      <c r="D166" s="53"/>
    </row>
    <row r="167" spans="2:21">
      <c r="B167" t="s">
        <v>304</v>
      </c>
      <c r="D167" s="190">
        <f>D63-D132-D168</f>
        <v>-146.2113385372329</v>
      </c>
      <c r="E167" s="190">
        <f t="shared" ref="E167:K167" si="36">E63-E132-E168</f>
        <v>-144.85340732479523</v>
      </c>
      <c r="F167" s="190">
        <f t="shared" si="36"/>
        <v>-143.75882243451284</v>
      </c>
      <c r="G167" s="190">
        <f t="shared" si="36"/>
        <v>-143.62994616195877</v>
      </c>
      <c r="H167" s="190">
        <f t="shared" si="36"/>
        <v>-144.36654415261827</v>
      </c>
      <c r="I167" s="190">
        <f t="shared" si="36"/>
        <v>-144.23491526205314</v>
      </c>
      <c r="J167" s="190">
        <f t="shared" si="36"/>
        <v>-143.02394501567159</v>
      </c>
      <c r="K167" s="190">
        <f t="shared" si="36"/>
        <v>-141.36922321253948</v>
      </c>
    </row>
    <row r="168" spans="2:21">
      <c r="B168" t="s">
        <v>305</v>
      </c>
      <c r="D168" s="190">
        <v>0</v>
      </c>
      <c r="E168" s="190">
        <v>-4.4514055207660359</v>
      </c>
      <c r="F168" s="190">
        <v>-7.3452987128849099</v>
      </c>
      <c r="G168" s="190">
        <v>-10.348337372955184</v>
      </c>
      <c r="H168" s="190">
        <v>-14.376459741404476</v>
      </c>
      <c r="I168" s="190">
        <v>-19.41711929441837</v>
      </c>
      <c r="J168" s="190">
        <v>-23.085455038445915</v>
      </c>
      <c r="K168" s="190">
        <v>-26.111942794722076</v>
      </c>
    </row>
    <row r="171" spans="2:21" ht="16.8">
      <c r="B171" t="s">
        <v>306</v>
      </c>
      <c r="D171" s="201">
        <v>12.577234273857108</v>
      </c>
      <c r="E171" s="201">
        <v>24.079618087744361</v>
      </c>
      <c r="F171" s="201">
        <v>67.51894883370673</v>
      </c>
      <c r="G171" s="201">
        <v>106.4475745022352</v>
      </c>
      <c r="H171" s="201">
        <v>55.417594420676267</v>
      </c>
      <c r="I171" s="201">
        <v>2.3025824270640456</v>
      </c>
      <c r="J171" s="201">
        <v>0</v>
      </c>
      <c r="K171" s="201">
        <v>0</v>
      </c>
    </row>
    <row r="172" spans="2:21" ht="16.8">
      <c r="B172" t="s">
        <v>307</v>
      </c>
      <c r="D172" s="201">
        <v>0.82105844574251929</v>
      </c>
      <c r="E172" s="201">
        <v>0</v>
      </c>
      <c r="F172" s="201">
        <v>0</v>
      </c>
      <c r="G172" s="201">
        <v>0</v>
      </c>
      <c r="H172" s="201">
        <v>0</v>
      </c>
      <c r="I172" s="201">
        <v>0</v>
      </c>
      <c r="J172" s="201">
        <v>0</v>
      </c>
      <c r="K172" s="201">
        <v>0</v>
      </c>
    </row>
    <row r="173" spans="2:21" ht="16.8">
      <c r="B173" t="s">
        <v>308</v>
      </c>
      <c r="D173" s="201">
        <v>0.7679065147103713</v>
      </c>
      <c r="E173" s="201">
        <v>1.9371656435515117</v>
      </c>
      <c r="F173" s="201">
        <v>1.9547226953643968</v>
      </c>
      <c r="G173" s="201">
        <v>1.9724388714470038</v>
      </c>
      <c r="H173" s="201">
        <v>13.932209297896886</v>
      </c>
      <c r="I173" s="201">
        <v>18.476860279771643</v>
      </c>
      <c r="J173" s="201">
        <v>0.81062265305823133</v>
      </c>
      <c r="K173" s="201">
        <v>0</v>
      </c>
    </row>
    <row r="174" spans="2:21">
      <c r="D174" s="173">
        <f>SUM(D171:D173)</f>
        <v>14.16619923431</v>
      </c>
      <c r="E174" s="173">
        <f t="shared" ref="E174:K174" si="37">SUM(E171:E173)</f>
        <v>26.016783731295874</v>
      </c>
      <c r="F174" s="173">
        <f t="shared" si="37"/>
        <v>69.473671529071126</v>
      </c>
      <c r="G174" s="173">
        <f t="shared" si="37"/>
        <v>108.4200133736822</v>
      </c>
      <c r="H174" s="173">
        <f t="shared" si="37"/>
        <v>69.349803718573156</v>
      </c>
      <c r="I174" s="173">
        <f t="shared" si="37"/>
        <v>20.779442706835688</v>
      </c>
      <c r="J174" s="173">
        <f t="shared" si="37"/>
        <v>0.81062265305823133</v>
      </c>
      <c r="K174" s="173">
        <f t="shared" si="37"/>
        <v>0</v>
      </c>
    </row>
    <row r="175" spans="2:21">
      <c r="D175" s="173"/>
      <c r="E175" s="173"/>
      <c r="F175" s="173"/>
      <c r="G175" s="173"/>
      <c r="H175" s="173"/>
      <c r="I175" s="173"/>
      <c r="J175" s="173"/>
      <c r="K175" s="173"/>
    </row>
    <row r="176" spans="2:21" s="195" customFormat="1">
      <c r="D176" s="202"/>
      <c r="E176" s="202"/>
      <c r="F176" s="202"/>
      <c r="G176" s="202"/>
      <c r="H176" s="202"/>
      <c r="I176" s="202"/>
      <c r="J176" s="202"/>
      <c r="K176" s="202"/>
    </row>
    <row r="177" spans="1:13">
      <c r="D177" s="173"/>
      <c r="E177" s="173"/>
      <c r="F177" s="173"/>
      <c r="G177" s="173"/>
      <c r="H177" s="173"/>
      <c r="I177" s="173"/>
      <c r="J177" s="173"/>
      <c r="K177" s="173"/>
    </row>
    <row r="178" spans="1:13" ht="16.8">
      <c r="A178" s="86">
        <v>1</v>
      </c>
      <c r="B178" s="75" t="s">
        <v>241</v>
      </c>
      <c r="D178" s="87">
        <f>D187</f>
        <v>27.22290743009501</v>
      </c>
      <c r="E178" s="88">
        <f t="shared" ref="E178:K178" si="38">E187</f>
        <v>27.091794506505359</v>
      </c>
      <c r="F178" s="88">
        <f t="shared" si="38"/>
        <v>28.318912342542578</v>
      </c>
      <c r="G178" s="88">
        <f t="shared" si="38"/>
        <v>28.668372505992771</v>
      </c>
      <c r="H178" s="88">
        <f t="shared" si="38"/>
        <v>27.411971530421514</v>
      </c>
      <c r="I178" s="88">
        <f t="shared" si="38"/>
        <v>25.265392341568841</v>
      </c>
      <c r="J178" s="88">
        <f t="shared" si="38"/>
        <v>25.396105065855693</v>
      </c>
      <c r="K178" s="89">
        <f t="shared" si="38"/>
        <v>24.829470975539607</v>
      </c>
    </row>
    <row r="179" spans="1:13" ht="16.8">
      <c r="A179" s="86">
        <f>+A178+1</f>
        <v>2</v>
      </c>
      <c r="B179" s="75" t="s">
        <v>242</v>
      </c>
      <c r="D179" s="87">
        <f t="shared" ref="D179:K180" si="39">D188</f>
        <v>45.565615110265981</v>
      </c>
      <c r="E179" s="88">
        <f t="shared" si="39"/>
        <v>45.346158719444794</v>
      </c>
      <c r="F179" s="88">
        <f t="shared" si="39"/>
        <v>47.400104616127415</v>
      </c>
      <c r="G179" s="88">
        <f t="shared" si="39"/>
        <v>47.985029916447793</v>
      </c>
      <c r="H179" s="88">
        <f t="shared" si="39"/>
        <v>45.882069994769701</v>
      </c>
      <c r="I179" s="88">
        <f t="shared" si="39"/>
        <v>42.289132635887952</v>
      </c>
      <c r="J179" s="88">
        <f t="shared" si="39"/>
        <v>42.507919174400172</v>
      </c>
      <c r="K179" s="89">
        <f t="shared" si="39"/>
        <v>41.559488852106398</v>
      </c>
    </row>
    <row r="180" spans="1:13" ht="16.8">
      <c r="A180" s="86">
        <f>+A179+1</f>
        <v>3</v>
      </c>
      <c r="B180" s="75" t="s">
        <v>243</v>
      </c>
      <c r="D180" s="87">
        <f t="shared" si="39"/>
        <v>72.788522540360987</v>
      </c>
      <c r="E180" s="88">
        <f t="shared" si="39"/>
        <v>72.437953225950153</v>
      </c>
      <c r="F180" s="88">
        <f t="shared" si="39"/>
        <v>75.719016958669997</v>
      </c>
      <c r="G180" s="88">
        <f t="shared" si="39"/>
        <v>76.653402422440564</v>
      </c>
      <c r="H180" s="88">
        <f t="shared" si="39"/>
        <v>73.294041525191219</v>
      </c>
      <c r="I180" s="88">
        <f t="shared" si="39"/>
        <v>67.554524977456794</v>
      </c>
      <c r="J180" s="88">
        <f t="shared" si="39"/>
        <v>67.904024240255865</v>
      </c>
      <c r="K180" s="89">
        <f t="shared" si="39"/>
        <v>66.388959827646005</v>
      </c>
    </row>
    <row r="183" spans="1:13" ht="13.8" thickBot="1"/>
    <row r="184" spans="1:13" ht="16.8">
      <c r="A184" s="68"/>
      <c r="B184" s="69" t="s">
        <v>237</v>
      </c>
      <c r="D184" s="70">
        <v>41729</v>
      </c>
      <c r="E184" s="71">
        <v>42094</v>
      </c>
      <c r="F184" s="71">
        <v>42460</v>
      </c>
      <c r="G184" s="71">
        <v>42825</v>
      </c>
      <c r="H184" s="71">
        <v>43190</v>
      </c>
      <c r="I184" s="71">
        <v>43555</v>
      </c>
      <c r="J184" s="71">
        <v>43921</v>
      </c>
      <c r="K184" s="72">
        <v>44286</v>
      </c>
      <c r="L184" s="180" t="s">
        <v>238</v>
      </c>
      <c r="M184" s="181" t="s">
        <v>310</v>
      </c>
    </row>
    <row r="185" spans="1:13" ht="16.8">
      <c r="A185" s="74"/>
      <c r="B185" s="75" t="s">
        <v>239</v>
      </c>
      <c r="D185" s="76" t="s">
        <v>240</v>
      </c>
      <c r="E185" s="77" t="s">
        <v>240</v>
      </c>
      <c r="F185" s="77" t="s">
        <v>240</v>
      </c>
      <c r="G185" s="77" t="s">
        <v>240</v>
      </c>
      <c r="H185" s="77" t="s">
        <v>240</v>
      </c>
      <c r="I185" s="77" t="s">
        <v>240</v>
      </c>
      <c r="J185" s="77" t="s">
        <v>240</v>
      </c>
      <c r="K185" s="78" t="s">
        <v>240</v>
      </c>
      <c r="L185" s="182" t="s">
        <v>240</v>
      </c>
      <c r="M185" s="79" t="s">
        <v>240</v>
      </c>
    </row>
    <row r="186" spans="1:13" ht="16.8">
      <c r="A186" s="80"/>
      <c r="B186" s="81" t="s">
        <v>207</v>
      </c>
      <c r="D186" s="82"/>
      <c r="E186" s="83"/>
      <c r="F186" s="83"/>
      <c r="G186" s="83"/>
      <c r="H186" s="83"/>
      <c r="I186" s="83"/>
      <c r="J186" s="83"/>
      <c r="K186" s="84"/>
      <c r="L186" s="183"/>
      <c r="M186" s="85"/>
    </row>
    <row r="187" spans="1:13" ht="16.8">
      <c r="A187" s="86">
        <v>1</v>
      </c>
      <c r="B187" s="75" t="s">
        <v>241</v>
      </c>
      <c r="D187" s="87">
        <v>27.22290743009501</v>
      </c>
      <c r="E187" s="88">
        <v>27.091794506505359</v>
      </c>
      <c r="F187" s="88">
        <v>28.318912342542578</v>
      </c>
      <c r="G187" s="88">
        <v>28.668372505992771</v>
      </c>
      <c r="H187" s="88">
        <v>27.411971530421514</v>
      </c>
      <c r="I187" s="88">
        <v>25.265392341568841</v>
      </c>
      <c r="J187" s="88">
        <v>25.396105065855693</v>
      </c>
      <c r="K187" s="89">
        <v>24.829470975539607</v>
      </c>
      <c r="L187" s="172">
        <v>214.20492669852138</v>
      </c>
      <c r="M187" s="90">
        <v>26.775615837315172</v>
      </c>
    </row>
    <row r="188" spans="1:13" ht="16.8">
      <c r="A188" s="86">
        <v>2</v>
      </c>
      <c r="B188" s="75" t="s">
        <v>242</v>
      </c>
      <c r="D188" s="87">
        <v>45.565615110265981</v>
      </c>
      <c r="E188" s="88">
        <v>45.346158719444794</v>
      </c>
      <c r="F188" s="88">
        <v>47.400104616127415</v>
      </c>
      <c r="G188" s="88">
        <v>47.985029916447793</v>
      </c>
      <c r="H188" s="88">
        <v>45.882069994769701</v>
      </c>
      <c r="I188" s="88">
        <v>42.289132635887952</v>
      </c>
      <c r="J188" s="88">
        <v>42.507919174400172</v>
      </c>
      <c r="K188" s="89">
        <v>41.559488852106398</v>
      </c>
      <c r="L188" s="172">
        <v>358.53551901945013</v>
      </c>
      <c r="M188" s="90">
        <v>44.816939877431267</v>
      </c>
    </row>
    <row r="189" spans="1:13" ht="16.8">
      <c r="A189" s="86">
        <v>3</v>
      </c>
      <c r="B189" s="75" t="s">
        <v>243</v>
      </c>
      <c r="D189" s="87">
        <v>72.788522540360987</v>
      </c>
      <c r="E189" s="88">
        <v>72.437953225950153</v>
      </c>
      <c r="F189" s="88">
        <v>75.719016958669997</v>
      </c>
      <c r="G189" s="88">
        <v>76.653402422440564</v>
      </c>
      <c r="H189" s="88">
        <v>73.294041525191219</v>
      </c>
      <c r="I189" s="88">
        <v>67.554524977456794</v>
      </c>
      <c r="J189" s="88">
        <v>67.904024240255865</v>
      </c>
      <c r="K189" s="89">
        <v>66.388959827646005</v>
      </c>
      <c r="L189" s="172">
        <v>572.74044571797162</v>
      </c>
      <c r="M189" s="90">
        <v>71.592555714746453</v>
      </c>
    </row>
    <row r="190" spans="1:13" ht="16.8">
      <c r="A190" s="80"/>
      <c r="B190" s="81" t="s">
        <v>244</v>
      </c>
      <c r="D190" s="82">
        <v>0</v>
      </c>
      <c r="E190" s="83">
        <v>0</v>
      </c>
      <c r="F190" s="83">
        <v>0</v>
      </c>
      <c r="G190" s="83">
        <v>0</v>
      </c>
      <c r="H190" s="83">
        <v>0</v>
      </c>
      <c r="I190" s="83">
        <v>0</v>
      </c>
      <c r="J190" s="83">
        <v>0</v>
      </c>
      <c r="K190" s="84">
        <v>0</v>
      </c>
      <c r="L190" s="183">
        <v>0</v>
      </c>
      <c r="M190" s="85">
        <v>0</v>
      </c>
    </row>
    <row r="191" spans="1:13" ht="16.8">
      <c r="A191" s="86">
        <v>4</v>
      </c>
      <c r="B191" s="75" t="s">
        <v>311</v>
      </c>
      <c r="D191" s="87">
        <v>53.000554975302876</v>
      </c>
      <c r="E191" s="88">
        <v>66.723372874572476</v>
      </c>
      <c r="F191" s="88">
        <v>79.803296834504636</v>
      </c>
      <c r="G191" s="88">
        <v>91.808967506140561</v>
      </c>
      <c r="H191" s="88">
        <v>101.20520608703535</v>
      </c>
      <c r="I191" s="88">
        <v>106.69641904864562</v>
      </c>
      <c r="J191" s="88">
        <v>107.43994279130052</v>
      </c>
      <c r="K191" s="89">
        <v>106.3580879453189</v>
      </c>
      <c r="L191" s="172">
        <v>0</v>
      </c>
      <c r="M191" s="90">
        <v>89.129481007852618</v>
      </c>
    </row>
    <row r="192" spans="1:13" ht="16.8">
      <c r="A192" s="86">
        <v>5</v>
      </c>
      <c r="B192" s="75" t="s">
        <v>246</v>
      </c>
      <c r="D192" s="87">
        <v>0</v>
      </c>
      <c r="E192" s="88">
        <v>0</v>
      </c>
      <c r="F192" s="88">
        <v>0</v>
      </c>
      <c r="G192" s="88">
        <v>0</v>
      </c>
      <c r="H192" s="88">
        <v>0</v>
      </c>
      <c r="I192" s="88">
        <v>0</v>
      </c>
      <c r="J192" s="88">
        <v>0</v>
      </c>
      <c r="K192" s="89">
        <v>0</v>
      </c>
      <c r="L192" s="172">
        <v>0</v>
      </c>
      <c r="M192" s="90">
        <v>0</v>
      </c>
    </row>
    <row r="193" spans="1:13" ht="16.8">
      <c r="A193" s="86">
        <v>6</v>
      </c>
      <c r="B193" s="75" t="s">
        <v>247</v>
      </c>
      <c r="D193" s="87">
        <v>53.000554975302876</v>
      </c>
      <c r="E193" s="88">
        <v>66.723372874572476</v>
      </c>
      <c r="F193" s="88">
        <v>79.803296834504636</v>
      </c>
      <c r="G193" s="88">
        <v>91.808967506140561</v>
      </c>
      <c r="H193" s="88">
        <v>101.20520608703535</v>
      </c>
      <c r="I193" s="88">
        <v>106.69641904864562</v>
      </c>
      <c r="J193" s="88">
        <v>107.43994279130052</v>
      </c>
      <c r="K193" s="89">
        <v>106.3580879453189</v>
      </c>
      <c r="L193" s="172">
        <v>0</v>
      </c>
      <c r="M193" s="90">
        <v>89.129481007852618</v>
      </c>
    </row>
    <row r="194" spans="1:13" ht="16.8">
      <c r="A194" s="86">
        <v>7</v>
      </c>
      <c r="B194" s="75" t="s">
        <v>248</v>
      </c>
      <c r="D194" s="87">
        <v>24.267852390112441</v>
      </c>
      <c r="E194" s="88">
        <v>27.091794506505359</v>
      </c>
      <c r="F194" s="88">
        <v>28.318912342542578</v>
      </c>
      <c r="G194" s="88">
        <v>28.668372505992771</v>
      </c>
      <c r="H194" s="88">
        <v>27.411971530421514</v>
      </c>
      <c r="I194" s="88">
        <v>25.265392341568841</v>
      </c>
      <c r="J194" s="88">
        <v>25.396105065855693</v>
      </c>
      <c r="K194" s="89">
        <v>24.829470975539607</v>
      </c>
      <c r="L194" s="172">
        <v>211.24987165853878</v>
      </c>
      <c r="M194" s="90">
        <v>26.406233957317347</v>
      </c>
    </row>
    <row r="195" spans="1:13" ht="16.8">
      <c r="A195" s="86">
        <v>8</v>
      </c>
      <c r="B195" s="75" t="s">
        <v>249</v>
      </c>
      <c r="D195" s="87">
        <v>-10.545034490842841</v>
      </c>
      <c r="E195" s="88">
        <v>-14.01187054657319</v>
      </c>
      <c r="F195" s="88">
        <v>-16.313241670906649</v>
      </c>
      <c r="G195" s="88">
        <v>-19.272133925097986</v>
      </c>
      <c r="H195" s="88">
        <v>-21.920758568811237</v>
      </c>
      <c r="I195" s="88">
        <v>-24.52186859891393</v>
      </c>
      <c r="J195" s="88">
        <v>-26.477959911837317</v>
      </c>
      <c r="K195" s="89">
        <v>-26.631485811857029</v>
      </c>
      <c r="L195" s="172">
        <v>-159.69435352484018</v>
      </c>
      <c r="M195" s="90">
        <v>-19.961794190605023</v>
      </c>
    </row>
    <row r="196" spans="1:13" ht="16.8">
      <c r="A196" s="86">
        <v>9</v>
      </c>
      <c r="B196" s="75" t="s">
        <v>250</v>
      </c>
      <c r="D196" s="87">
        <v>66.723372874572476</v>
      </c>
      <c r="E196" s="88">
        <v>79.803296834504636</v>
      </c>
      <c r="F196" s="88">
        <v>91.808967506140561</v>
      </c>
      <c r="G196" s="88">
        <v>101.20520608703535</v>
      </c>
      <c r="H196" s="88">
        <v>106.69641904864562</v>
      </c>
      <c r="I196" s="88">
        <v>107.43994279130052</v>
      </c>
      <c r="J196" s="88">
        <v>106.3580879453189</v>
      </c>
      <c r="K196" s="186">
        <v>104.55607310900149</v>
      </c>
      <c r="L196" s="172">
        <v>0</v>
      </c>
      <c r="M196" s="90">
        <v>95.573920774564954</v>
      </c>
    </row>
    <row r="197" spans="1:13" ht="16.8">
      <c r="A197" s="80"/>
      <c r="B197" s="81" t="s">
        <v>251</v>
      </c>
      <c r="D197" s="91">
        <v>0</v>
      </c>
      <c r="E197" s="92">
        <v>0</v>
      </c>
      <c r="F197" s="92">
        <v>0</v>
      </c>
      <c r="G197" s="92">
        <v>0</v>
      </c>
      <c r="H197" s="92">
        <v>0</v>
      </c>
      <c r="I197" s="92">
        <v>0</v>
      </c>
      <c r="J197" s="92">
        <v>0</v>
      </c>
      <c r="K197" s="93">
        <v>0</v>
      </c>
      <c r="L197" s="184">
        <v>0</v>
      </c>
      <c r="M197" s="94">
        <v>0</v>
      </c>
    </row>
    <row r="198" spans="1:13" ht="16.8">
      <c r="A198" s="86">
        <v>10</v>
      </c>
      <c r="B198" s="75" t="s">
        <v>252</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72">
        <v>370.04250117772312</v>
      </c>
      <c r="M198" s="90">
        <v>46.255312647215391</v>
      </c>
    </row>
    <row r="199" spans="1:13" ht="16.8">
      <c r="A199" s="86">
        <v>11</v>
      </c>
      <c r="B199" s="75" t="s">
        <v>253</v>
      </c>
      <c r="D199" s="87">
        <v>0</v>
      </c>
      <c r="E199" s="88">
        <v>0</v>
      </c>
      <c r="F199" s="88">
        <v>0</v>
      </c>
      <c r="G199" s="88">
        <v>0</v>
      </c>
      <c r="H199" s="88">
        <v>0</v>
      </c>
      <c r="I199" s="88">
        <v>0</v>
      </c>
      <c r="J199" s="88">
        <v>0</v>
      </c>
      <c r="K199" s="89">
        <v>0</v>
      </c>
      <c r="L199" s="172">
        <v>0</v>
      </c>
      <c r="M199" s="90">
        <v>0</v>
      </c>
    </row>
    <row r="200" spans="1:13" ht="16.8">
      <c r="A200" s="86">
        <v>12</v>
      </c>
      <c r="B200" s="75" t="s">
        <v>254</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72">
        <v>169.19382162404565</v>
      </c>
      <c r="M200" s="90">
        <v>21.149227703005707</v>
      </c>
    </row>
    <row r="201" spans="1:13" ht="16.8">
      <c r="A201" s="86">
        <v>13</v>
      </c>
      <c r="B201" s="75" t="s">
        <v>255</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72">
        <v>33.298970715591416</v>
      </c>
      <c r="M201" s="90">
        <v>4.162371339448927</v>
      </c>
    </row>
    <row r="202" spans="1:13" ht="16.8">
      <c r="A202" s="86">
        <v>14</v>
      </c>
      <c r="B202" s="75" t="s">
        <v>256</v>
      </c>
      <c r="D202" s="87">
        <v>0</v>
      </c>
      <c r="E202" s="88">
        <v>0</v>
      </c>
      <c r="F202" s="88">
        <v>0</v>
      </c>
      <c r="G202" s="88">
        <v>0</v>
      </c>
      <c r="H202" s="88">
        <v>0</v>
      </c>
      <c r="I202" s="88">
        <v>0</v>
      </c>
      <c r="J202" s="88">
        <v>0</v>
      </c>
      <c r="K202" s="89">
        <v>0</v>
      </c>
      <c r="L202" s="172">
        <v>0</v>
      </c>
      <c r="M202" s="90">
        <v>0</v>
      </c>
    </row>
    <row r="203" spans="1:13" ht="16.8">
      <c r="A203" s="86">
        <v>15</v>
      </c>
      <c r="B203" s="75" t="s">
        <v>257</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72">
        <v>-2.7598268924942051</v>
      </c>
      <c r="M203" s="90">
        <v>-0.34497836156177564</v>
      </c>
    </row>
    <row r="204" spans="1:13" ht="16.8">
      <c r="A204" s="86">
        <v>16</v>
      </c>
      <c r="B204" s="75" t="s">
        <v>258</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72">
        <v>0.25852794282552904</v>
      </c>
      <c r="M204" s="90">
        <v>3.2315992853191131E-2</v>
      </c>
    </row>
    <row r="205" spans="1:13" ht="16.8">
      <c r="A205" s="86">
        <v>17</v>
      </c>
      <c r="B205" s="75" t="s">
        <v>259</v>
      </c>
      <c r="D205" s="87">
        <v>0.8125503950547055</v>
      </c>
      <c r="E205" s="88">
        <v>0</v>
      </c>
      <c r="F205" s="88">
        <v>0</v>
      </c>
      <c r="G205" s="88">
        <v>0</v>
      </c>
      <c r="H205" s="88">
        <v>0</v>
      </c>
      <c r="I205" s="88">
        <v>0</v>
      </c>
      <c r="J205" s="88">
        <v>0</v>
      </c>
      <c r="K205" s="89">
        <v>0</v>
      </c>
      <c r="L205" s="172">
        <v>0.8125503950547055</v>
      </c>
      <c r="M205" s="90">
        <v>0.10156879938183819</v>
      </c>
    </row>
    <row r="206" spans="1:13" ht="16.8">
      <c r="A206" s="80"/>
      <c r="B206" s="81" t="s">
        <v>260</v>
      </c>
      <c r="D206" s="91">
        <v>0</v>
      </c>
      <c r="E206" s="92">
        <v>0</v>
      </c>
      <c r="F206" s="92">
        <v>0</v>
      </c>
      <c r="G206" s="92">
        <v>0</v>
      </c>
      <c r="H206" s="92">
        <v>0</v>
      </c>
      <c r="I206" s="92">
        <v>0</v>
      </c>
      <c r="J206" s="92">
        <v>0</v>
      </c>
      <c r="K206" s="93">
        <v>0</v>
      </c>
      <c r="L206" s="184">
        <v>0</v>
      </c>
      <c r="M206" s="94">
        <v>0</v>
      </c>
    </row>
    <row r="207" spans="1:13" ht="16.8">
      <c r="A207" s="86">
        <v>18</v>
      </c>
      <c r="B207" s="75" t="s">
        <v>252</v>
      </c>
      <c r="D207" s="87">
        <v>45.565615110265981</v>
      </c>
      <c r="E207" s="88">
        <v>45.346158719444794</v>
      </c>
      <c r="F207" s="88">
        <v>47.400104616127415</v>
      </c>
      <c r="G207" s="88">
        <v>47.985029916447793</v>
      </c>
      <c r="H207" s="88">
        <v>45.882069994769701</v>
      </c>
      <c r="I207" s="88">
        <v>42.289132635887952</v>
      </c>
      <c r="J207" s="88">
        <v>42.507919174400172</v>
      </c>
      <c r="K207" s="89">
        <v>41.559488852106398</v>
      </c>
      <c r="L207" s="172">
        <v>358.53551901945013</v>
      </c>
      <c r="M207" s="90">
        <v>44.816939877431267</v>
      </c>
    </row>
    <row r="208" spans="1:13" ht="16.8">
      <c r="A208" s="86">
        <v>19</v>
      </c>
      <c r="B208" s="75" t="s">
        <v>253</v>
      </c>
      <c r="D208" s="87">
        <v>0</v>
      </c>
      <c r="E208" s="88">
        <v>0</v>
      </c>
      <c r="F208" s="88">
        <v>0</v>
      </c>
      <c r="G208" s="88">
        <v>0</v>
      </c>
      <c r="H208" s="88">
        <v>0</v>
      </c>
      <c r="I208" s="88">
        <v>0</v>
      </c>
      <c r="J208" s="88">
        <v>0</v>
      </c>
      <c r="K208" s="89">
        <v>0</v>
      </c>
      <c r="L208" s="172">
        <v>0</v>
      </c>
      <c r="M208" s="90">
        <v>0</v>
      </c>
    </row>
    <row r="209" spans="1:13" ht="16.8">
      <c r="A209" s="86">
        <v>20</v>
      </c>
      <c r="B209" s="75" t="s">
        <v>254</v>
      </c>
      <c r="D209" s="87">
        <v>10.545034490842841</v>
      </c>
      <c r="E209" s="88">
        <v>14.01187054657319</v>
      </c>
      <c r="F209" s="88">
        <v>16.313241670906649</v>
      </c>
      <c r="G209" s="88">
        <v>19.272133925097986</v>
      </c>
      <c r="H209" s="88">
        <v>21.920758568811237</v>
      </c>
      <c r="I209" s="88">
        <v>24.52186859891393</v>
      </c>
      <c r="J209" s="88">
        <v>26.477959911837317</v>
      </c>
      <c r="K209" s="89">
        <v>26.631485811857029</v>
      </c>
      <c r="L209" s="172">
        <v>159.69435352484018</v>
      </c>
      <c r="M209" s="90">
        <v>19.961794190605023</v>
      </c>
    </row>
    <row r="210" spans="1:13" ht="16.8">
      <c r="A210" s="86">
        <v>21</v>
      </c>
      <c r="B210" s="75" t="s">
        <v>255</v>
      </c>
      <c r="D210" s="87">
        <v>2.5577811823662091</v>
      </c>
      <c r="E210" s="88">
        <v>3.0445575802832017</v>
      </c>
      <c r="F210" s="88">
        <v>3.4799067460687803</v>
      </c>
      <c r="G210" s="88">
        <v>3.817185527572049</v>
      </c>
      <c r="H210" s="88">
        <v>4.1134239253908893</v>
      </c>
      <c r="I210" s="88">
        <v>4.2387051671373523</v>
      </c>
      <c r="J210" s="88">
        <v>4.2327226752290201</v>
      </c>
      <c r="K210" s="89">
        <v>4.1759163246546542</v>
      </c>
      <c r="L210" s="172">
        <v>29.660199128702157</v>
      </c>
      <c r="M210" s="90">
        <v>3.7075248910877696</v>
      </c>
    </row>
    <row r="211" spans="1:13" ht="16.8">
      <c r="A211" s="86">
        <v>22</v>
      </c>
      <c r="B211" s="75" t="s">
        <v>256</v>
      </c>
      <c r="D211" s="87">
        <v>0</v>
      </c>
      <c r="E211" s="88">
        <v>0</v>
      </c>
      <c r="F211" s="88">
        <v>0</v>
      </c>
      <c r="G211" s="88">
        <v>0</v>
      </c>
      <c r="H211" s="88">
        <v>0</v>
      </c>
      <c r="I211" s="88">
        <v>0</v>
      </c>
      <c r="J211" s="88">
        <v>0</v>
      </c>
      <c r="K211" s="89">
        <v>0</v>
      </c>
      <c r="L211" s="172">
        <v>0</v>
      </c>
      <c r="M211" s="90">
        <v>0</v>
      </c>
    </row>
    <row r="212" spans="1:13" ht="16.8">
      <c r="A212" s="86">
        <v>23</v>
      </c>
      <c r="B212" s="75" t="s">
        <v>257</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72">
        <v>-2.7598268924942051</v>
      </c>
      <c r="M212" s="90">
        <v>-0.34497836156177564</v>
      </c>
    </row>
    <row r="213" spans="1:13" ht="16.8">
      <c r="A213" s="86">
        <v>24</v>
      </c>
      <c r="B213" s="75" t="s">
        <v>258</v>
      </c>
      <c r="D213" s="87">
        <v>8.3082796001737652E-2</v>
      </c>
      <c r="E213" s="88">
        <v>7.976923323919452E-2</v>
      </c>
      <c r="F213" s="88">
        <v>0.75266180631023005</v>
      </c>
      <c r="G213" s="88">
        <v>0.74924415240021436</v>
      </c>
      <c r="H213" s="88">
        <v>0.74568851071358178</v>
      </c>
      <c r="I213" s="88">
        <v>0.74198930999385149</v>
      </c>
      <c r="J213" s="88">
        <v>0.73814075404506196</v>
      </c>
      <c r="K213" s="89">
        <v>0.7341368126498401</v>
      </c>
      <c r="L213" s="172">
        <v>4.6247133753537115</v>
      </c>
      <c r="M213" s="90">
        <v>0.57808917191921394</v>
      </c>
    </row>
    <row r="214" spans="1:13" ht="16.8">
      <c r="A214" s="86">
        <v>25</v>
      </c>
      <c r="B214" s="75" t="s">
        <v>259</v>
      </c>
      <c r="D214" s="87">
        <v>2.3543560350938115</v>
      </c>
      <c r="E214" s="88">
        <v>1.152393134110165</v>
      </c>
      <c r="F214" s="88">
        <v>-7.1498852217667243E-18</v>
      </c>
      <c r="G214" s="88">
        <v>0</v>
      </c>
      <c r="H214" s="88">
        <v>0</v>
      </c>
      <c r="I214" s="88">
        <v>0</v>
      </c>
      <c r="J214" s="88">
        <v>0.26573073394603886</v>
      </c>
      <c r="K214" s="89">
        <v>0.76540708490425391</v>
      </c>
      <c r="L214" s="172">
        <v>4.5378869880542689</v>
      </c>
      <c r="M214" s="90">
        <v>0.56723587350678362</v>
      </c>
    </row>
    <row r="215" spans="1:13" ht="16.8">
      <c r="A215" s="80"/>
      <c r="B215" s="81" t="s">
        <v>261</v>
      </c>
      <c r="D215" s="91">
        <v>0</v>
      </c>
      <c r="E215" s="92">
        <v>0</v>
      </c>
      <c r="F215" s="92">
        <v>0</v>
      </c>
      <c r="G215" s="92">
        <v>0</v>
      </c>
      <c r="H215" s="92">
        <v>0</v>
      </c>
      <c r="I215" s="92">
        <v>0</v>
      </c>
      <c r="J215" s="92">
        <v>0</v>
      </c>
      <c r="K215" s="93">
        <v>0</v>
      </c>
      <c r="L215" s="91">
        <v>0</v>
      </c>
      <c r="M215" s="184">
        <v>0</v>
      </c>
    </row>
    <row r="216" spans="1:13" ht="16.8">
      <c r="A216" s="86">
        <v>26</v>
      </c>
      <c r="B216" s="75" t="s">
        <v>262</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72">
        <v>570.84654496274629</v>
      </c>
      <c r="M216" s="90">
        <v>71.355818120343287</v>
      </c>
    </row>
    <row r="217" spans="1:13" ht="16.8">
      <c r="A217" s="86">
        <v>27</v>
      </c>
      <c r="B217" s="75" t="s">
        <v>312</v>
      </c>
      <c r="D217" s="87">
        <v>0</v>
      </c>
      <c r="E217" s="88">
        <v>-0.74723548170331355</v>
      </c>
      <c r="F217" s="88">
        <v>-13.787280588025247</v>
      </c>
      <c r="G217" s="88">
        <v>1.0011710527519853</v>
      </c>
      <c r="H217" s="88">
        <v>0</v>
      </c>
      <c r="I217" s="88">
        <v>0</v>
      </c>
      <c r="J217" s="88">
        <v>0</v>
      </c>
      <c r="K217" s="88">
        <v>0</v>
      </c>
      <c r="L217" s="172">
        <v>-13.533345016976575</v>
      </c>
      <c r="M217" s="90">
        <v>-1.6916681271220719</v>
      </c>
    </row>
    <row r="218" spans="1:13" ht="16.8">
      <c r="A218" s="86">
        <v>28</v>
      </c>
      <c r="B218" s="75" t="s">
        <v>264</v>
      </c>
      <c r="D218" s="96">
        <v>66.893712056086201</v>
      </c>
      <c r="E218" s="88">
        <v>66.68195609549845</v>
      </c>
      <c r="F218" s="88">
        <v>55.039338409943433</v>
      </c>
      <c r="G218" s="88">
        <v>73.793776097856025</v>
      </c>
      <c r="H218" s="88">
        <v>73.599926978535336</v>
      </c>
      <c r="I218" s="88">
        <v>72.682590016069625</v>
      </c>
      <c r="J218" s="88">
        <v>74.76721766777959</v>
      </c>
      <c r="K218" s="88">
        <v>73.854682624001015</v>
      </c>
      <c r="L218" s="172">
        <v>557.31319994576972</v>
      </c>
      <c r="M218" s="90">
        <v>69.664149993221216</v>
      </c>
    </row>
    <row r="219" spans="1:13" ht="16.8">
      <c r="A219" s="86">
        <v>29</v>
      </c>
      <c r="B219" s="75" t="s">
        <v>265</v>
      </c>
      <c r="D219" s="96">
        <v>0</v>
      </c>
      <c r="E219" s="88">
        <v>0</v>
      </c>
      <c r="F219" s="88">
        <v>0</v>
      </c>
      <c r="G219" s="88">
        <v>0</v>
      </c>
      <c r="H219" s="88">
        <v>0</v>
      </c>
      <c r="I219" s="88">
        <v>0</v>
      </c>
      <c r="J219" s="88">
        <v>0</v>
      </c>
      <c r="K219" s="88">
        <v>0</v>
      </c>
      <c r="L219" s="172">
        <v>0</v>
      </c>
      <c r="M219" s="90">
        <v>0</v>
      </c>
    </row>
    <row r="220" spans="1:13" ht="16.8">
      <c r="A220" s="86">
        <v>30</v>
      </c>
      <c r="B220" s="75" t="s">
        <v>277</v>
      </c>
      <c r="D220" s="96">
        <v>94.224999999999994</v>
      </c>
      <c r="E220" s="88">
        <v>87.484999999999999</v>
      </c>
      <c r="F220" s="88">
        <v>79.322999999999993</v>
      </c>
      <c r="G220" s="88">
        <v>58.722999999999999</v>
      </c>
      <c r="H220" s="88">
        <v>3.3000000000000002E-2</v>
      </c>
      <c r="I220" s="88">
        <v>3.3000000000000002E-2</v>
      </c>
      <c r="J220" s="88">
        <v>0</v>
      </c>
      <c r="K220" s="88">
        <v>0</v>
      </c>
      <c r="L220" s="172">
        <v>319.822</v>
      </c>
      <c r="M220" s="90">
        <v>39.97775</v>
      </c>
    </row>
    <row r="221" spans="1:13" ht="16.8">
      <c r="A221" s="86">
        <v>31</v>
      </c>
      <c r="B221" s="75" t="s">
        <v>266</v>
      </c>
      <c r="D221" s="96">
        <v>0</v>
      </c>
      <c r="E221" s="88">
        <v>0</v>
      </c>
      <c r="F221" s="88">
        <v>0</v>
      </c>
      <c r="G221" s="88">
        <v>0</v>
      </c>
      <c r="H221" s="88">
        <v>0</v>
      </c>
      <c r="I221" s="88">
        <v>0</v>
      </c>
      <c r="J221" s="88">
        <v>0</v>
      </c>
      <c r="K221" s="88">
        <v>0</v>
      </c>
      <c r="L221" s="172">
        <v>0</v>
      </c>
      <c r="M221" s="90">
        <v>0</v>
      </c>
    </row>
    <row r="222" spans="1:13" ht="16.8">
      <c r="A222" s="86">
        <v>32</v>
      </c>
      <c r="B222" s="75" t="s">
        <v>267</v>
      </c>
      <c r="D222" s="96">
        <v>161.1187120560862</v>
      </c>
      <c r="E222" s="88">
        <v>154.16695609549845</v>
      </c>
      <c r="F222" s="88">
        <v>134.36233840994342</v>
      </c>
      <c r="G222" s="88">
        <v>132.51677609785602</v>
      </c>
      <c r="H222" s="88">
        <v>73.632926978535338</v>
      </c>
      <c r="I222" s="88">
        <v>72.715590016069626</v>
      </c>
      <c r="J222" s="88">
        <v>74.76721766777959</v>
      </c>
      <c r="K222" s="88">
        <v>73.854682624001015</v>
      </c>
      <c r="L222" s="172">
        <v>877.13519994576973</v>
      </c>
      <c r="M222" s="90">
        <v>109.64189999322122</v>
      </c>
    </row>
    <row r="223" spans="1:13" ht="16.8">
      <c r="A223" s="80"/>
      <c r="B223" s="81" t="s">
        <v>268</v>
      </c>
      <c r="D223" s="91">
        <v>0</v>
      </c>
      <c r="E223" s="92">
        <v>0</v>
      </c>
      <c r="F223" s="92">
        <v>0</v>
      </c>
      <c r="G223" s="92">
        <v>0</v>
      </c>
      <c r="H223" s="92">
        <v>0</v>
      </c>
      <c r="I223" s="92">
        <v>0</v>
      </c>
      <c r="J223" s="92">
        <v>0</v>
      </c>
      <c r="K223" s="93">
        <v>0</v>
      </c>
      <c r="L223" s="91">
        <v>0</v>
      </c>
      <c r="M223" s="184">
        <v>0</v>
      </c>
    </row>
    <row r="224" spans="1:13" ht="16.8">
      <c r="A224" s="86">
        <v>33</v>
      </c>
      <c r="B224" s="75" t="s">
        <v>268</v>
      </c>
      <c r="D224" s="87">
        <v>60.674058064698116</v>
      </c>
      <c r="E224" s="88">
        <v>63.235277253687492</v>
      </c>
      <c r="F224" s="88">
        <v>67.598571668977101</v>
      </c>
      <c r="G224" s="88">
        <v>71.504272869027488</v>
      </c>
      <c r="H224" s="88">
        <v>72.349284730862379</v>
      </c>
      <c r="I224" s="88">
        <v>71.483701912443678</v>
      </c>
      <c r="J224" s="88">
        <v>73.896764020246806</v>
      </c>
      <c r="K224" s="89">
        <v>73.550914623963251</v>
      </c>
      <c r="L224" s="172">
        <v>554.29284514390633</v>
      </c>
      <c r="M224" s="90">
        <v>69.286605642988292</v>
      </c>
    </row>
    <row r="225" spans="1:13" ht="16.8">
      <c r="A225" s="86">
        <v>34</v>
      </c>
      <c r="B225" s="75" t="s">
        <v>269</v>
      </c>
      <c r="D225" s="87">
        <v>56.072237526593305</v>
      </c>
      <c r="E225" s="88">
        <v>65.879521568407782</v>
      </c>
      <c r="F225" s="88">
        <v>67.650824291300381</v>
      </c>
      <c r="G225" s="88">
        <v>71.653542758445468</v>
      </c>
      <c r="H225" s="88">
        <v>72.504852690916707</v>
      </c>
      <c r="I225" s="88">
        <v>71.641157721995995</v>
      </c>
      <c r="J225" s="88">
        <v>73.786951437896022</v>
      </c>
      <c r="K225" s="89">
        <v>73.363944740522044</v>
      </c>
      <c r="L225" s="172">
        <v>552.55303273607774</v>
      </c>
      <c r="M225" s="90">
        <v>69.069129092009717</v>
      </c>
    </row>
    <row r="226" spans="1:13" ht="16.8">
      <c r="A226" s="80"/>
      <c r="B226" s="81" t="s">
        <v>270</v>
      </c>
      <c r="D226" s="91">
        <v>0</v>
      </c>
      <c r="E226" s="92">
        <v>0</v>
      </c>
      <c r="F226" s="92">
        <v>0</v>
      </c>
      <c r="G226" s="92">
        <v>0</v>
      </c>
      <c r="H226" s="92">
        <v>0</v>
      </c>
      <c r="I226" s="92">
        <v>0</v>
      </c>
      <c r="J226" s="92">
        <v>0</v>
      </c>
      <c r="K226" s="93">
        <v>0</v>
      </c>
      <c r="L226" s="91">
        <v>0</v>
      </c>
      <c r="M226" s="184">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72">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72">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72">
        <v>552.55303273607774</v>
      </c>
      <c r="M229" s="90">
        <v>69.069129092009717</v>
      </c>
    </row>
    <row r="230" spans="1:13" ht="16.8">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72">
        <v>554.29284514390633</v>
      </c>
      <c r="M230" s="90">
        <v>69.286605642988292</v>
      </c>
    </row>
    <row r="231" spans="1:13" ht="16.8">
      <c r="A231" s="86">
        <v>39</v>
      </c>
      <c r="B231" s="98">
        <v>43190</v>
      </c>
      <c r="D231" s="96">
        <v>0</v>
      </c>
      <c r="E231" s="88">
        <v>0</v>
      </c>
      <c r="F231" s="88">
        <v>0</v>
      </c>
      <c r="G231" s="88">
        <v>0</v>
      </c>
      <c r="H231" s="88">
        <v>0</v>
      </c>
      <c r="I231" s="88">
        <v>0</v>
      </c>
      <c r="J231" s="88">
        <v>0</v>
      </c>
      <c r="K231" s="88">
        <v>0</v>
      </c>
      <c r="L231" s="172">
        <v>0</v>
      </c>
      <c r="M231" s="90">
        <v>0</v>
      </c>
    </row>
    <row r="232" spans="1:13" ht="16.8">
      <c r="A232" s="86">
        <v>40</v>
      </c>
      <c r="B232" s="98">
        <v>43555</v>
      </c>
      <c r="D232" s="96">
        <v>0</v>
      </c>
      <c r="E232" s="88">
        <v>0</v>
      </c>
      <c r="F232" s="88">
        <v>0</v>
      </c>
      <c r="G232" s="88">
        <v>0</v>
      </c>
      <c r="H232" s="88">
        <v>0</v>
      </c>
      <c r="I232" s="88">
        <v>0</v>
      </c>
      <c r="J232" s="88">
        <v>0</v>
      </c>
      <c r="K232" s="88">
        <v>0</v>
      </c>
      <c r="L232" s="172">
        <v>0</v>
      </c>
      <c r="M232" s="90">
        <v>0</v>
      </c>
    </row>
    <row r="233" spans="1:13" ht="16.8">
      <c r="A233" s="86">
        <v>41</v>
      </c>
      <c r="B233" s="98">
        <v>43921</v>
      </c>
      <c r="D233" s="96">
        <v>0</v>
      </c>
      <c r="E233" s="88">
        <v>0</v>
      </c>
      <c r="F233" s="88">
        <v>0</v>
      </c>
      <c r="G233" s="88">
        <v>0</v>
      </c>
      <c r="H233" s="88">
        <v>0</v>
      </c>
      <c r="I233" s="88">
        <v>0</v>
      </c>
      <c r="J233" s="88">
        <v>0</v>
      </c>
      <c r="K233" s="88">
        <v>0</v>
      </c>
      <c r="L233" s="172">
        <v>0</v>
      </c>
      <c r="M233" s="90">
        <v>0</v>
      </c>
    </row>
    <row r="234" spans="1:13" ht="17.399999999999999" thickBot="1">
      <c r="A234" s="103">
        <v>42</v>
      </c>
      <c r="B234" s="211">
        <v>44286</v>
      </c>
      <c r="D234" s="214">
        <v>0</v>
      </c>
      <c r="E234" s="106">
        <v>0</v>
      </c>
      <c r="F234" s="106">
        <v>0</v>
      </c>
      <c r="G234" s="106">
        <v>0</v>
      </c>
      <c r="H234" s="106">
        <v>0</v>
      </c>
      <c r="I234" s="106">
        <v>0</v>
      </c>
      <c r="J234" s="106">
        <v>0</v>
      </c>
      <c r="K234" s="106">
        <v>0</v>
      </c>
      <c r="L234" s="215">
        <v>0</v>
      </c>
      <c r="M234" s="108">
        <v>0</v>
      </c>
    </row>
    <row r="235" spans="1:13" ht="16.8">
      <c r="A235" s="80"/>
      <c r="B235" s="81" t="s">
        <v>313</v>
      </c>
      <c r="D235" s="91">
        <v>0</v>
      </c>
      <c r="E235" s="92">
        <v>0</v>
      </c>
      <c r="F235" s="92">
        <v>0</v>
      </c>
      <c r="G235" s="92">
        <v>0</v>
      </c>
      <c r="H235" s="92">
        <v>0</v>
      </c>
      <c r="I235" s="97">
        <v>0</v>
      </c>
      <c r="J235" s="92">
        <v>0</v>
      </c>
      <c r="K235" s="93">
        <v>0</v>
      </c>
      <c r="L235" s="95">
        <v>0</v>
      </c>
      <c r="M235" s="184">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8">
      <c r="A240" s="86">
        <v>47</v>
      </c>
      <c r="B240" s="98">
        <v>43190</v>
      </c>
      <c r="D240" s="96">
        <v>0</v>
      </c>
      <c r="E240" s="88">
        <v>0</v>
      </c>
      <c r="F240" s="88">
        <v>0</v>
      </c>
      <c r="G240" s="88">
        <v>0</v>
      </c>
      <c r="H240" s="88">
        <v>0</v>
      </c>
      <c r="I240" s="88">
        <v>0</v>
      </c>
      <c r="J240" s="88">
        <v>0</v>
      </c>
      <c r="K240" s="89">
        <v>0</v>
      </c>
      <c r="L240" s="90">
        <v>0</v>
      </c>
      <c r="M240" s="90">
        <v>0</v>
      </c>
    </row>
    <row r="241" spans="1:13" ht="16.8">
      <c r="A241" s="86">
        <v>48</v>
      </c>
      <c r="B241" s="98">
        <v>43555</v>
      </c>
      <c r="D241" s="96">
        <v>0</v>
      </c>
      <c r="E241" s="88">
        <v>0</v>
      </c>
      <c r="F241" s="88">
        <v>0</v>
      </c>
      <c r="G241" s="88">
        <v>0</v>
      </c>
      <c r="H241" s="88">
        <v>0</v>
      </c>
      <c r="I241" s="88">
        <v>0</v>
      </c>
      <c r="J241" s="88">
        <v>0</v>
      </c>
      <c r="K241" s="89">
        <v>0</v>
      </c>
      <c r="L241" s="90">
        <v>0</v>
      </c>
      <c r="M241" s="90">
        <v>0</v>
      </c>
    </row>
    <row r="242" spans="1:13" ht="16.8">
      <c r="A242" s="86">
        <v>49</v>
      </c>
      <c r="B242" s="98">
        <v>43921</v>
      </c>
      <c r="D242" s="96">
        <v>0</v>
      </c>
      <c r="E242" s="88">
        <v>0</v>
      </c>
      <c r="F242" s="88">
        <v>0</v>
      </c>
      <c r="G242" s="88">
        <v>0</v>
      </c>
      <c r="H242" s="88">
        <v>0</v>
      </c>
      <c r="I242" s="88">
        <v>0</v>
      </c>
      <c r="J242" s="88">
        <v>0</v>
      </c>
      <c r="K242" s="89">
        <v>0</v>
      </c>
      <c r="L242" s="90">
        <v>0</v>
      </c>
      <c r="M242" s="90">
        <v>0</v>
      </c>
    </row>
    <row r="243" spans="1:13" ht="16.8">
      <c r="A243" s="86">
        <v>50</v>
      </c>
      <c r="B243" s="98">
        <v>44286</v>
      </c>
      <c r="D243" s="96">
        <v>0</v>
      </c>
      <c r="E243" s="88">
        <v>0</v>
      </c>
      <c r="F243" s="88">
        <v>0</v>
      </c>
      <c r="G243" s="88">
        <v>0</v>
      </c>
      <c r="H243" s="88">
        <v>0</v>
      </c>
      <c r="I243" s="88">
        <v>0</v>
      </c>
      <c r="J243" s="88">
        <v>0</v>
      </c>
      <c r="K243" s="89">
        <v>0</v>
      </c>
      <c r="L243" s="90">
        <v>0</v>
      </c>
      <c r="M243" s="90">
        <v>0</v>
      </c>
    </row>
    <row r="244" spans="1:13" ht="16.8">
      <c r="A244" s="80"/>
      <c r="B244" s="81" t="s">
        <v>314</v>
      </c>
      <c r="D244" s="91">
        <v>0</v>
      </c>
      <c r="E244" s="92">
        <v>0</v>
      </c>
      <c r="F244" s="92">
        <v>0</v>
      </c>
      <c r="G244" s="92">
        <v>0</v>
      </c>
      <c r="H244" s="92">
        <v>0</v>
      </c>
      <c r="I244" s="97">
        <v>0</v>
      </c>
      <c r="J244" s="92">
        <v>0</v>
      </c>
      <c r="K244" s="93">
        <v>0</v>
      </c>
      <c r="L244" s="91">
        <v>0</v>
      </c>
      <c r="M244" s="184">
        <v>0</v>
      </c>
    </row>
    <row r="245" spans="1:13" ht="16.8">
      <c r="A245" s="86">
        <v>51</v>
      </c>
      <c r="B245" s="75" t="s">
        <v>273</v>
      </c>
      <c r="D245" s="87">
        <v>58.463569882656216</v>
      </c>
      <c r="E245" s="88">
        <v>71.63664894784003</v>
      </c>
      <c r="F245" s="88">
        <v>83.979649980543712</v>
      </c>
      <c r="G245" s="88">
        <v>94.543294800546107</v>
      </c>
      <c r="H245" s="88">
        <v>101.88046874033162</v>
      </c>
      <c r="I245" s="88">
        <v>104.98340971238025</v>
      </c>
      <c r="J245" s="88">
        <v>104.83523653818007</v>
      </c>
      <c r="K245" s="89">
        <v>103.42826810290165</v>
      </c>
      <c r="L245" s="90">
        <v>723.75054670537952</v>
      </c>
      <c r="M245" s="90">
        <v>90.46881833817244</v>
      </c>
    </row>
    <row r="246" spans="1:13" ht="16.8">
      <c r="A246" s="86">
        <v>52</v>
      </c>
      <c r="B246" s="75" t="s">
        <v>26</v>
      </c>
      <c r="D246" s="216">
        <v>0.625</v>
      </c>
      <c r="E246" s="217">
        <v>0.625</v>
      </c>
      <c r="F246" s="217">
        <v>0.625</v>
      </c>
      <c r="G246" s="217">
        <v>0.625</v>
      </c>
      <c r="H246" s="217">
        <v>0.625</v>
      </c>
      <c r="I246" s="217">
        <v>0.625</v>
      </c>
      <c r="J246" s="217">
        <v>0.625</v>
      </c>
      <c r="K246" s="218">
        <v>0.625</v>
      </c>
      <c r="L246" s="219">
        <v>0.625</v>
      </c>
      <c r="M246" s="219">
        <v>0.625</v>
      </c>
    </row>
    <row r="247" spans="1:13" ht="16.8">
      <c r="A247" s="86">
        <v>53</v>
      </c>
      <c r="B247" s="75" t="s">
        <v>274</v>
      </c>
      <c r="D247" s="87">
        <v>21.923838705996083</v>
      </c>
      <c r="E247" s="88">
        <v>26.863743355440011</v>
      </c>
      <c r="F247" s="88">
        <v>31.492368742703892</v>
      </c>
      <c r="G247" s="88">
        <v>35.45373555020479</v>
      </c>
      <c r="H247" s="88">
        <v>38.205175777624362</v>
      </c>
      <c r="I247" s="88">
        <v>39.368778642142594</v>
      </c>
      <c r="J247" s="88">
        <v>39.313213701817524</v>
      </c>
      <c r="K247" s="89">
        <v>38.78560053858812</v>
      </c>
      <c r="L247" s="90">
        <v>271.40645501451735</v>
      </c>
      <c r="M247" s="90">
        <v>33.925806876814669</v>
      </c>
    </row>
    <row r="248" spans="1:13" ht="16.8">
      <c r="A248" s="86">
        <v>54</v>
      </c>
      <c r="B248" s="75" t="s">
        <v>275</v>
      </c>
      <c r="D248" s="87">
        <v>1.0669601503584758</v>
      </c>
      <c r="E248" s="88">
        <v>1.2178230321132806</v>
      </c>
      <c r="F248" s="88">
        <v>1.3384256715649154</v>
      </c>
      <c r="G248" s="88">
        <v>1.4063315101581233</v>
      </c>
      <c r="H248" s="88">
        <v>1.5154719725124326</v>
      </c>
      <c r="I248" s="88">
        <v>1.5616282194716562</v>
      </c>
      <c r="J248" s="88">
        <v>1.5594241435054284</v>
      </c>
      <c r="K248" s="89">
        <v>1.5384954880306623</v>
      </c>
      <c r="L248" s="90">
        <v>11.204560187714973</v>
      </c>
      <c r="M248" s="90">
        <v>1.4005700234643716</v>
      </c>
    </row>
    <row r="249" spans="1:13" ht="17.399999999999999" thickBot="1">
      <c r="A249" s="103">
        <v>55</v>
      </c>
      <c r="B249" s="104" t="s">
        <v>276</v>
      </c>
      <c r="D249" s="105">
        <v>1.4908210320077333</v>
      </c>
      <c r="E249" s="106">
        <v>1.8267345481699211</v>
      </c>
      <c r="F249" s="106">
        <v>2.141481074503865</v>
      </c>
      <c r="G249" s="106">
        <v>2.4108540174139259</v>
      </c>
      <c r="H249" s="106">
        <v>2.5979519528784567</v>
      </c>
      <c r="I249" s="106">
        <v>2.6770769476656961</v>
      </c>
      <c r="J249" s="106">
        <v>2.6732985317235918</v>
      </c>
      <c r="K249" s="107">
        <v>2.637420836623992</v>
      </c>
      <c r="L249" s="108">
        <v>18.455638940987182</v>
      </c>
      <c r="M249" s="108">
        <v>2.3069548676233977</v>
      </c>
    </row>
    <row r="254" spans="1:13">
      <c r="B254" t="s">
        <v>315</v>
      </c>
      <c r="D254" s="173">
        <v>63.681374584366871</v>
      </c>
    </row>
    <row r="255" spans="1:13">
      <c r="B255" t="s">
        <v>316</v>
      </c>
      <c r="D255" s="173">
        <v>-2.9550550399825672</v>
      </c>
    </row>
  </sheetData>
  <pageMargins left="0.7" right="0.7" top="0.75" bottom="0.75" header="0.3" footer="0.3"/>
  <pageSetup paperSize="9"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249977111117893"/>
  </sheetPr>
  <dimension ref="A1:AM155"/>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411</v>
      </c>
      <c r="C2" s="1" t="s">
        <v>384</v>
      </c>
      <c r="D2" s="2" t="s">
        <v>40</v>
      </c>
      <c r="E2" s="47" t="s">
        <v>41</v>
      </c>
      <c r="G2" s="112" t="s">
        <v>362</v>
      </c>
      <c r="H2" s="113" t="str">
        <f>RPI!$B$1</f>
        <v>Updated Oct 2019</v>
      </c>
      <c r="J2" s="224" t="s">
        <v>398</v>
      </c>
      <c r="K2">
        <f>1-0.4436</f>
        <v>0.55640000000000001</v>
      </c>
    </row>
    <row r="3" spans="1:11" ht="15.6" thickBot="1">
      <c r="C3" s="3" t="s">
        <v>42</v>
      </c>
      <c r="D3" s="62">
        <f>'GT workings 15-16'!V15/1000</f>
        <v>0.25229385799299364</v>
      </c>
      <c r="E3" s="63">
        <f>'GT workings 15-16'!L15/1000</f>
        <v>0.20357287402364305</v>
      </c>
    </row>
    <row r="4" spans="1:11" ht="15.6" thickBot="1">
      <c r="C4" s="3" t="s">
        <v>43</v>
      </c>
      <c r="D4" s="62">
        <f>'GT workings 15-16'!V16/1000</f>
        <v>1.1283043918706692</v>
      </c>
      <c r="E4" s="63">
        <f>'GT workings 15-16'!L16/1000</f>
        <v>0.89423407500752217</v>
      </c>
    </row>
    <row r="5" spans="1:11" ht="15.6" thickBot="1">
      <c r="C5" s="4" t="s">
        <v>44</v>
      </c>
      <c r="D5" s="64">
        <f>'GT workings 15-16'!V20/1000</f>
        <v>0</v>
      </c>
      <c r="E5" s="63">
        <f>'GT workings 15-16'!L20/1000</f>
        <v>0</v>
      </c>
    </row>
    <row r="6" spans="1:11" ht="15.6" thickBot="1">
      <c r="C6" s="3" t="s">
        <v>408</v>
      </c>
      <c r="D6" s="62">
        <f>'GT workings 15-16'!V21/1000</f>
        <v>0</v>
      </c>
      <c r="E6" s="63">
        <f>'GT workings 15-16'!L21/1000</f>
        <v>0</v>
      </c>
    </row>
    <row r="7" spans="1:11" ht="15.6" thickBot="1">
      <c r="C7" s="4" t="s">
        <v>46</v>
      </c>
      <c r="D7" s="64">
        <f>'GT workings 15-16'!V17/1000</f>
        <v>0.7704305528603258</v>
      </c>
      <c r="E7" s="63">
        <f>'GT workings 15-16'!L17/1000</f>
        <v>0.60703868961485508</v>
      </c>
    </row>
    <row r="8" spans="1:11" ht="16.2" thickBot="1">
      <c r="C8" s="6" t="s">
        <v>48</v>
      </c>
      <c r="D8" s="65">
        <f>SUM(D3:D7)</f>
        <v>2.1510288027239888</v>
      </c>
      <c r="E8" s="66">
        <f>SUM(E3:E7)</f>
        <v>1.7048456386460202</v>
      </c>
    </row>
    <row r="9" spans="1:11" ht="15.6" thickBot="1">
      <c r="C9" s="4" t="s">
        <v>52</v>
      </c>
      <c r="D9" s="64">
        <f>'GT workings 15-16'!V26/1000</f>
        <v>1.1150810844209129</v>
      </c>
      <c r="E9" s="63">
        <f>'GT workings 15-16'!L26/1000</f>
        <v>0.88225987635099723</v>
      </c>
    </row>
    <row r="10" spans="1:11" ht="15.6" thickBot="1">
      <c r="C10" s="3"/>
      <c r="D10" s="62"/>
      <c r="E10" s="63"/>
    </row>
    <row r="11" spans="1:11" ht="15.6" thickBot="1">
      <c r="C11" s="4" t="s">
        <v>49</v>
      </c>
      <c r="D11" s="64">
        <f>'GT workings 15-16'!V8/1000</f>
        <v>0.1866416825678523</v>
      </c>
      <c r="E11" s="63">
        <f>'GT workings 15-16'!L8/1000</f>
        <v>0.15032504731952542</v>
      </c>
    </row>
    <row r="12" spans="1:11" ht="15.6" thickBot="1">
      <c r="C12" s="3" t="s">
        <v>44</v>
      </c>
      <c r="D12" s="62">
        <f>'GT workings 15-16'!V12/1000</f>
        <v>6.1025994652696959E-2</v>
      </c>
      <c r="E12" s="63">
        <f>'GT workings 15-16'!L12/1000</f>
        <v>4.8782496753377314E-2</v>
      </c>
    </row>
    <row r="13" spans="1:11" ht="15.6" thickBot="1">
      <c r="C13" s="4" t="s">
        <v>45</v>
      </c>
      <c r="D13" s="64">
        <f>'GT workings 15-16'!V13/1000</f>
        <v>0.10816867050646548</v>
      </c>
      <c r="E13" s="63">
        <f>'GT workings 15-16'!L13/1000</f>
        <v>8.5269852497723217E-2</v>
      </c>
    </row>
    <row r="14" spans="1:11" ht="15.6" thickBot="1">
      <c r="C14" s="3" t="s">
        <v>46</v>
      </c>
      <c r="D14" s="62">
        <f>'GT workings 15-16'!V7/1000</f>
        <v>0.3878734949068352</v>
      </c>
      <c r="E14" s="63">
        <f>'GT workings 15-16'!L7/1000</f>
        <v>0.30674480978356433</v>
      </c>
    </row>
    <row r="15" spans="1:11" ht="16.2" thickBot="1">
      <c r="C15" s="5" t="s">
        <v>50</v>
      </c>
      <c r="D15" s="67">
        <f>SUM(D11:D14)</f>
        <v>0.74370984263384998</v>
      </c>
      <c r="E15" s="66">
        <f>SUM(E11:E14)</f>
        <v>0.59112220635419033</v>
      </c>
    </row>
    <row r="16" spans="1:11" ht="15.6" thickBot="1">
      <c r="C16" s="3"/>
      <c r="D16" s="62"/>
      <c r="E16" s="63"/>
    </row>
    <row r="17" spans="1:38" ht="16.2" thickBot="1">
      <c r="C17" s="5" t="s">
        <v>51</v>
      </c>
      <c r="D17" s="67">
        <f>D15+D8</f>
        <v>2.8947386453578385</v>
      </c>
      <c r="E17" s="66">
        <f>E15+E8</f>
        <v>2.2959678450002103</v>
      </c>
    </row>
    <row r="18" spans="1:38" ht="16.2" thickBot="1">
      <c r="C18" s="6"/>
      <c r="D18" s="65"/>
      <c r="E18" s="66"/>
    </row>
    <row r="19" spans="1:38" ht="16.2" thickBot="1">
      <c r="C19" s="5" t="s">
        <v>53</v>
      </c>
      <c r="D19" s="67">
        <f>'GT workings 15-16'!N164/1000</f>
        <v>5.3050164815467582</v>
      </c>
      <c r="E19" s="66">
        <f>'GT workings 15-16'!D161/1000</f>
        <v>4.6150603281741756</v>
      </c>
    </row>
    <row r="20" spans="1:38" ht="16.2" thickBot="1">
      <c r="C20" s="6" t="s">
        <v>54</v>
      </c>
      <c r="D20" s="65">
        <f>'GT workings 15-16'!U165/1000</f>
        <v>6.8854687523683964</v>
      </c>
      <c r="E20" s="66">
        <f>'GT workings 15-16'!K162/1000</f>
        <v>4.911255012019903</v>
      </c>
    </row>
    <row r="24" spans="1:38" ht="13.8" thickBot="1">
      <c r="A24" s="38" t="s">
        <v>399</v>
      </c>
    </row>
    <row r="25" spans="1:38" ht="12.75" customHeight="1" thickBot="1">
      <c r="C25" s="7" t="s">
        <v>58</v>
      </c>
      <c r="D25" s="8" t="s">
        <v>59</v>
      </c>
      <c r="E25" s="8" t="s">
        <v>60</v>
      </c>
      <c r="F25" s="8" t="s">
        <v>61</v>
      </c>
      <c r="G25" s="8" t="s">
        <v>62</v>
      </c>
      <c r="H25" s="8" t="s">
        <v>63</v>
      </c>
      <c r="I25" s="8" t="s">
        <v>64</v>
      </c>
      <c r="J25" s="8" t="s">
        <v>65</v>
      </c>
      <c r="K25" s="8" t="s">
        <v>66</v>
      </c>
      <c r="L25" s="8" t="s">
        <v>67</v>
      </c>
      <c r="S25" s="7" t="s">
        <v>58</v>
      </c>
      <c r="T25" s="8" t="s">
        <v>59</v>
      </c>
      <c r="U25" s="8" t="s">
        <v>60</v>
      </c>
      <c r="V25" s="8" t="s">
        <v>61</v>
      </c>
      <c r="W25" s="8" t="s">
        <v>62</v>
      </c>
      <c r="X25" s="8" t="s">
        <v>63</v>
      </c>
      <c r="Y25" s="8" t="s">
        <v>64</v>
      </c>
      <c r="Z25" s="8" t="s">
        <v>65</v>
      </c>
      <c r="AA25" s="8" t="s">
        <v>66</v>
      </c>
      <c r="AB25" s="8" t="s">
        <v>67</v>
      </c>
      <c r="AD25" s="164" t="s">
        <v>59</v>
      </c>
      <c r="AE25" s="164" t="s">
        <v>60</v>
      </c>
      <c r="AF25" s="164" t="s">
        <v>61</v>
      </c>
      <c r="AG25" s="164" t="s">
        <v>62</v>
      </c>
      <c r="AH25" s="164" t="s">
        <v>63</v>
      </c>
      <c r="AI25" s="164" t="s">
        <v>64</v>
      </c>
      <c r="AJ25" s="164" t="s">
        <v>65</v>
      </c>
      <c r="AK25" s="164" t="s">
        <v>66</v>
      </c>
      <c r="AL25" s="164" t="s">
        <v>345</v>
      </c>
    </row>
    <row r="26" spans="1:38" ht="12.75" customHeight="1">
      <c r="C26" s="9"/>
      <c r="D26" s="49"/>
      <c r="E26" s="49"/>
      <c r="F26" s="49"/>
      <c r="G26" s="49"/>
      <c r="H26" s="49"/>
      <c r="I26" s="49"/>
      <c r="J26" s="49"/>
      <c r="K26" s="49"/>
      <c r="L26" s="49"/>
      <c r="S26" s="9"/>
      <c r="T26" s="344"/>
      <c r="U26" s="344"/>
      <c r="V26" s="344"/>
      <c r="W26" s="344"/>
      <c r="X26" s="344"/>
      <c r="Y26" s="344"/>
      <c r="Z26" s="344"/>
      <c r="AA26" s="344"/>
      <c r="AB26" s="344"/>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338</v>
      </c>
      <c r="C27" s="10" t="s">
        <v>414</v>
      </c>
      <c r="D27" s="42">
        <f>'GT workings 15-16'!D15</f>
        <v>25.459307795372435</v>
      </c>
      <c r="E27" s="42">
        <f>'GT workings 15-16'!E15</f>
        <v>14.41280752104567</v>
      </c>
      <c r="F27" s="42">
        <f>'GT workings 15-16'!F15</f>
        <v>9.6173202079823099</v>
      </c>
      <c r="G27" s="42">
        <f>'GT workings 15-16'!G15</f>
        <v>60.446777499796859</v>
      </c>
      <c r="H27" s="42">
        <f>'GT workings 15-16'!H15</f>
        <v>84.880198528547851</v>
      </c>
      <c r="I27" s="42">
        <f>'GT workings 15-16'!I15</f>
        <v>8.5249336835233791</v>
      </c>
      <c r="J27" s="42">
        <f>'GT workings 15-16'!J15</f>
        <v>0.23152878737450566</v>
      </c>
      <c r="K27" s="42">
        <f>'GT workings 15-16'!K15</f>
        <v>0</v>
      </c>
      <c r="L27" s="50">
        <f t="shared" ref="L27:L38" si="1">SUM(D27:K27)</f>
        <v>203.57287402364304</v>
      </c>
      <c r="S27" s="10" t="s">
        <v>415</v>
      </c>
      <c r="T27" s="335">
        <v>112</v>
      </c>
      <c r="U27" s="335">
        <v>98</v>
      </c>
      <c r="V27" s="335">
        <v>107</v>
      </c>
      <c r="W27" s="335">
        <v>137</v>
      </c>
      <c r="X27" s="335">
        <v>166</v>
      </c>
      <c r="Y27" s="335">
        <v>85</v>
      </c>
      <c r="Z27" s="335">
        <v>72</v>
      </c>
      <c r="AA27" s="335">
        <v>71</v>
      </c>
      <c r="AB27" s="336">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416</v>
      </c>
      <c r="D28" s="42">
        <f>'GT workings 15-16'!D16</f>
        <v>97.132518315217595</v>
      </c>
      <c r="E28" s="42">
        <f>'GT workings 15-16'!E16</f>
        <v>109.87971241227922</v>
      </c>
      <c r="F28" s="42">
        <f>'GT workings 15-16'!F16</f>
        <v>114.43672637584547</v>
      </c>
      <c r="G28" s="42">
        <f>'GT workings 15-16'!G16</f>
        <v>123.96977718673423</v>
      </c>
      <c r="H28" s="42">
        <f>'GT workings 15-16'!H16</f>
        <v>138.27838395379189</v>
      </c>
      <c r="I28" s="42">
        <f>'GT workings 15-16'!I16</f>
        <v>117.50342084599842</v>
      </c>
      <c r="J28" s="42">
        <f>'GT workings 15-16'!J16</f>
        <v>101.87556011564801</v>
      </c>
      <c r="K28" s="42">
        <f>'GT workings 15-16'!K16</f>
        <v>91.157975802007329</v>
      </c>
      <c r="L28" s="50">
        <f t="shared" si="1"/>
        <v>894.23407500752216</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'GT workings 15-16'!D17</f>
        <v>64.482672010544718</v>
      </c>
      <c r="E29" s="43">
        <f>'GT workings 15-16'!E17</f>
        <v>65.237874215180156</v>
      </c>
      <c r="F29" s="43">
        <f>'GT workings 15-16'!F17</f>
        <v>70.772894725011071</v>
      </c>
      <c r="G29" s="43">
        <f>'GT workings 15-16'!G17</f>
        <v>79.368338266410362</v>
      </c>
      <c r="H29" s="43">
        <f>'GT workings 15-16'!H17</f>
        <v>84.317479134504765</v>
      </c>
      <c r="I29" s="43">
        <f>'GT workings 15-16'!I17</f>
        <v>84.641346358196444</v>
      </c>
      <c r="J29" s="43">
        <f>'GT workings 15-16'!J17</f>
        <v>80.728014781566515</v>
      </c>
      <c r="K29" s="43">
        <f>'GT workings 15-16'!K17</f>
        <v>77.490070123441129</v>
      </c>
      <c r="L29" s="45">
        <f t="shared" si="1"/>
        <v>607.03868961485512</v>
      </c>
      <c r="S29" s="11" t="s">
        <v>417</v>
      </c>
      <c r="T29" s="337">
        <v>90</v>
      </c>
      <c r="U29" s="337">
        <v>89</v>
      </c>
      <c r="V29" s="337">
        <v>92</v>
      </c>
      <c r="W29" s="337">
        <v>92</v>
      </c>
      <c r="X29" s="337">
        <v>94</v>
      </c>
      <c r="Y29" s="337">
        <v>95</v>
      </c>
      <c r="Z29" s="337">
        <v>96</v>
      </c>
      <c r="AA29" s="337">
        <v>96</v>
      </c>
      <c r="AB29" s="338">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71</v>
      </c>
      <c r="D30" s="50">
        <f>SUM(D27:D29)</f>
        <v>187.07449812113475</v>
      </c>
      <c r="E30" s="50">
        <f t="shared" ref="E30:K30" si="2">SUM(E27:E29)</f>
        <v>189.53039414850502</v>
      </c>
      <c r="F30" s="50">
        <f t="shared" si="2"/>
        <v>194.82694130883885</v>
      </c>
      <c r="G30" s="50">
        <f t="shared" si="2"/>
        <v>263.78489295294145</v>
      </c>
      <c r="H30" s="50">
        <f t="shared" si="2"/>
        <v>307.4760616168445</v>
      </c>
      <c r="I30" s="50">
        <f t="shared" si="2"/>
        <v>210.66970088771825</v>
      </c>
      <c r="J30" s="50">
        <f t="shared" si="2"/>
        <v>182.83510368458903</v>
      </c>
      <c r="K30" s="50">
        <f t="shared" si="2"/>
        <v>168.64804592544846</v>
      </c>
      <c r="L30" s="50">
        <f t="shared" si="1"/>
        <v>1704.8456386460205</v>
      </c>
      <c r="S30" s="12" t="s">
        <v>390</v>
      </c>
      <c r="T30" s="336">
        <v>201</v>
      </c>
      <c r="U30" s="336">
        <v>187</v>
      </c>
      <c r="V30" s="336">
        <v>198</v>
      </c>
      <c r="W30" s="336">
        <v>229</v>
      </c>
      <c r="X30" s="336">
        <v>260</v>
      </c>
      <c r="Y30" s="336">
        <v>179</v>
      </c>
      <c r="Z30" s="336">
        <v>167</v>
      </c>
      <c r="AA30" s="336">
        <v>166</v>
      </c>
      <c r="AB30" s="339">
        <v>1588</v>
      </c>
      <c r="AD30" s="50">
        <f t="shared" si="0"/>
        <v>-13.925501878865248</v>
      </c>
      <c r="AE30" s="50">
        <f t="shared" si="0"/>
        <v>2.5303941485050245</v>
      </c>
      <c r="AF30" s="50">
        <f t="shared" si="0"/>
        <v>-3.1730586911611454</v>
      </c>
      <c r="AG30" s="50">
        <f t="shared" si="0"/>
        <v>34.784892952941448</v>
      </c>
      <c r="AH30" s="50">
        <f t="shared" si="0"/>
        <v>47.476061616844504</v>
      </c>
      <c r="AI30" s="50">
        <f t="shared" si="0"/>
        <v>31.66970088771825</v>
      </c>
      <c r="AJ30" s="50">
        <f t="shared" si="0"/>
        <v>15.835103684589029</v>
      </c>
      <c r="AK30" s="50">
        <f t="shared" si="0"/>
        <v>2.6480459254484572</v>
      </c>
      <c r="AL30" s="50">
        <f t="shared" si="0"/>
        <v>116.84563864602046</v>
      </c>
    </row>
    <row r="31" spans="1:38" ht="12.75" customHeight="1">
      <c r="A31" t="s">
        <v>346</v>
      </c>
      <c r="C31" s="10" t="s">
        <v>74</v>
      </c>
      <c r="D31" s="42">
        <f>'GT workings 15-16'!D38+'GT workings 15-16'!D43</f>
        <v>0.31671006468913487</v>
      </c>
      <c r="E31" s="42">
        <f>'GT workings 15-16'!E38+'GT workings 15-16'!E43</f>
        <v>14.41280752104567</v>
      </c>
      <c r="F31" s="42">
        <f>'GT workings 15-16'!F38+'GT workings 15-16'!F43</f>
        <v>9.6173202079823099</v>
      </c>
      <c r="G31" s="42">
        <f>'GT workings 15-16'!G38+'GT workings 15-16'!G43</f>
        <v>60.446777499796859</v>
      </c>
      <c r="H31" s="42">
        <f>'GT workings 15-16'!H38+'GT workings 15-16'!H43</f>
        <v>84.880198528547851</v>
      </c>
      <c r="I31" s="42">
        <f>'GT workings 15-16'!I38+'GT workings 15-16'!I43</f>
        <v>8.5249336835233791</v>
      </c>
      <c r="J31" s="42">
        <f>'GT workings 15-16'!J38+'GT workings 15-16'!J43</f>
        <v>0.23152878737450566</v>
      </c>
      <c r="K31" s="42">
        <f>'GT workings 15-16'!K38+'GT workings 15-16'!K43</f>
        <v>0</v>
      </c>
      <c r="L31" s="50">
        <f t="shared" si="1"/>
        <v>178.43027629295972</v>
      </c>
      <c r="S31" s="10" t="s">
        <v>415</v>
      </c>
      <c r="T31" s="335">
        <v>112</v>
      </c>
      <c r="U31" s="335">
        <v>98</v>
      </c>
      <c r="V31" s="335">
        <v>107</v>
      </c>
      <c r="W31" s="335">
        <v>137</v>
      </c>
      <c r="X31" s="335">
        <v>166</v>
      </c>
      <c r="Y31" s="335">
        <v>85</v>
      </c>
      <c r="Z31" s="335">
        <v>72</v>
      </c>
      <c r="AA31" s="335">
        <v>71</v>
      </c>
      <c r="AB31" s="336">
        <v>846</v>
      </c>
      <c r="AD31" s="42">
        <f t="shared" si="0"/>
        <v>-111.68328993531087</v>
      </c>
      <c r="AE31" s="42">
        <f t="shared" si="0"/>
        <v>-83.587192478954336</v>
      </c>
      <c r="AF31" s="42">
        <f t="shared" si="0"/>
        <v>-97.382679792017683</v>
      </c>
      <c r="AG31" s="42">
        <f t="shared" si="0"/>
        <v>-76.553222500203134</v>
      </c>
      <c r="AH31" s="42">
        <f t="shared" si="0"/>
        <v>-81.119801471452149</v>
      </c>
      <c r="AI31" s="42">
        <f t="shared" si="0"/>
        <v>-76.475066316476614</v>
      </c>
      <c r="AJ31" s="42">
        <f t="shared" si="0"/>
        <v>-71.768471212625499</v>
      </c>
      <c r="AK31" s="42">
        <f t="shared" si="0"/>
        <v>-71</v>
      </c>
      <c r="AL31" s="42">
        <f t="shared" si="0"/>
        <v>-667.56972370704034</v>
      </c>
    </row>
    <row r="32" spans="1:38" ht="12.75" customHeight="1">
      <c r="C32" s="10" t="s">
        <v>75</v>
      </c>
      <c r="D32" s="42">
        <f>'GT workings 15-16'!D39+'GT workings 15-16'!D44</f>
        <v>114.68987770770943</v>
      </c>
      <c r="E32" s="42">
        <f>'GT workings 15-16'!E39+'GT workings 15-16'!E44</f>
        <v>109.87971241227922</v>
      </c>
      <c r="F32" s="42">
        <f>'GT workings 15-16'!F39+'GT workings 15-16'!F44</f>
        <v>114.43672637584547</v>
      </c>
      <c r="G32" s="42">
        <f>'GT workings 15-16'!G39+'GT workings 15-16'!G44</f>
        <v>123.96977718673423</v>
      </c>
      <c r="H32" s="42">
        <f>'GT workings 15-16'!H39+'GT workings 15-16'!H44</f>
        <v>138.27838395379189</v>
      </c>
      <c r="I32" s="42">
        <f>'GT workings 15-16'!I39+'GT workings 15-16'!I44</f>
        <v>117.50342084599842</v>
      </c>
      <c r="J32" s="42">
        <f>'GT workings 15-16'!J39+'GT workings 15-16'!J44</f>
        <v>101.87556011564801</v>
      </c>
      <c r="K32" s="42">
        <f>'GT workings 15-16'!K39+'GT workings 15-16'!K44</f>
        <v>91.157975802007329</v>
      </c>
      <c r="L32" s="50">
        <f t="shared" si="1"/>
        <v>911.79143440001394</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'GT workings 15-16'!D40+'GT workings 15-16'!D45</f>
        <v>60.831375330765255</v>
      </c>
      <c r="E33" s="43">
        <f>'GT workings 15-16'!E40+'GT workings 15-16'!E45</f>
        <v>65.237874215180156</v>
      </c>
      <c r="F33" s="43">
        <f>'GT workings 15-16'!F40+'GT workings 15-16'!F45</f>
        <v>70.772894725011071</v>
      </c>
      <c r="G33" s="43">
        <f>'GT workings 15-16'!G40+'GT workings 15-16'!G45</f>
        <v>79.368338266410362</v>
      </c>
      <c r="H33" s="43">
        <f>'GT workings 15-16'!H40+'GT workings 15-16'!H45</f>
        <v>84.317479134504765</v>
      </c>
      <c r="I33" s="43">
        <f>'GT workings 15-16'!I40+'GT workings 15-16'!I45</f>
        <v>84.641346358196444</v>
      </c>
      <c r="J33" s="43">
        <f>'GT workings 15-16'!J40+'GT workings 15-16'!J45</f>
        <v>80.728014781566515</v>
      </c>
      <c r="K33" s="43">
        <f>'GT workings 15-16'!K40+'GT workings 15-16'!K45</f>
        <v>77.490070123441129</v>
      </c>
      <c r="L33" s="45">
        <f t="shared" si="1"/>
        <v>603.38739293507558</v>
      </c>
      <c r="S33" s="11" t="s">
        <v>417</v>
      </c>
      <c r="T33" s="337">
        <v>90</v>
      </c>
      <c r="U33" s="337">
        <v>89</v>
      </c>
      <c r="V33" s="337">
        <v>92</v>
      </c>
      <c r="W33" s="337">
        <v>92</v>
      </c>
      <c r="X33" s="337">
        <v>94</v>
      </c>
      <c r="Y33" s="337">
        <v>95</v>
      </c>
      <c r="Z33" s="337">
        <v>96</v>
      </c>
      <c r="AA33" s="337">
        <v>96</v>
      </c>
      <c r="AB33" s="338">
        <v>743</v>
      </c>
      <c r="AD33" s="43">
        <f t="shared" ref="AD33:AL35" si="3">D33-T33</f>
        <v>-29.168624669234745</v>
      </c>
      <c r="AE33" s="43">
        <f t="shared" si="3"/>
        <v>-23.762125784819844</v>
      </c>
      <c r="AF33" s="43">
        <f t="shared" si="3"/>
        <v>-21.227105274988929</v>
      </c>
      <c r="AG33" s="43">
        <f t="shared" si="3"/>
        <v>-12.631661733589638</v>
      </c>
      <c r="AH33" s="43">
        <f t="shared" si="3"/>
        <v>-9.6825208654952348</v>
      </c>
      <c r="AI33" s="43">
        <f t="shared" si="3"/>
        <v>-10.358653641803556</v>
      </c>
      <c r="AJ33" s="43">
        <f t="shared" si="3"/>
        <v>-15.271985218433485</v>
      </c>
      <c r="AK33" s="43">
        <f t="shared" si="3"/>
        <v>-18.509929876558871</v>
      </c>
      <c r="AL33" s="43">
        <f t="shared" si="3"/>
        <v>-139.61260706492442</v>
      </c>
    </row>
    <row r="34" spans="1:39" ht="12.75" customHeight="1">
      <c r="C34" s="12" t="s">
        <v>77</v>
      </c>
      <c r="D34" s="50">
        <f t="shared" ref="D34:K34" si="4">SUM(D31:D33)</f>
        <v>175.83796310316382</v>
      </c>
      <c r="E34" s="50">
        <f t="shared" si="4"/>
        <v>189.53039414850502</v>
      </c>
      <c r="F34" s="50">
        <f t="shared" si="4"/>
        <v>194.82694130883885</v>
      </c>
      <c r="G34" s="50">
        <f t="shared" si="4"/>
        <v>263.78489295294145</v>
      </c>
      <c r="H34" s="50">
        <f t="shared" si="4"/>
        <v>307.4760616168445</v>
      </c>
      <c r="I34" s="50">
        <f t="shared" si="4"/>
        <v>210.66970088771825</v>
      </c>
      <c r="J34" s="50">
        <f t="shared" si="4"/>
        <v>182.83510368458903</v>
      </c>
      <c r="K34" s="50">
        <f t="shared" si="4"/>
        <v>168.64804592544846</v>
      </c>
      <c r="L34" s="50">
        <f t="shared" si="1"/>
        <v>1693.6091036280493</v>
      </c>
      <c r="S34" s="12" t="s">
        <v>390</v>
      </c>
      <c r="T34" s="336">
        <v>201</v>
      </c>
      <c r="U34" s="336">
        <v>187</v>
      </c>
      <c r="V34" s="336">
        <v>198</v>
      </c>
      <c r="W34" s="336">
        <v>229</v>
      </c>
      <c r="X34" s="336">
        <v>260</v>
      </c>
      <c r="Y34" s="336">
        <v>179</v>
      </c>
      <c r="Z34" s="336">
        <v>167</v>
      </c>
      <c r="AA34" s="336">
        <v>166</v>
      </c>
      <c r="AB34" s="339">
        <v>1588</v>
      </c>
      <c r="AD34" s="50">
        <f t="shared" si="3"/>
        <v>-25.162036896836184</v>
      </c>
      <c r="AE34" s="50">
        <f t="shared" si="3"/>
        <v>2.5303941485050245</v>
      </c>
      <c r="AF34" s="50">
        <f t="shared" si="3"/>
        <v>-3.1730586911611454</v>
      </c>
      <c r="AG34" s="50">
        <f t="shared" si="3"/>
        <v>34.784892952941448</v>
      </c>
      <c r="AH34" s="50">
        <f t="shared" si="3"/>
        <v>47.476061616844504</v>
      </c>
      <c r="AI34" s="50">
        <f t="shared" si="3"/>
        <v>31.66970088771825</v>
      </c>
      <c r="AJ34" s="50">
        <f t="shared" si="3"/>
        <v>15.835103684589029</v>
      </c>
      <c r="AK34" s="50">
        <f t="shared" si="3"/>
        <v>2.6480459254484572</v>
      </c>
      <c r="AL34" s="50">
        <f t="shared" si="3"/>
        <v>105.6091036280493</v>
      </c>
    </row>
    <row r="35" spans="1:39" ht="12.75" customHeight="1">
      <c r="A35" t="s">
        <v>233</v>
      </c>
      <c r="C35" s="10" t="s">
        <v>418</v>
      </c>
      <c r="D35" s="42">
        <f>D27-(D27-D31)*$K$2</f>
        <v>11.469966418020247</v>
      </c>
      <c r="E35" s="42">
        <f t="shared" ref="E35:K35" si="5">E27-(E27-E31)*$K$2</f>
        <v>14.41280752104567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189.58353264629085</v>
      </c>
      <c r="S35" s="10" t="s">
        <v>415</v>
      </c>
      <c r="T35" s="335">
        <v>112</v>
      </c>
      <c r="U35" s="335">
        <v>98</v>
      </c>
      <c r="V35" s="335">
        <v>107</v>
      </c>
      <c r="W35" s="335">
        <v>137</v>
      </c>
      <c r="X35" s="335">
        <v>166</v>
      </c>
      <c r="Y35" s="335">
        <v>85</v>
      </c>
      <c r="Z35" s="335">
        <v>72</v>
      </c>
      <c r="AA35" s="335">
        <v>71</v>
      </c>
      <c r="AB35" s="336">
        <v>846</v>
      </c>
      <c r="AD35" s="42">
        <f t="shared" si="3"/>
        <v>-100.53003358197975</v>
      </c>
      <c r="AE35" s="42">
        <f t="shared" si="3"/>
        <v>-83.587192478954336</v>
      </c>
      <c r="AF35" s="42">
        <f t="shared" si="3"/>
        <v>-97.382679792017683</v>
      </c>
      <c r="AG35" s="42">
        <f t="shared" si="3"/>
        <v>-76.553222500203134</v>
      </c>
      <c r="AH35" s="42">
        <f t="shared" si="3"/>
        <v>-81.119801471452149</v>
      </c>
      <c r="AI35" s="42">
        <f t="shared" si="3"/>
        <v>-76.475066316476614</v>
      </c>
      <c r="AJ35" s="42">
        <f t="shared" si="3"/>
        <v>-71.768471212625499</v>
      </c>
      <c r="AK35" s="42">
        <f t="shared" si="3"/>
        <v>-71</v>
      </c>
      <c r="AL35" s="42">
        <f t="shared" si="3"/>
        <v>-656.41646735370909</v>
      </c>
    </row>
    <row r="36" spans="1:39" ht="12.75" customHeight="1">
      <c r="C36" s="10" t="s">
        <v>419</v>
      </c>
      <c r="D36" s="42">
        <f t="shared" ref="D36:K38" si="6">D28-(D28-D32)*$K$2</f>
        <v>106.90143308120005</v>
      </c>
      <c r="E36" s="42">
        <f t="shared" si="6"/>
        <v>109.87971241227922</v>
      </c>
      <c r="F36" s="42">
        <f t="shared" si="6"/>
        <v>114.43672637584547</v>
      </c>
      <c r="G36" s="42">
        <f t="shared" si="6"/>
        <v>123.96977718673423</v>
      </c>
      <c r="H36" s="42">
        <f t="shared" si="6"/>
        <v>138.27838395379189</v>
      </c>
      <c r="I36" s="42">
        <f t="shared" si="6"/>
        <v>117.50342084599842</v>
      </c>
      <c r="J36" s="42">
        <f t="shared" si="6"/>
        <v>101.87556011564801</v>
      </c>
      <c r="K36" s="42">
        <f t="shared" si="6"/>
        <v>91.157975802007329</v>
      </c>
      <c r="L36" s="50">
        <f t="shared" si="1"/>
        <v>904.00298977350462</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 t="shared" si="6"/>
        <v>62.451090537915427</v>
      </c>
      <c r="E37" s="43">
        <f t="shared" si="6"/>
        <v>65.237874215180156</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605.00710814222577</v>
      </c>
      <c r="S37" s="11" t="s">
        <v>417</v>
      </c>
      <c r="T37" s="337">
        <v>90</v>
      </c>
      <c r="U37" s="337">
        <v>89</v>
      </c>
      <c r="V37" s="337">
        <v>92</v>
      </c>
      <c r="W37" s="337">
        <v>92</v>
      </c>
      <c r="X37" s="337">
        <v>94</v>
      </c>
      <c r="Y37" s="337">
        <v>95</v>
      </c>
      <c r="Z37" s="337">
        <v>96</v>
      </c>
      <c r="AA37" s="337">
        <v>96</v>
      </c>
      <c r="AB37" s="338">
        <v>743</v>
      </c>
      <c r="AD37" s="43">
        <f t="shared" ref="AD37:AL38" si="7">D37-T37</f>
        <v>-27.548909462084573</v>
      </c>
      <c r="AE37" s="43">
        <f t="shared" si="7"/>
        <v>-23.762125784819844</v>
      </c>
      <c r="AF37" s="43">
        <f t="shared" si="7"/>
        <v>-21.227105274988929</v>
      </c>
      <c r="AG37" s="43">
        <f t="shared" si="7"/>
        <v>-12.631661733589638</v>
      </c>
      <c r="AH37" s="43">
        <f t="shared" si="7"/>
        <v>-9.6825208654952348</v>
      </c>
      <c r="AI37" s="43">
        <f t="shared" si="7"/>
        <v>-10.358653641803556</v>
      </c>
      <c r="AJ37" s="43">
        <f t="shared" si="7"/>
        <v>-15.271985218433485</v>
      </c>
      <c r="AK37" s="43">
        <f t="shared" si="7"/>
        <v>-18.509929876558871</v>
      </c>
      <c r="AL37" s="43">
        <f t="shared" si="7"/>
        <v>-137.99289185777423</v>
      </c>
    </row>
    <row r="38" spans="1:39" ht="12.75" customHeight="1">
      <c r="C38" s="12" t="s">
        <v>78</v>
      </c>
      <c r="D38" s="50">
        <f t="shared" si="6"/>
        <v>180.82249003713574</v>
      </c>
      <c r="E38" s="50">
        <f t="shared" si="6"/>
        <v>189.53039414850502</v>
      </c>
      <c r="F38" s="50">
        <f t="shared" si="6"/>
        <v>194.82694130883885</v>
      </c>
      <c r="G38" s="50">
        <f t="shared" si="6"/>
        <v>263.78489295294145</v>
      </c>
      <c r="H38" s="50">
        <f t="shared" si="6"/>
        <v>307.4760616168445</v>
      </c>
      <c r="I38" s="50">
        <f t="shared" si="6"/>
        <v>210.66970088771825</v>
      </c>
      <c r="J38" s="50">
        <f t="shared" si="6"/>
        <v>182.83510368458903</v>
      </c>
      <c r="K38" s="50">
        <f t="shared" si="6"/>
        <v>168.64804592544846</v>
      </c>
      <c r="L38" s="50">
        <f t="shared" si="1"/>
        <v>1698.5936305620214</v>
      </c>
      <c r="S38" s="12" t="s">
        <v>390</v>
      </c>
      <c r="T38" s="336">
        <v>201</v>
      </c>
      <c r="U38" s="336">
        <v>187</v>
      </c>
      <c r="V38" s="336">
        <v>198</v>
      </c>
      <c r="W38" s="336">
        <v>229</v>
      </c>
      <c r="X38" s="336">
        <v>260</v>
      </c>
      <c r="Y38" s="336">
        <v>179</v>
      </c>
      <c r="Z38" s="336">
        <v>167</v>
      </c>
      <c r="AA38" s="336">
        <v>166</v>
      </c>
      <c r="AB38" s="339">
        <v>1588</v>
      </c>
      <c r="AD38" s="50">
        <f t="shared" si="7"/>
        <v>-20.177509962864264</v>
      </c>
      <c r="AE38" s="50">
        <f t="shared" si="7"/>
        <v>2.5303941485050245</v>
      </c>
      <c r="AF38" s="50">
        <f t="shared" si="7"/>
        <v>-3.1730586911611454</v>
      </c>
      <c r="AG38" s="50">
        <f t="shared" si="7"/>
        <v>34.784892952941448</v>
      </c>
      <c r="AH38" s="50">
        <f t="shared" si="7"/>
        <v>47.476061616844504</v>
      </c>
      <c r="AI38" s="50">
        <f t="shared" si="7"/>
        <v>31.66970088771825</v>
      </c>
      <c r="AJ38" s="50">
        <f t="shared" si="7"/>
        <v>15.835103684589029</v>
      </c>
      <c r="AK38" s="50">
        <f t="shared" si="7"/>
        <v>2.6480459254484572</v>
      </c>
      <c r="AL38" s="50">
        <f t="shared" si="7"/>
        <v>110.59363056202142</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'GT workings 15-16'!D121</f>
        <v>57.294277713235871</v>
      </c>
      <c r="E40" s="43">
        <f>'GT workings 15-16'!E121</f>
        <v>67.472820316867796</v>
      </c>
      <c r="F40" s="43">
        <f>'GT workings 15-16'!F121</f>
        <v>69.358391105946623</v>
      </c>
      <c r="G40" s="43">
        <f>'GT workings 15-16'!G121</f>
        <v>93.907421891247139</v>
      </c>
      <c r="H40" s="43">
        <f>'GT workings 15-16'!H121</f>
        <v>109.4614779355966</v>
      </c>
      <c r="I40" s="43">
        <f>'GT workings 15-16'!I121</f>
        <v>74.998413516027682</v>
      </c>
      <c r="J40" s="43">
        <f>'GT workings 15-16'!J121</f>
        <v>65.089296911713689</v>
      </c>
      <c r="K40" s="43">
        <f>'GT workings 15-16'!K121</f>
        <v>60.03870434945965</v>
      </c>
      <c r="L40" s="45">
        <f>SUM(D40:K40)</f>
        <v>597.62080374009508</v>
      </c>
      <c r="S40" s="11" t="s">
        <v>79</v>
      </c>
      <c r="T40" s="337">
        <v>95</v>
      </c>
      <c r="U40" s="337">
        <v>88</v>
      </c>
      <c r="V40" s="337">
        <v>93</v>
      </c>
      <c r="W40" s="337">
        <v>108</v>
      </c>
      <c r="X40" s="337">
        <v>122</v>
      </c>
      <c r="Y40" s="337">
        <v>84</v>
      </c>
      <c r="Z40" s="337">
        <v>79</v>
      </c>
      <c r="AA40" s="337">
        <v>78</v>
      </c>
      <c r="AB40" s="338">
        <v>747</v>
      </c>
      <c r="AD40" s="43">
        <f t="shared" si="0"/>
        <v>-37.705722286764129</v>
      </c>
      <c r="AE40" s="43">
        <f t="shared" si="0"/>
        <v>-20.527179683132204</v>
      </c>
      <c r="AF40" s="43">
        <f t="shared" si="0"/>
        <v>-23.641608894053377</v>
      </c>
      <c r="AG40" s="43">
        <f t="shared" si="0"/>
        <v>-14.092578108752861</v>
      </c>
      <c r="AH40" s="43">
        <f t="shared" si="0"/>
        <v>-12.538522064403395</v>
      </c>
      <c r="AI40" s="43">
        <f t="shared" si="0"/>
        <v>-9.0015864839723179</v>
      </c>
      <c r="AJ40" s="43">
        <f t="shared" si="0"/>
        <v>-13.910703088286311</v>
      </c>
      <c r="AK40" s="43">
        <f t="shared" si="0"/>
        <v>-17.96129565054035</v>
      </c>
      <c r="AL40" s="43">
        <f t="shared" si="0"/>
        <v>-149.37919625990492</v>
      </c>
    </row>
    <row r="41" spans="1:39" ht="12.75" customHeight="1">
      <c r="C41" s="10" t="s">
        <v>80</v>
      </c>
      <c r="D41" s="42">
        <f>'GT workings 15-16'!D122</f>
        <v>103.64470462731434</v>
      </c>
      <c r="E41" s="42">
        <f>'GT workings 15-16'!E122</f>
        <v>122.05757383163726</v>
      </c>
      <c r="F41" s="42">
        <f>'GT workings 15-16'!F122</f>
        <v>125.46855020289223</v>
      </c>
      <c r="G41" s="42">
        <f>'GT workings 15-16'!G122</f>
        <v>169.87747106169431</v>
      </c>
      <c r="H41" s="42">
        <f>'GT workings 15-16'!H122</f>
        <v>198.01458368124784</v>
      </c>
      <c r="I41" s="42">
        <f>'GT workings 15-16'!I122</f>
        <v>135.67128737169054</v>
      </c>
      <c r="J41" s="42">
        <f>'GT workings 15-16'!J122</f>
        <v>117.74580677287534</v>
      </c>
      <c r="K41" s="42">
        <f>'GT workings 15-16'!K122</f>
        <v>108.60934157598881</v>
      </c>
      <c r="L41" s="50">
        <f>SUM(D41:K41)</f>
        <v>1081.0893191253406</v>
      </c>
      <c r="S41" s="10" t="s">
        <v>80</v>
      </c>
      <c r="T41" s="335">
        <v>107</v>
      </c>
      <c r="U41" s="335">
        <v>99</v>
      </c>
      <c r="V41" s="335">
        <v>105</v>
      </c>
      <c r="W41" s="335">
        <v>121</v>
      </c>
      <c r="X41" s="335">
        <v>138</v>
      </c>
      <c r="Y41" s="335">
        <v>95</v>
      </c>
      <c r="Z41" s="335">
        <v>89</v>
      </c>
      <c r="AA41" s="335">
        <v>88</v>
      </c>
      <c r="AB41" s="336">
        <v>842</v>
      </c>
      <c r="AD41" s="42">
        <f t="shared" si="0"/>
        <v>-3.35529537268566</v>
      </c>
      <c r="AE41" s="42">
        <f t="shared" si="0"/>
        <v>23.057573831637256</v>
      </c>
      <c r="AF41" s="42">
        <f t="shared" si="0"/>
        <v>20.468550202892231</v>
      </c>
      <c r="AG41" s="42">
        <f t="shared" si="0"/>
        <v>48.877471061694308</v>
      </c>
      <c r="AH41" s="42">
        <f t="shared" si="0"/>
        <v>60.014583681247842</v>
      </c>
      <c r="AI41" s="42">
        <f t="shared" si="0"/>
        <v>40.671287371690539</v>
      </c>
      <c r="AJ41" s="42">
        <f t="shared" si="0"/>
        <v>28.745806772875341</v>
      </c>
      <c r="AK41" s="42">
        <f t="shared" si="0"/>
        <v>20.609341575988807</v>
      </c>
      <c r="AL41" s="42">
        <f t="shared" si="0"/>
        <v>239.08931912534058</v>
      </c>
    </row>
    <row r="42" spans="1:39" ht="12.75" customHeight="1">
      <c r="C42" s="39" t="s">
        <v>420</v>
      </c>
      <c r="D42" s="45">
        <f>D41+D40</f>
        <v>160.93898234055021</v>
      </c>
      <c r="E42" s="45">
        <f t="shared" ref="E42:K42" si="8">E41+E40</f>
        <v>189.53039414850505</v>
      </c>
      <c r="F42" s="45">
        <f t="shared" si="8"/>
        <v>194.82694130883885</v>
      </c>
      <c r="G42" s="45">
        <f t="shared" si="8"/>
        <v>263.78489295294145</v>
      </c>
      <c r="H42" s="45">
        <f t="shared" si="8"/>
        <v>307.47606161684445</v>
      </c>
      <c r="I42" s="45">
        <f t="shared" si="8"/>
        <v>210.66970088771822</v>
      </c>
      <c r="J42" s="45">
        <f t="shared" si="8"/>
        <v>182.83510368458903</v>
      </c>
      <c r="K42" s="45">
        <f t="shared" si="8"/>
        <v>168.64804592544846</v>
      </c>
      <c r="L42" s="45">
        <f t="shared" ref="L42" si="9">L41+L40</f>
        <v>1678.7101228654356</v>
      </c>
      <c r="S42" s="39" t="s">
        <v>421</v>
      </c>
      <c r="T42" s="338">
        <v>201</v>
      </c>
      <c r="U42" s="338">
        <v>187</v>
      </c>
      <c r="V42" s="338">
        <v>198</v>
      </c>
      <c r="W42" s="338">
        <v>229</v>
      </c>
      <c r="X42" s="338">
        <v>260</v>
      </c>
      <c r="Y42" s="338">
        <v>179</v>
      </c>
      <c r="Z42" s="338">
        <v>167</v>
      </c>
      <c r="AA42" s="338">
        <v>166</v>
      </c>
      <c r="AB42" s="340">
        <v>1588</v>
      </c>
      <c r="AD42" s="45">
        <f t="shared" si="0"/>
        <v>-40.061017659449789</v>
      </c>
      <c r="AE42" s="45">
        <f t="shared" si="0"/>
        <v>2.530394148505053</v>
      </c>
      <c r="AF42" s="45">
        <f t="shared" si="0"/>
        <v>-3.1730586911611454</v>
      </c>
      <c r="AG42" s="45">
        <f t="shared" si="0"/>
        <v>34.784892952941448</v>
      </c>
      <c r="AH42" s="45">
        <f t="shared" si="0"/>
        <v>47.476061616844447</v>
      </c>
      <c r="AI42" s="45">
        <f t="shared" si="0"/>
        <v>31.669700887718221</v>
      </c>
      <c r="AJ42" s="45">
        <f t="shared" si="0"/>
        <v>15.835103684589029</v>
      </c>
      <c r="AK42" s="45">
        <f t="shared" si="0"/>
        <v>2.6480459254484572</v>
      </c>
      <c r="AL42" s="45">
        <f t="shared" si="0"/>
        <v>90.710122865435551</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'GT workings 15-16'!D123</f>
        <v>1.9883507696585525</v>
      </c>
      <c r="E44" s="43">
        <f>'GT workings 15-16'!E123</f>
        <v>0</v>
      </c>
      <c r="F44" s="43">
        <f>'GT workings 15-16'!F123</f>
        <v>0</v>
      </c>
      <c r="G44" s="43">
        <f>'GT workings 15-16'!G123</f>
        <v>0</v>
      </c>
      <c r="H44" s="43">
        <f>'GT workings 15-16'!H123</f>
        <v>0</v>
      </c>
      <c r="I44" s="43">
        <f>'GT workings 15-16'!I123</f>
        <v>0</v>
      </c>
      <c r="J44" s="43">
        <f>'GT workings 15-16'!J123</f>
        <v>0</v>
      </c>
      <c r="K44" s="43">
        <f>'GT workings 15-16'!K123</f>
        <v>0</v>
      </c>
      <c r="L44" s="45">
        <f>SUM(D44:K44)</f>
        <v>1.9883507696585525</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'GT workings 15-16'!D124</f>
        <v>17.895156926926962</v>
      </c>
      <c r="E45" s="42">
        <f>'GT workings 15-16'!E124</f>
        <v>0</v>
      </c>
      <c r="F45" s="42">
        <f>'GT workings 15-16'!F124</f>
        <v>0</v>
      </c>
      <c r="G45" s="42">
        <f>'GT workings 15-16'!G124</f>
        <v>0</v>
      </c>
      <c r="H45" s="42">
        <f>'GT workings 15-16'!H124</f>
        <v>0</v>
      </c>
      <c r="I45" s="42">
        <f>'GT workings 15-16'!I124</f>
        <v>0</v>
      </c>
      <c r="J45" s="42">
        <f>'GT workings 15-16'!J124</f>
        <v>0</v>
      </c>
      <c r="K45" s="42">
        <f>'GT workings 15-16'!K124</f>
        <v>0</v>
      </c>
      <c r="L45" s="50">
        <f>SUM(D45:K45)</f>
        <v>17.895156926926962</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D45+D44</f>
        <v>19.883507696585514</v>
      </c>
      <c r="E46" s="45">
        <f t="shared" ref="E46:L46" si="10">E45+E44</f>
        <v>0</v>
      </c>
      <c r="F46" s="45">
        <f t="shared" si="10"/>
        <v>0</v>
      </c>
      <c r="G46" s="45">
        <f t="shared" si="10"/>
        <v>0</v>
      </c>
      <c r="H46" s="45">
        <f t="shared" si="10"/>
        <v>0</v>
      </c>
      <c r="I46" s="45">
        <f t="shared" si="10"/>
        <v>0</v>
      </c>
      <c r="J46" s="45">
        <f t="shared" si="10"/>
        <v>0</v>
      </c>
      <c r="K46" s="45">
        <f t="shared" si="10"/>
        <v>0</v>
      </c>
      <c r="L46" s="45">
        <f t="shared" si="10"/>
        <v>19.883507696585514</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12"/>
      <c r="D47" s="45"/>
      <c r="E47" s="45"/>
      <c r="F47" s="45"/>
      <c r="G47" s="45"/>
      <c r="H47" s="45"/>
      <c r="I47" s="45"/>
      <c r="J47" s="45"/>
      <c r="K47" s="45"/>
      <c r="L47" s="45"/>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D41+D45</f>
        <v>121.5398615542413</v>
      </c>
      <c r="E48" s="44">
        <f t="shared" ref="E48:L48" si="11">E41+E45</f>
        <v>122.05757383163726</v>
      </c>
      <c r="F48" s="44">
        <f t="shared" si="11"/>
        <v>125.46855020289223</v>
      </c>
      <c r="G48" s="44">
        <f t="shared" si="11"/>
        <v>169.87747106169431</v>
      </c>
      <c r="H48" s="44">
        <f t="shared" si="11"/>
        <v>198.01458368124784</v>
      </c>
      <c r="I48" s="44">
        <f t="shared" si="11"/>
        <v>135.67128737169054</v>
      </c>
      <c r="J48" s="44">
        <f t="shared" si="11"/>
        <v>117.74580677287534</v>
      </c>
      <c r="K48" s="44">
        <f t="shared" si="11"/>
        <v>108.60934157598881</v>
      </c>
      <c r="L48" s="44">
        <f t="shared" si="11"/>
        <v>1098.9844760522676</v>
      </c>
      <c r="M48" s="109"/>
      <c r="N48" s="109"/>
      <c r="S48" s="23" t="s">
        <v>423</v>
      </c>
      <c r="T48" s="342">
        <v>156</v>
      </c>
      <c r="U48" s="342">
        <v>193</v>
      </c>
      <c r="V48" s="342">
        <v>300</v>
      </c>
      <c r="W48" s="342">
        <v>405</v>
      </c>
      <c r="X48" s="342">
        <v>527</v>
      </c>
      <c r="Y48" s="342">
        <v>468</v>
      </c>
      <c r="Z48" s="342">
        <v>514</v>
      </c>
      <c r="AA48" s="342">
        <v>552</v>
      </c>
      <c r="AB48" s="343">
        <v>3114</v>
      </c>
      <c r="AC48" s="109" t="e">
        <f>#REF!+AB42</f>
        <v>#REF!</v>
      </c>
      <c r="AD48" s="44">
        <f t="shared" si="0"/>
        <v>-34.460138445758702</v>
      </c>
      <c r="AE48" s="44">
        <f t="shared" si="0"/>
        <v>-70.942426168362744</v>
      </c>
      <c r="AF48" s="44">
        <f t="shared" si="0"/>
        <v>-174.53144979710777</v>
      </c>
      <c r="AG48" s="44">
        <f t="shared" si="0"/>
        <v>-235.12252893830569</v>
      </c>
      <c r="AH48" s="44">
        <f t="shared" si="0"/>
        <v>-328.98541631875219</v>
      </c>
      <c r="AI48" s="44">
        <f t="shared" si="0"/>
        <v>-332.32871262830946</v>
      </c>
      <c r="AJ48" s="44">
        <f t="shared" si="0"/>
        <v>-396.25419322712469</v>
      </c>
      <c r="AK48" s="44">
        <f t="shared" si="0"/>
        <v>-443.39065842401118</v>
      </c>
      <c r="AL48" s="44">
        <f t="shared" si="0"/>
        <v>-2015.0155239477324</v>
      </c>
      <c r="AM48" s="109" t="e">
        <f>#REF!+AL42</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'GT workings 15-16'!D135</f>
        <v>4562.0597731988728</v>
      </c>
      <c r="E52" s="41">
        <f>D56</f>
        <v>4639.038887835537</v>
      </c>
      <c r="F52" s="41">
        <f t="shared" ref="F52:K52" si="12">E56</f>
        <v>4637.6070966726902</v>
      </c>
      <c r="G52" s="41">
        <f t="shared" si="12"/>
        <v>4681.4255364391229</v>
      </c>
      <c r="H52" s="41">
        <f t="shared" si="12"/>
        <v>4805.940097576572</v>
      </c>
      <c r="I52" s="41">
        <f t="shared" si="12"/>
        <v>4915.0100811748816</v>
      </c>
      <c r="J52" s="41">
        <f t="shared" si="12"/>
        <v>4908.897884660214</v>
      </c>
      <c r="K52" s="41">
        <f t="shared" si="12"/>
        <v>4863.0876126417443</v>
      </c>
    </row>
    <row r="53" spans="1:14">
      <c r="C53" s="10" t="s">
        <v>86</v>
      </c>
      <c r="D53" s="42">
        <f>'GT workings 15-16'!D136</f>
        <v>223.19045317389737</v>
      </c>
      <c r="E53" s="42">
        <f>'GT workings 15-16'!E136</f>
        <v>148.06659958282847</v>
      </c>
      <c r="F53" s="42">
        <f>'GT workings 15-16'!F136</f>
        <v>194.93446375185869</v>
      </c>
      <c r="G53" s="42">
        <f>'GT workings 15-16'!G136</f>
        <v>278.28972645527188</v>
      </c>
      <c r="H53" s="42">
        <f>'GT workings 15-16'!H136</f>
        <v>267.35662941971634</v>
      </c>
      <c r="I53" s="42">
        <f>'GT workings 15-16'!I136</f>
        <v>156.44297209842156</v>
      </c>
      <c r="J53" s="42">
        <f>'GT workings 15-16'!J136</f>
        <v>118.5486714458289</v>
      </c>
      <c r="K53" s="42">
        <f>'GT workings 15-16'!K136</f>
        <v>108.60158359588414</v>
      </c>
    </row>
    <row r="54" spans="1:14">
      <c r="C54" s="11" t="s">
        <v>92</v>
      </c>
      <c r="D54" s="42">
        <f>'GT workings 15-16'!D167</f>
        <v>-146.2113385372329</v>
      </c>
      <c r="E54" s="42">
        <f>'GT workings 15-16'!E167</f>
        <v>-144.8534073247952</v>
      </c>
      <c r="F54" s="42">
        <f>'GT workings 15-16'!F167</f>
        <v>-143.75882243451284</v>
      </c>
      <c r="G54" s="42">
        <f>'GT workings 15-16'!G167</f>
        <v>-143.62994616195874</v>
      </c>
      <c r="H54" s="42">
        <f>'GT workings 15-16'!H167</f>
        <v>-144.36654415261827</v>
      </c>
      <c r="I54" s="42">
        <f>'GT workings 15-16'!I167</f>
        <v>-144.23491526205311</v>
      </c>
      <c r="J54" s="42">
        <f>'GT workings 15-16'!J167</f>
        <v>-143.02394501567156</v>
      </c>
      <c r="K54" s="42">
        <f>'GT workings 15-16'!K167</f>
        <v>-141.36922321253945</v>
      </c>
    </row>
    <row r="55" spans="1:14">
      <c r="C55" s="10" t="s">
        <v>93</v>
      </c>
      <c r="D55" s="42">
        <f>'GT workings 15-16'!D168</f>
        <v>0</v>
      </c>
      <c r="E55" s="42">
        <f>'GT workings 15-16'!E168</f>
        <v>-4.6449834208797194</v>
      </c>
      <c r="F55" s="42">
        <f>'GT workings 15-16'!F168</f>
        <v>-7.3572015509137767</v>
      </c>
      <c r="G55" s="42">
        <f>'GT workings 15-16'!G168</f>
        <v>-10.145219155864611</v>
      </c>
      <c r="H55" s="42">
        <f>'GT workings 15-16'!H168</f>
        <v>-13.920101668788826</v>
      </c>
      <c r="I55" s="42">
        <f>'GT workings 15-16'!I168</f>
        <v>-18.320253351036452</v>
      </c>
      <c r="J55" s="42">
        <f>'GT workings 15-16'!J168</f>
        <v>-21.33499844862725</v>
      </c>
      <c r="K55" s="42">
        <f>'GT workings 15-16'!K168</f>
        <v>-23.951399532911044</v>
      </c>
      <c r="N55" s="132" t="s">
        <v>301</v>
      </c>
    </row>
    <row r="56" spans="1:14" ht="13.8" thickBot="1">
      <c r="C56" s="23" t="s">
        <v>94</v>
      </c>
      <c r="D56" s="44">
        <f>SUM(D52:D55)</f>
        <v>4639.038887835537</v>
      </c>
      <c r="E56" s="44">
        <f t="shared" ref="E56:K56" si="13">SUM(E52:E55)</f>
        <v>4637.6070966726902</v>
      </c>
      <c r="F56" s="44">
        <f t="shared" si="13"/>
        <v>4681.4255364391229</v>
      </c>
      <c r="G56" s="44">
        <f t="shared" si="13"/>
        <v>4805.940097576572</v>
      </c>
      <c r="H56" s="44">
        <f t="shared" si="13"/>
        <v>4915.0100811748816</v>
      </c>
      <c r="I56" s="44">
        <f t="shared" si="13"/>
        <v>4908.897884660214</v>
      </c>
      <c r="J56" s="44">
        <f t="shared" si="13"/>
        <v>4863.0876126417443</v>
      </c>
      <c r="K56" s="44">
        <f t="shared" si="13"/>
        <v>4806.3685734921783</v>
      </c>
      <c r="N56" s="133">
        <f>(K56/D56)^(1/7)-1</f>
        <v>5.0749220304597831E-3</v>
      </c>
    </row>
    <row r="58" spans="1:14">
      <c r="D58" s="53">
        <f>D56-D65-D66</f>
        <v>0</v>
      </c>
      <c r="E58" s="53">
        <f t="shared" ref="E58:K58" si="14">E56-E65-E66</f>
        <v>-1.5916157281026244E-12</v>
      </c>
      <c r="F58" s="53">
        <f t="shared" si="14"/>
        <v>-1.6484591469634324E-12</v>
      </c>
      <c r="G58" s="53">
        <f t="shared" si="14"/>
        <v>-9.6633812063373625E-13</v>
      </c>
      <c r="H58" s="53">
        <f t="shared" si="14"/>
        <v>-4.2632564145606011E-13</v>
      </c>
      <c r="I58" s="53">
        <f t="shared" si="14"/>
        <v>-3.5527136788005009E-14</v>
      </c>
      <c r="J58" s="53">
        <f t="shared" si="14"/>
        <v>7.6794126613322078E-13</v>
      </c>
      <c r="K58" s="53">
        <f t="shared" si="14"/>
        <v>9.0949470177292824E-13</v>
      </c>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'GT workings 15-16'!D59</f>
        <v>4014.3985484751774</v>
      </c>
      <c r="E61" s="41">
        <f>'GT workings 15-16'!E59</f>
        <v>4323.5527183744853</v>
      </c>
      <c r="F61" s="41">
        <f>'GT workings 15-16'!F59</f>
        <v>4305.4053692527796</v>
      </c>
      <c r="G61" s="41">
        <f>'GT workings 15-16'!G59</f>
        <v>4289.9346665698476</v>
      </c>
      <c r="H61" s="41">
        <f>'GT workings 15-16'!H59</f>
        <v>4330.1179571247139</v>
      </c>
      <c r="I61" s="41">
        <f>'GT workings 15-16'!I59</f>
        <v>4845.6602774563089</v>
      </c>
      <c r="J61" s="41">
        <f>'GT workings 15-16'!J59</f>
        <v>4888.1184419533784</v>
      </c>
      <c r="K61" s="41">
        <f>'GT workings 15-16'!K59</f>
        <v>4862.2769899886853</v>
      </c>
    </row>
    <row r="62" spans="1:14">
      <c r="C62" s="10" t="s">
        <v>85</v>
      </c>
      <c r="D62" s="42">
        <f>'GT workings 15-16'!D60</f>
        <v>238.90848777994489</v>
      </c>
      <c r="E62" s="42">
        <f>'GT workings 15-16'!E60</f>
        <v>1.5889649604528906</v>
      </c>
      <c r="F62" s="42">
        <f>'GT workings 15-16'!F60</f>
        <v>1.9371656435515117</v>
      </c>
      <c r="G62" s="42">
        <f>'GT workings 15-16'!G60</f>
        <v>14.654700839030934</v>
      </c>
      <c r="H62" s="42">
        <f>'GT workings 15-16'!H60</f>
        <v>475.82214045185901</v>
      </c>
      <c r="I62" s="42">
        <f>'GT workings 15-16'!I60</f>
        <v>69.349803718573156</v>
      </c>
      <c r="J62" s="42">
        <f>'GT workings 15-16'!J60</f>
        <v>20.779442706835688</v>
      </c>
      <c r="K62" s="42">
        <f>'GT workings 15-16'!K60</f>
        <v>0.81062265305823133</v>
      </c>
    </row>
    <row r="63" spans="1:14">
      <c r="C63" s="11" t="s">
        <v>86</v>
      </c>
      <c r="D63" s="43">
        <f>'GT workings 15-16'!D62</f>
        <v>209.02425393958737</v>
      </c>
      <c r="E63" s="43">
        <f>'GT workings 15-16'!E62</f>
        <v>122.04981585153259</v>
      </c>
      <c r="F63" s="43">
        <f>'GT workings 15-16'!F62</f>
        <v>125.46079222278756</v>
      </c>
      <c r="G63" s="43">
        <f>'GT workings 15-16'!G62</f>
        <v>169.86971308158965</v>
      </c>
      <c r="H63" s="43">
        <f>'GT workings 15-16'!H62</f>
        <v>198.00682570114319</v>
      </c>
      <c r="I63" s="43">
        <f>'GT workings 15-16'!I62</f>
        <v>135.66352939158588</v>
      </c>
      <c r="J63" s="43">
        <f>'GT workings 15-16'!J62</f>
        <v>117.73804879277067</v>
      </c>
      <c r="K63" s="43">
        <f>'GT workings 15-16'!K62</f>
        <v>108.60158359588414</v>
      </c>
    </row>
    <row r="64" spans="1:14">
      <c r="C64" s="10" t="s">
        <v>87</v>
      </c>
      <c r="D64" s="42">
        <f>'GT workings 15-16'!D63</f>
        <v>-138.77857182022461</v>
      </c>
      <c r="E64" s="42">
        <f>'GT workings 15-16'!E63</f>
        <v>-141.78612993369205</v>
      </c>
      <c r="F64" s="42">
        <f>'GT workings 15-16'!F63</f>
        <v>-142.86866054927162</v>
      </c>
      <c r="G64" s="42">
        <f>'GT workings 15-16'!G63</f>
        <v>-144.34112336575427</v>
      </c>
      <c r="H64" s="42">
        <f>'GT workings 15-16'!H63</f>
        <v>-158.28664582140709</v>
      </c>
      <c r="I64" s="42">
        <f>'GT workings 15-16'!I63</f>
        <v>-162.55516861308956</v>
      </c>
      <c r="J64" s="42">
        <f>'GT workings 15-16'!J63</f>
        <v>-164.35894346429882</v>
      </c>
      <c r="K64" s="42">
        <f>'GT workings 15-16'!K63</f>
        <v>-165.32062274545049</v>
      </c>
    </row>
    <row r="65" spans="1:14">
      <c r="C65" s="39" t="s">
        <v>94</v>
      </c>
      <c r="D65" s="45">
        <f>SUM(D61:D64)</f>
        <v>4323.5527183744853</v>
      </c>
      <c r="E65" s="45">
        <f t="shared" ref="E65:K65" si="15">SUM(E61:E64)</f>
        <v>4305.4053692527796</v>
      </c>
      <c r="F65" s="45">
        <f t="shared" si="15"/>
        <v>4289.9346665698476</v>
      </c>
      <c r="G65" s="45">
        <f t="shared" si="15"/>
        <v>4330.1179571247139</v>
      </c>
      <c r="H65" s="45">
        <f t="shared" si="15"/>
        <v>4845.6602774563089</v>
      </c>
      <c r="I65" s="45">
        <f t="shared" si="15"/>
        <v>4888.1184419533784</v>
      </c>
      <c r="J65" s="45">
        <f t="shared" si="15"/>
        <v>4862.2769899886853</v>
      </c>
      <c r="K65" s="45">
        <f t="shared" si="15"/>
        <v>4806.3685734921773</v>
      </c>
    </row>
    <row r="66" spans="1:14">
      <c r="C66" s="10" t="s">
        <v>89</v>
      </c>
      <c r="D66" s="42">
        <f>'GT workings 15-16'!D133</f>
        <v>315.48616946105216</v>
      </c>
      <c r="E66" s="42">
        <f>'GT workings 15-16'!E133</f>
        <v>332.20172741991223</v>
      </c>
      <c r="F66" s="42">
        <f>'GT workings 15-16'!F133</f>
        <v>391.49086986927688</v>
      </c>
      <c r="G66" s="42">
        <f>'GT workings 15-16'!G133</f>
        <v>475.82214045185907</v>
      </c>
      <c r="H66" s="42">
        <f>'GT workings 15-16'!H133</f>
        <v>69.349803718573156</v>
      </c>
      <c r="I66" s="42">
        <f>'GT workings 15-16'!I133</f>
        <v>20.779442706835688</v>
      </c>
      <c r="J66" s="42">
        <f>'GT workings 15-16'!J133</f>
        <v>0.81062265305823133</v>
      </c>
      <c r="K66" s="42">
        <f>'GT workings 15-16'!K133</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'GT workings 15-16'!D75</f>
        <v>59.282628482894424</v>
      </c>
      <c r="E70" s="42">
        <f>'GT workings 15-16'!E75</f>
        <v>67.472820316867796</v>
      </c>
      <c r="F70" s="42">
        <f>'GT workings 15-16'!F75</f>
        <v>69.358391105946623</v>
      </c>
      <c r="G70" s="42">
        <f>'GT workings 15-16'!G75</f>
        <v>93.907421891247139</v>
      </c>
      <c r="H70" s="42">
        <f>'GT workings 15-16'!H75</f>
        <v>109.4614779355966</v>
      </c>
      <c r="I70" s="42">
        <f>'GT workings 15-16'!I75</f>
        <v>74.998413516027682</v>
      </c>
      <c r="J70" s="42">
        <f>'GT workings 15-16'!J75</f>
        <v>65.089296911713689</v>
      </c>
      <c r="K70" s="42">
        <f>'GT workings 15-16'!K75</f>
        <v>60.03870434945965</v>
      </c>
    </row>
    <row r="71" spans="1:14">
      <c r="C71" s="11" t="s">
        <v>98</v>
      </c>
      <c r="D71" s="43">
        <f>'GT workings 15-16'!D76</f>
        <v>110.11544616012048</v>
      </c>
      <c r="E71" s="43">
        <f>'GT workings 15-16'!E76</f>
        <v>110.29121834911521</v>
      </c>
      <c r="F71" s="43">
        <f>'GT workings 15-16'!F76</f>
        <v>110.32860169190292</v>
      </c>
      <c r="G71" s="43">
        <f>'GT workings 15-16'!G76</f>
        <v>110.3596633646699</v>
      </c>
      <c r="H71" s="43">
        <f>'GT workings 15-16'!H76</f>
        <v>110.27343835902431</v>
      </c>
      <c r="I71" s="43">
        <f>'GT workings 15-16'!I76</f>
        <v>110.27662588032852</v>
      </c>
      <c r="J71" s="43">
        <f>'GT workings 15-16'!J76</f>
        <v>110.30420904525512</v>
      </c>
      <c r="K71" s="43">
        <f>'GT workings 15-16'!K76</f>
        <v>110.31067350058066</v>
      </c>
    </row>
    <row r="72" spans="1:14">
      <c r="C72" s="10" t="s">
        <v>99</v>
      </c>
      <c r="D72" s="42">
        <f>'GT workings 15-16'!D145</f>
        <v>40.732299345663577</v>
      </c>
      <c r="E72" s="42">
        <f>'GT workings 15-16'!E145</f>
        <v>41.126253271024638</v>
      </c>
      <c r="F72" s="42">
        <f>'GT workings 15-16'!F145</f>
        <v>64.595975561248082</v>
      </c>
      <c r="G72" s="42">
        <f>'GT workings 15-16'!G145</f>
        <v>65.218853516336324</v>
      </c>
      <c r="H72" s="42">
        <f>'GT workings 15-16'!H145</f>
        <v>65.663398226688543</v>
      </c>
      <c r="I72" s="42">
        <f>'GT workings 15-16'!I145</f>
        <v>66.230507508475981</v>
      </c>
      <c r="J72" s="42">
        <f>'GT workings 15-16'!J145</f>
        <v>66.92111638112749</v>
      </c>
      <c r="K72" s="42">
        <f>'GT workings 15-16'!K145</f>
        <v>67.436198608939492</v>
      </c>
    </row>
    <row r="73" spans="1:14">
      <c r="C73" s="11" t="s">
        <v>100</v>
      </c>
      <c r="D73" s="43">
        <f>'GT workings 15-16'!D79</f>
        <v>0</v>
      </c>
      <c r="E73" s="43">
        <f>'GT workings 15-16'!E79</f>
        <v>0</v>
      </c>
      <c r="F73" s="43">
        <f>'GT workings 15-16'!F79</f>
        <v>0</v>
      </c>
      <c r="G73" s="43">
        <f>'GT workings 15-16'!G79</f>
        <v>0</v>
      </c>
      <c r="H73" s="43">
        <f>'GT workings 15-16'!H79</f>
        <v>0</v>
      </c>
      <c r="I73" s="43">
        <f>'GT workings 15-16'!I79</f>
        <v>0</v>
      </c>
      <c r="J73" s="43">
        <f>'GT workings 15-16'!J79</f>
        <v>0</v>
      </c>
      <c r="K73" s="43">
        <f>'GT workings 15-16'!K79</f>
        <v>0</v>
      </c>
    </row>
    <row r="74" spans="1:14">
      <c r="C74" s="10" t="s">
        <v>101</v>
      </c>
      <c r="D74" s="42">
        <f>'GT workings 15-16'!D80</f>
        <v>-1.1295718210052885</v>
      </c>
      <c r="E74" s="42">
        <f>'GT workings 15-16'!E80</f>
        <v>-1.1444007312827333</v>
      </c>
      <c r="F74" s="42">
        <f>'GT workings 15-16'!F80</f>
        <v>-1.1763817360750841</v>
      </c>
      <c r="G74" s="42">
        <f>'GT workings 15-16'!G80</f>
        <v>-1.5927557463957547</v>
      </c>
      <c r="H74" s="42">
        <f>'GT workings 15-16'!H80</f>
        <v>-1.8565667598967899</v>
      </c>
      <c r="I74" s="42">
        <f>'GT workings 15-16'!I80</f>
        <v>-1.2720416735170972</v>
      </c>
      <c r="J74" s="42">
        <f>'GT workings 15-16'!J80</f>
        <v>-1.1039739947823479</v>
      </c>
      <c r="K74" s="42">
        <f>'GT workings 15-16'!K80</f>
        <v>-1.018311326547777</v>
      </c>
    </row>
    <row r="75" spans="1:14">
      <c r="C75" s="11" t="s">
        <v>102</v>
      </c>
      <c r="D75" s="43">
        <f>'GT workings 15-16'!D82</f>
        <v>11.214946661443744</v>
      </c>
      <c r="E75" s="43">
        <f>'GT workings 15-16'!E82</f>
        <v>15.124557079445065</v>
      </c>
      <c r="F75" s="43">
        <f>'GT workings 15-16'!F82</f>
        <v>16.96862032365302</v>
      </c>
      <c r="G75" s="43">
        <f>'GT workings 15-16'!G82</f>
        <v>22.157454445484717</v>
      </c>
      <c r="H75" s="43">
        <f>'GT workings 15-16'!H82</f>
        <v>29.645232955012141</v>
      </c>
      <c r="I75" s="43">
        <f>'GT workings 15-16'!I82</f>
        <v>22.990961752186053</v>
      </c>
      <c r="J75" s="43">
        <f>'GT workings 15-16'!J82</f>
        <v>24.991070578450046</v>
      </c>
      <c r="K75" s="43">
        <f>'GT workings 15-16'!K82</f>
        <v>28.452106611678143</v>
      </c>
    </row>
    <row r="76" spans="1:14">
      <c r="C76" s="10" t="s">
        <v>103</v>
      </c>
      <c r="D76" s="42">
        <f>'GT workings 15-16'!D77+'GT workings 15-16'!D78</f>
        <v>322.43304356351916</v>
      </c>
      <c r="E76" s="42">
        <f>'GT workings 15-16'!E77+'GT workings 15-16'!E78</f>
        <v>321.45545218812936</v>
      </c>
      <c r="F76" s="42">
        <f>'GT workings 15-16'!F77+'GT workings 15-16'!F78</f>
        <v>317.45699023906911</v>
      </c>
      <c r="G76" s="42">
        <f>'GT workings 15-16'!G77+'GT workings 15-16'!G78</f>
        <v>319.67183238854221</v>
      </c>
      <c r="H76" s="42">
        <f>'GT workings 15-16'!H77+'GT workings 15-16'!H78</f>
        <v>354.26110844274717</v>
      </c>
      <c r="I76" s="42">
        <f>'GT workings 15-16'!I77+'GT workings 15-16'!I78</f>
        <v>361.63410367827242</v>
      </c>
      <c r="J76" s="42">
        <f>'GT workings 15-16'!J77+'GT workings 15-16'!J78</f>
        <v>362.79714187645777</v>
      </c>
      <c r="K76" s="42">
        <f>'GT workings 15-16'!K77+'GT workings 15-16'!K78</f>
        <v>361.69742648222871</v>
      </c>
    </row>
    <row r="77" spans="1:14">
      <c r="C77" s="11" t="s">
        <v>104</v>
      </c>
      <c r="D77" s="43">
        <f>'GT workings 15-16'!D153</f>
        <v>-9.4309918831626298</v>
      </c>
      <c r="E77" s="43">
        <f>'GT workings 15-16'!E153</f>
        <v>-8.7265590381970419</v>
      </c>
      <c r="F77" s="43">
        <f>'GT workings 15-16'!F153</f>
        <v>-8.5138345783423315</v>
      </c>
      <c r="G77" s="43">
        <f>'GT workings 15-16'!G153</f>
        <v>-8.1798640986823923</v>
      </c>
      <c r="H77" s="43">
        <f>'GT workings 15-16'!H153</f>
        <v>10.976232782728456</v>
      </c>
      <c r="I77" s="43">
        <f>'GT workings 15-16'!I153</f>
        <v>11.555372928662766</v>
      </c>
      <c r="J77" s="43">
        <f>'GT workings 15-16'!J153</f>
        <v>12.158511194394231</v>
      </c>
      <c r="K77" s="43">
        <f>'GT workings 15-16'!K153</f>
        <v>12.786642002011941</v>
      </c>
    </row>
    <row r="78" spans="1:14">
      <c r="C78" s="12" t="s">
        <v>105</v>
      </c>
      <c r="D78" s="50">
        <f>SUM(D70:D77)</f>
        <v>533.21780050947348</v>
      </c>
      <c r="E78" s="50">
        <f t="shared" ref="E78:K78" si="16">SUM(E70:E77)</f>
        <v>545.59934143510225</v>
      </c>
      <c r="F78" s="50">
        <f t="shared" si="16"/>
        <v>569.01836260740242</v>
      </c>
      <c r="G78" s="50">
        <f t="shared" si="16"/>
        <v>601.54260576120214</v>
      </c>
      <c r="H78" s="50">
        <f t="shared" si="16"/>
        <v>678.42432194190042</v>
      </c>
      <c r="I78" s="50">
        <f t="shared" si="16"/>
        <v>646.41394359043625</v>
      </c>
      <c r="J78" s="50">
        <f t="shared" si="16"/>
        <v>641.15737199261605</v>
      </c>
      <c r="K78" s="50">
        <f t="shared" si="16"/>
        <v>639.70344022835081</v>
      </c>
    </row>
    <row r="79" spans="1:14">
      <c r="C79" s="11" t="s">
        <v>106</v>
      </c>
      <c r="D79" s="43">
        <f>'GT workings 15-16'!D89</f>
        <v>3.5</v>
      </c>
      <c r="E79" s="43">
        <f>'GT workings 15-16'!E89</f>
        <v>2.9</v>
      </c>
      <c r="F79" s="43">
        <f>'GT workings 15-16'!F89</f>
        <v>3</v>
      </c>
      <c r="G79" s="43">
        <f>'GT workings 15-16'!G89</f>
        <v>3.1</v>
      </c>
      <c r="H79" s="43">
        <f>'GT workings 15-16'!H89</f>
        <v>3</v>
      </c>
      <c r="I79" s="43">
        <f>'GT workings 15-16'!I89</f>
        <v>3</v>
      </c>
      <c r="J79" s="43">
        <f>'GT workings 15-16'!J89</f>
        <v>3</v>
      </c>
      <c r="K79" s="43">
        <f>'GT workings 15-16'!K89</f>
        <v>3</v>
      </c>
      <c r="N79" s="132" t="s">
        <v>301</v>
      </c>
    </row>
    <row r="80" spans="1:14" ht="13.8" thickBot="1">
      <c r="A80" s="38"/>
      <c r="C80" s="13" t="s">
        <v>107</v>
      </c>
      <c r="D80" s="52">
        <f>D78+D79</f>
        <v>536.71780050947348</v>
      </c>
      <c r="E80" s="52">
        <f t="shared" ref="E80:K80" si="17">E78+E79</f>
        <v>548.49934143510222</v>
      </c>
      <c r="F80" s="52">
        <f t="shared" si="17"/>
        <v>572.01836260740242</v>
      </c>
      <c r="G80" s="52">
        <f t="shared" si="17"/>
        <v>604.64260576120216</v>
      </c>
      <c r="H80" s="52">
        <f t="shared" si="17"/>
        <v>681.42432194190042</v>
      </c>
      <c r="I80" s="52">
        <f t="shared" si="17"/>
        <v>649.41394359043625</v>
      </c>
      <c r="J80" s="52">
        <f t="shared" si="17"/>
        <v>644.15737199261605</v>
      </c>
      <c r="K80" s="52">
        <f t="shared" si="17"/>
        <v>642.70344022835081</v>
      </c>
      <c r="N80" s="133">
        <f>(K80/D80)^(1/7)-1</f>
        <v>2.6078672690865501E-2</v>
      </c>
    </row>
    <row r="82" spans="3:14" ht="13.8" thickBot="1">
      <c r="D82" s="109">
        <f>'GT workings 15-16'!D90-D80</f>
        <v>5.4683408828531128</v>
      </c>
      <c r="E82" s="109">
        <f>'GT workings 15-16'!E90-E80</f>
        <v>4.9879812963405357</v>
      </c>
      <c r="F82" s="109">
        <f>'GT workings 15-16'!F90-F80</f>
        <v>-11.15012348176333</v>
      </c>
      <c r="G82" s="109">
        <f>'GT workings 15-16'!G90-G80</f>
        <v>-20.97267654001655</v>
      </c>
      <c r="H82" s="109">
        <f>'GT workings 15-16'!H90-H80</f>
        <v>-19.80512710844107</v>
      </c>
      <c r="I82" s="109">
        <f>'GT workings 15-16'!I90-I80</f>
        <v>-19.543983954024043</v>
      </c>
      <c r="J82" s="109">
        <f>'GT workings 15-16'!J90-J80</f>
        <v>-19.432902758388764</v>
      </c>
      <c r="K82" s="109">
        <f>'GT workings 15-16'!K90-K80</f>
        <v>-19.365310383383303</v>
      </c>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42</v>
      </c>
      <c r="D85" s="126">
        <f>'GT workings 15-16'!D15</f>
        <v>25.459307795372435</v>
      </c>
      <c r="E85" s="126">
        <f>'GT workings 15-16'!E15</f>
        <v>14.41280752104567</v>
      </c>
      <c r="F85" s="126">
        <f>'GT workings 15-16'!F15</f>
        <v>9.6173202079823099</v>
      </c>
      <c r="G85" s="126">
        <f>'GT workings 15-16'!G15</f>
        <v>60.446777499796859</v>
      </c>
      <c r="H85" s="126">
        <f>'GT workings 15-16'!H15</f>
        <v>84.880198528547851</v>
      </c>
      <c r="I85" s="126">
        <f>'GT workings 15-16'!I15</f>
        <v>8.5249336835233791</v>
      </c>
      <c r="J85" s="126">
        <f>'GT workings 15-16'!J15</f>
        <v>0.23152878737450566</v>
      </c>
      <c r="K85" s="126">
        <f>'GT workings 15-16'!K15</f>
        <v>0</v>
      </c>
      <c r="L85" s="126">
        <f>SUM(D85:K85)</f>
        <v>203.57287402364304</v>
      </c>
      <c r="M85" s="53">
        <f t="shared" ref="M85:M90" si="18">E3</f>
        <v>0.20357287402364305</v>
      </c>
      <c r="N85" s="53"/>
    </row>
    <row r="86" spans="3:14">
      <c r="C86" s="17" t="s">
        <v>43</v>
      </c>
      <c r="D86" s="126">
        <f>'GT workings 15-16'!D16</f>
        <v>97.132518315217595</v>
      </c>
      <c r="E86" s="126">
        <f>'GT workings 15-16'!E16</f>
        <v>109.87971241227922</v>
      </c>
      <c r="F86" s="126">
        <f>'GT workings 15-16'!F16</f>
        <v>114.43672637584547</v>
      </c>
      <c r="G86" s="126">
        <f>'GT workings 15-16'!G16</f>
        <v>123.96977718673423</v>
      </c>
      <c r="H86" s="126">
        <f>'GT workings 15-16'!H16</f>
        <v>138.27838395379189</v>
      </c>
      <c r="I86" s="126">
        <f>'GT workings 15-16'!I16</f>
        <v>117.50342084599842</v>
      </c>
      <c r="J86" s="126">
        <f>'GT workings 15-16'!J16</f>
        <v>101.87556011564801</v>
      </c>
      <c r="K86" s="126">
        <f>'GT workings 15-16'!K16</f>
        <v>91.157975802007329</v>
      </c>
      <c r="L86" s="126">
        <f>SUM(D86:K86)</f>
        <v>894.23407500752216</v>
      </c>
      <c r="M86" s="53">
        <f t="shared" si="18"/>
        <v>0.89423407500752217</v>
      </c>
      <c r="N86" s="53"/>
    </row>
    <row r="87" spans="3:14">
      <c r="C87" s="18" t="s">
        <v>44</v>
      </c>
      <c r="D87" s="128">
        <f>'GT workings 15-16'!D20</f>
        <v>0</v>
      </c>
      <c r="E87" s="128">
        <f>'GT workings 15-16'!E20</f>
        <v>0</v>
      </c>
      <c r="F87" s="128">
        <f>'GT workings 15-16'!F20</f>
        <v>0</v>
      </c>
      <c r="G87" s="128">
        <f>'GT workings 15-16'!G20</f>
        <v>0</v>
      </c>
      <c r="H87" s="128">
        <f>'GT workings 15-16'!H20</f>
        <v>0</v>
      </c>
      <c r="I87" s="128">
        <f>'GT workings 15-16'!I20</f>
        <v>0</v>
      </c>
      <c r="J87" s="128">
        <f>'GT workings 15-16'!J20</f>
        <v>0</v>
      </c>
      <c r="K87" s="128">
        <f>'GT workings 15-16'!K20</f>
        <v>0</v>
      </c>
      <c r="L87" s="128">
        <f t="shared" ref="L87:L101" si="19">SUM(D87:K87)</f>
        <v>0</v>
      </c>
      <c r="M87" s="53">
        <f t="shared" si="18"/>
        <v>0</v>
      </c>
      <c r="N87" s="53"/>
    </row>
    <row r="88" spans="3:14">
      <c r="C88" s="17" t="s">
        <v>408</v>
      </c>
      <c r="D88" s="126">
        <f>'GT workings 15-16'!D21</f>
        <v>0</v>
      </c>
      <c r="E88" s="126">
        <f>'GT workings 15-16'!E21</f>
        <v>0</v>
      </c>
      <c r="F88" s="126">
        <f>'GT workings 15-16'!F21</f>
        <v>0</v>
      </c>
      <c r="G88" s="126">
        <f>'GT workings 15-16'!G21</f>
        <v>0</v>
      </c>
      <c r="H88" s="126">
        <f>'GT workings 15-16'!H21</f>
        <v>0</v>
      </c>
      <c r="I88" s="126">
        <f>'GT workings 15-16'!I21</f>
        <v>0</v>
      </c>
      <c r="J88" s="126">
        <f>'GT workings 15-16'!J21</f>
        <v>0</v>
      </c>
      <c r="K88" s="126">
        <f>'GT workings 15-16'!K21</f>
        <v>0</v>
      </c>
      <c r="L88" s="126">
        <f t="shared" si="19"/>
        <v>0</v>
      </c>
      <c r="M88" s="53">
        <f t="shared" si="18"/>
        <v>0</v>
      </c>
      <c r="N88" s="53"/>
    </row>
    <row r="89" spans="3:14">
      <c r="C89" s="18" t="s">
        <v>46</v>
      </c>
      <c r="D89" s="127">
        <f>'GT workings 15-16'!D17</f>
        <v>64.482672010544718</v>
      </c>
      <c r="E89" s="127">
        <f>'GT workings 15-16'!E17</f>
        <v>65.237874215180156</v>
      </c>
      <c r="F89" s="127">
        <f>'GT workings 15-16'!F17</f>
        <v>70.772894725011071</v>
      </c>
      <c r="G89" s="127">
        <f>'GT workings 15-16'!G17</f>
        <v>79.368338266410362</v>
      </c>
      <c r="H89" s="127">
        <f>'GT workings 15-16'!H17</f>
        <v>84.317479134504765</v>
      </c>
      <c r="I89" s="127">
        <f>'GT workings 15-16'!I17</f>
        <v>84.641346358196444</v>
      </c>
      <c r="J89" s="127">
        <f>'GT workings 15-16'!J17</f>
        <v>80.728014781566515</v>
      </c>
      <c r="K89" s="127">
        <f>'GT workings 15-16'!K17</f>
        <v>77.490070123441129</v>
      </c>
      <c r="L89" s="127">
        <f t="shared" si="19"/>
        <v>607.03868961485512</v>
      </c>
      <c r="M89" s="53">
        <f t="shared" si="18"/>
        <v>0.60703868961485508</v>
      </c>
      <c r="N89" s="53"/>
    </row>
    <row r="90" spans="3:14">
      <c r="C90" s="18" t="s">
        <v>137</v>
      </c>
      <c r="D90" s="127">
        <f>D38-D30</f>
        <v>-6.2520080839990158</v>
      </c>
      <c r="E90" s="127">
        <f t="shared" ref="E90:K90" si="20">E38-E30</f>
        <v>0</v>
      </c>
      <c r="F90" s="127">
        <f t="shared" si="20"/>
        <v>0</v>
      </c>
      <c r="G90" s="127">
        <f t="shared" si="20"/>
        <v>0</v>
      </c>
      <c r="H90" s="127">
        <f t="shared" si="20"/>
        <v>0</v>
      </c>
      <c r="I90" s="127">
        <f t="shared" si="20"/>
        <v>0</v>
      </c>
      <c r="J90" s="127">
        <f t="shared" si="20"/>
        <v>0</v>
      </c>
      <c r="K90" s="127">
        <f t="shared" si="20"/>
        <v>0</v>
      </c>
      <c r="L90" s="127">
        <f t="shared" ref="L90" si="21">SUM(D90:K90)</f>
        <v>-6.2520080839990158</v>
      </c>
      <c r="M90" s="53">
        <f t="shared" si="18"/>
        <v>1.7048456386460202</v>
      </c>
      <c r="N90" s="53"/>
    </row>
    <row r="91" spans="3:14">
      <c r="C91" s="19" t="s">
        <v>48</v>
      </c>
      <c r="D91" s="129">
        <f>SUM(D85:D90)</f>
        <v>180.82249003713574</v>
      </c>
      <c r="E91" s="129">
        <f t="shared" ref="E91:K91" si="22">SUM(E85:E90)</f>
        <v>189.53039414850502</v>
      </c>
      <c r="F91" s="129">
        <f t="shared" si="22"/>
        <v>194.82694130883885</v>
      </c>
      <c r="G91" s="129">
        <f t="shared" si="22"/>
        <v>263.78489295294145</v>
      </c>
      <c r="H91" s="129">
        <f t="shared" si="22"/>
        <v>307.4760616168445</v>
      </c>
      <c r="I91" s="129">
        <f t="shared" si="22"/>
        <v>210.66970088771825</v>
      </c>
      <c r="J91" s="129">
        <f t="shared" si="22"/>
        <v>182.83510368458903</v>
      </c>
      <c r="K91" s="129">
        <f t="shared" si="22"/>
        <v>168.64804592544846</v>
      </c>
      <c r="L91" s="129">
        <f t="shared" si="19"/>
        <v>1698.5936305620214</v>
      </c>
      <c r="M91" s="53">
        <f t="shared" ref="M91:M97" si="23">E8</f>
        <v>1.7048456386460202</v>
      </c>
      <c r="N91" s="53"/>
    </row>
    <row r="92" spans="3:14">
      <c r="C92" s="18" t="s">
        <v>52</v>
      </c>
      <c r="D92" s="128">
        <f>'GT workings 15-16'!D26</f>
        <v>110.11544616012048</v>
      </c>
      <c r="E92" s="128">
        <f>'GT workings 15-16'!E26</f>
        <v>110.29121834911521</v>
      </c>
      <c r="F92" s="128">
        <f>'GT workings 15-16'!F26</f>
        <v>110.32860169190292</v>
      </c>
      <c r="G92" s="128">
        <f>'GT workings 15-16'!G26</f>
        <v>110.3596633646699</v>
      </c>
      <c r="H92" s="128">
        <f>'GT workings 15-16'!H26</f>
        <v>110.27343835902431</v>
      </c>
      <c r="I92" s="128">
        <f>'GT workings 15-16'!I26</f>
        <v>110.27662588032852</v>
      </c>
      <c r="J92" s="128">
        <f>'GT workings 15-16'!J26</f>
        <v>110.30420904525512</v>
      </c>
      <c r="K92" s="128">
        <f>'GT workings 15-16'!K26</f>
        <v>110.31067350058066</v>
      </c>
      <c r="L92" s="128">
        <f t="shared" si="19"/>
        <v>882.25987635099727</v>
      </c>
      <c r="M92" s="53">
        <f t="shared" si="23"/>
        <v>0.88225987635099723</v>
      </c>
      <c r="N92" s="53"/>
    </row>
    <row r="93" spans="3:14">
      <c r="C93" s="17"/>
      <c r="D93" s="126"/>
      <c r="E93" s="126"/>
      <c r="F93" s="126"/>
      <c r="G93" s="126"/>
      <c r="H93" s="126"/>
      <c r="I93" s="126"/>
      <c r="J93" s="126"/>
      <c r="K93" s="126"/>
      <c r="L93" s="126"/>
      <c r="M93" s="53">
        <f t="shared" si="23"/>
        <v>0</v>
      </c>
      <c r="N93" s="53"/>
    </row>
    <row r="94" spans="3:14">
      <c r="C94" s="18" t="s">
        <v>49</v>
      </c>
      <c r="D94" s="127">
        <f>'GT workings 15-16'!D8</f>
        <v>33.734064323833628</v>
      </c>
      <c r="E94" s="127">
        <f>'GT workings 15-16'!E8</f>
        <v>27.39346022326454</v>
      </c>
      <c r="F94" s="127">
        <f>'GT workings 15-16'!F8</f>
        <v>18.58964637976759</v>
      </c>
      <c r="G94" s="127">
        <f>'GT workings 15-16'!G8</f>
        <v>15.690053681814245</v>
      </c>
      <c r="H94" s="127">
        <f>'GT workings 15-16'!H8</f>
        <v>14.117331818843784</v>
      </c>
      <c r="I94" s="127">
        <f>'GT workings 15-16'!I8</f>
        <v>12.8424465294623</v>
      </c>
      <c r="J94" s="127">
        <f>'GT workings 15-16'!J8</f>
        <v>15.120708694627556</v>
      </c>
      <c r="K94" s="127">
        <f>'GT workings 15-16'!K8</f>
        <v>12.837335667911791</v>
      </c>
      <c r="L94" s="127">
        <f t="shared" si="19"/>
        <v>150.32504731952542</v>
      </c>
      <c r="M94" s="53">
        <f t="shared" si="23"/>
        <v>0.15032504731952542</v>
      </c>
      <c r="N94" s="53"/>
    </row>
    <row r="95" spans="3:14">
      <c r="C95" s="17" t="s">
        <v>44</v>
      </c>
      <c r="D95" s="126">
        <f>'GT workings 15-16'!D12</f>
        <v>7.1559568178343396</v>
      </c>
      <c r="E95" s="126">
        <f>'GT workings 15-16'!E12</f>
        <v>4.9583696669587889</v>
      </c>
      <c r="F95" s="126">
        <f>'GT workings 15-16'!F12</f>
        <v>6.5268703309989426</v>
      </c>
      <c r="G95" s="126">
        <f>'GT workings 15-16'!G12</f>
        <v>8.9978253214108026</v>
      </c>
      <c r="H95" s="126">
        <f>'GT workings 15-16'!H12</f>
        <v>8.0555897404504044</v>
      </c>
      <c r="I95" s="126">
        <f>'GT workings 15-16'!I12</f>
        <v>5.1722575344308828</v>
      </c>
      <c r="J95" s="126">
        <f>'GT workings 15-16'!J12</f>
        <v>4.1277105565726</v>
      </c>
      <c r="K95" s="126">
        <f>'GT workings 15-16'!K12</f>
        <v>3.7879167847205548</v>
      </c>
      <c r="L95" s="126">
        <f t="shared" si="19"/>
        <v>48.782496753377316</v>
      </c>
      <c r="M95" s="53">
        <f t="shared" si="23"/>
        <v>4.8782496753377314E-2</v>
      </c>
      <c r="N95" s="53"/>
    </row>
    <row r="96" spans="3:14">
      <c r="C96" s="18" t="s">
        <v>45</v>
      </c>
      <c r="D96" s="127">
        <f>'GT workings 15-16'!D13</f>
        <v>6.3163703255204871</v>
      </c>
      <c r="E96" s="127">
        <f>'GT workings 15-16'!E13</f>
        <v>7.5041818587940385</v>
      </c>
      <c r="F96" s="127">
        <f>'GT workings 15-16'!F13</f>
        <v>11.666765702990109</v>
      </c>
      <c r="G96" s="127">
        <f>'GT workings 15-16'!G13</f>
        <v>14.771156922046991</v>
      </c>
      <c r="H96" s="127">
        <f>'GT workings 15-16'!H13</f>
        <v>13.45775622663338</v>
      </c>
      <c r="I96" s="127">
        <f>'GT workings 15-16'!I13</f>
        <v>11.373748646385858</v>
      </c>
      <c r="J96" s="127">
        <f>'GT workings 15-16'!J13</f>
        <v>9.8338467639554441</v>
      </c>
      <c r="K96" s="127">
        <f>'GT workings 15-16'!K13</f>
        <v>10.346026051396899</v>
      </c>
      <c r="L96" s="127">
        <f t="shared" si="19"/>
        <v>85.269852497723221</v>
      </c>
      <c r="M96" s="53">
        <f t="shared" si="23"/>
        <v>8.5269852497723217E-2</v>
      </c>
      <c r="N96" s="53"/>
    </row>
    <row r="97" spans="1:14">
      <c r="C97" s="17" t="s">
        <v>46</v>
      </c>
      <c r="D97" s="126">
        <f>'GT workings 15-16'!D7</f>
        <v>37.780581733294433</v>
      </c>
      <c r="E97" s="126">
        <f>'GT workings 15-16'!E7</f>
        <v>38.765251453029641</v>
      </c>
      <c r="F97" s="126">
        <f>'GT workings 15-16'!F7</f>
        <v>38.935734544913359</v>
      </c>
      <c r="G97" s="126">
        <f>'GT workings 15-16'!G7</f>
        <v>37.194366497168517</v>
      </c>
      <c r="H97" s="126">
        <f>'GT workings 15-16'!H7</f>
        <v>37.663363739263652</v>
      </c>
      <c r="I97" s="126">
        <f>'GT workings 15-16'!I7</f>
        <v>38.166072267177746</v>
      </c>
      <c r="J97" s="126">
        <f>'GT workings 15-16'!J7</f>
        <v>38.821758225100261</v>
      </c>
      <c r="K97" s="126">
        <f>'GT workings 15-16'!K7</f>
        <v>39.417681323616755</v>
      </c>
      <c r="L97" s="126">
        <f t="shared" si="19"/>
        <v>306.74480978356434</v>
      </c>
      <c r="M97" s="53">
        <f t="shared" si="23"/>
        <v>0.30674480978356433</v>
      </c>
      <c r="N97" s="53"/>
    </row>
    <row r="98" spans="1:14">
      <c r="C98" s="17" t="s">
        <v>137</v>
      </c>
      <c r="D98" s="126">
        <f>D136-D130</f>
        <v>-17.787810660121892</v>
      </c>
      <c r="E98" s="126">
        <f t="shared" ref="E98:L98" si="24">E136-E130</f>
        <v>0</v>
      </c>
      <c r="F98" s="126">
        <f t="shared" si="24"/>
        <v>0</v>
      </c>
      <c r="G98" s="126">
        <f t="shared" si="24"/>
        <v>0</v>
      </c>
      <c r="H98" s="126">
        <f t="shared" si="24"/>
        <v>0</v>
      </c>
      <c r="I98" s="126">
        <f t="shared" si="24"/>
        <v>0</v>
      </c>
      <c r="J98" s="126">
        <f t="shared" si="24"/>
        <v>0</v>
      </c>
      <c r="K98" s="126">
        <f t="shared" si="24"/>
        <v>0</v>
      </c>
      <c r="L98" s="126">
        <f t="shared" si="24"/>
        <v>-17.787810660121977</v>
      </c>
      <c r="M98" s="53"/>
      <c r="N98" s="53"/>
    </row>
    <row r="99" spans="1:14">
      <c r="C99" s="123" t="s">
        <v>50</v>
      </c>
      <c r="D99" s="130">
        <f>SUM(D94:D98)</f>
        <v>67.199162540360987</v>
      </c>
      <c r="E99" s="130">
        <f t="shared" ref="E99:L99" si="25">SUM(E94:E98)</f>
        <v>78.621263202047004</v>
      </c>
      <c r="F99" s="130">
        <f t="shared" si="25"/>
        <v>75.719016958669997</v>
      </c>
      <c r="G99" s="130">
        <f t="shared" si="25"/>
        <v>76.653402422440564</v>
      </c>
      <c r="H99" s="130">
        <f t="shared" si="25"/>
        <v>73.294041525191219</v>
      </c>
      <c r="I99" s="130">
        <f t="shared" si="25"/>
        <v>67.554524977456794</v>
      </c>
      <c r="J99" s="130">
        <f t="shared" si="25"/>
        <v>67.904024240255865</v>
      </c>
      <c r="K99" s="130">
        <f t="shared" si="25"/>
        <v>66.388959827646005</v>
      </c>
      <c r="L99" s="130">
        <f t="shared" si="25"/>
        <v>573.33439569406823</v>
      </c>
      <c r="M99" s="53">
        <f>E15</f>
        <v>0.59112220635419033</v>
      </c>
      <c r="N99" s="53" t="b">
        <f t="shared" ref="N99:N101" si="26">M99=L99/1000</f>
        <v>0</v>
      </c>
    </row>
    <row r="100" spans="1:14">
      <c r="C100" s="17"/>
      <c r="D100" s="126"/>
      <c r="E100" s="126"/>
      <c r="F100" s="126"/>
      <c r="G100" s="126"/>
      <c r="H100" s="126"/>
      <c r="I100" s="126"/>
      <c r="J100" s="126"/>
      <c r="K100" s="126"/>
      <c r="L100" s="126"/>
      <c r="M100" s="53">
        <f>E16</f>
        <v>0</v>
      </c>
      <c r="N100" s="53" t="b">
        <f t="shared" si="26"/>
        <v>1</v>
      </c>
    </row>
    <row r="101" spans="1:14" ht="13.8" thickBot="1">
      <c r="C101" s="23" t="s">
        <v>51</v>
      </c>
      <c r="D101" s="131">
        <f t="shared" ref="D101:K101" si="27">D99+D91</f>
        <v>248.02165257749672</v>
      </c>
      <c r="E101" s="131">
        <f t="shared" si="27"/>
        <v>268.151657350552</v>
      </c>
      <c r="F101" s="131">
        <f t="shared" si="27"/>
        <v>270.54595826750887</v>
      </c>
      <c r="G101" s="131">
        <f t="shared" si="27"/>
        <v>340.43829537538204</v>
      </c>
      <c r="H101" s="131">
        <f t="shared" si="27"/>
        <v>380.77010314203574</v>
      </c>
      <c r="I101" s="131">
        <f t="shared" si="27"/>
        <v>278.22422586517507</v>
      </c>
      <c r="J101" s="131">
        <f t="shared" si="27"/>
        <v>250.73912792484489</v>
      </c>
      <c r="K101" s="131">
        <f t="shared" si="27"/>
        <v>235.03700575309446</v>
      </c>
      <c r="L101" s="131">
        <f t="shared" si="19"/>
        <v>2271.9280262560897</v>
      </c>
      <c r="M101" s="53">
        <f>E17</f>
        <v>2.2959678450002103</v>
      </c>
      <c r="N101" s="53" t="b">
        <f t="shared" si="26"/>
        <v>0</v>
      </c>
    </row>
    <row r="102" spans="1:14">
      <c r="C102" s="39"/>
      <c r="D102" s="203"/>
      <c r="E102" s="203"/>
      <c r="F102" s="203"/>
      <c r="G102" s="203"/>
      <c r="H102" s="203"/>
      <c r="I102" s="203"/>
      <c r="J102" s="203"/>
      <c r="K102" s="203"/>
      <c r="L102" s="203"/>
      <c r="M102" s="53"/>
      <c r="N102" s="53"/>
    </row>
    <row r="103" spans="1:14">
      <c r="A103" s="38" t="s">
        <v>409</v>
      </c>
    </row>
    <row r="104" spans="1:14" ht="13.8" thickBot="1">
      <c r="C104" s="38" t="s">
        <v>140</v>
      </c>
    </row>
    <row r="105" spans="1:14" ht="13.8" thickBot="1">
      <c r="C105" s="7" t="s">
        <v>58</v>
      </c>
      <c r="D105" s="8" t="s">
        <v>59</v>
      </c>
      <c r="E105" s="8" t="s">
        <v>60</v>
      </c>
      <c r="F105" s="8" t="s">
        <v>61</v>
      </c>
      <c r="G105" s="8" t="s">
        <v>62</v>
      </c>
      <c r="H105" s="8" t="s">
        <v>63</v>
      </c>
      <c r="I105" s="8" t="s">
        <v>64</v>
      </c>
      <c r="J105" s="8" t="s">
        <v>65</v>
      </c>
      <c r="K105" s="8" t="s">
        <v>66</v>
      </c>
    </row>
    <row r="106" spans="1:14">
      <c r="C106" s="22" t="s">
        <v>91</v>
      </c>
      <c r="D106" s="175">
        <f>'GT workings 15-16'!D135+'GT workings 15-16'!D156</f>
        <v>4615.060328174176</v>
      </c>
      <c r="E106" s="175">
        <f>'GT workings 15-16'!E135+'GT workings 15-16'!E156</f>
        <v>4703.6718400701093</v>
      </c>
      <c r="F106" s="175">
        <f>'GT workings 15-16'!F135+'GT workings 15-16'!F156</f>
        <v>4717.9311623182548</v>
      </c>
      <c r="G106" s="175">
        <f>'GT workings 15-16'!G135+'GT workings 15-16'!G156</f>
        <v>4773.7235388576009</v>
      </c>
      <c r="H106" s="175">
        <f>'GT workings 15-16'!H135+'GT workings 15-16'!H156</f>
        <v>4907.6026046772222</v>
      </c>
      <c r="I106" s="175">
        <f>'GT workings 15-16'!I135+'GT workings 15-16'!I156</f>
        <v>5022.1320673384189</v>
      </c>
      <c r="J106" s="175">
        <f>'GT workings 15-16'!J135+'GT workings 15-16'!J156</f>
        <v>5016.7316606676832</v>
      </c>
      <c r="K106" s="175">
        <f>'GT workings 15-16'!K135+'GT workings 15-16'!K156</f>
        <v>4969.807799904509</v>
      </c>
    </row>
    <row r="107" spans="1:14">
      <c r="C107" s="10" t="s">
        <v>86</v>
      </c>
      <c r="D107" s="176">
        <f>'GT workings 15-16'!D136+'GT workings 15-16'!D157</f>
        <v>245.36788492400981</v>
      </c>
      <c r="E107" s="176">
        <f>'GT workings 15-16'!E136+'GT workings 15-16'!E157</f>
        <v>177.47095202039407</v>
      </c>
      <c r="F107" s="176">
        <f>'GT workings 15-16'!F136+'GT workings 15-16'!F157</f>
        <v>223.25337609440126</v>
      </c>
      <c r="G107" s="176">
        <f>'GT workings 15-16'!G136+'GT workings 15-16'!G157</f>
        <v>306.95809896126462</v>
      </c>
      <c r="H107" s="176">
        <f>'GT workings 15-16'!H136+'GT workings 15-16'!H157</f>
        <v>294.76860095013785</v>
      </c>
      <c r="I107" s="176">
        <f>'GT workings 15-16'!I136+'GT workings 15-16'!I157</f>
        <v>181.70836443999042</v>
      </c>
      <c r="J107" s="176">
        <f>'GT workings 15-16'!J136+'GT workings 15-16'!J157</f>
        <v>143.94477651168461</v>
      </c>
      <c r="K107" s="176">
        <f>'GT workings 15-16'!K136+'GT workings 15-16'!K157</f>
        <v>133.43105457142374</v>
      </c>
    </row>
    <row r="108" spans="1:14">
      <c r="C108" s="11" t="s">
        <v>87</v>
      </c>
      <c r="D108" s="177">
        <f>'GT workings 15-16'!D137+'GT workings 15-16'!D158</f>
        <v>-156.75637302807576</v>
      </c>
      <c r="E108" s="177">
        <f>'GT workings 15-16'!E137+'GT workings 15-16'!E158</f>
        <v>-163.2116297722481</v>
      </c>
      <c r="F108" s="177">
        <f>'GT workings 15-16'!F137+'GT workings 15-16'!F158</f>
        <v>-167.46099955505616</v>
      </c>
      <c r="G108" s="177">
        <f>'GT workings 15-16'!G137+'GT workings 15-16'!G158</f>
        <v>-173.07903314164423</v>
      </c>
      <c r="H108" s="177">
        <f>'GT workings 15-16'!H137+'GT workings 15-16'!H158</f>
        <v>-180.23913828894121</v>
      </c>
      <c r="I108" s="177">
        <f>'GT workings 15-16'!I137+'GT workings 15-16'!I158</f>
        <v>-187.10877111072639</v>
      </c>
      <c r="J108" s="177">
        <f>'GT workings 15-16'!J137+'GT workings 15-16'!J158</f>
        <v>-190.86863727485903</v>
      </c>
      <c r="K108" s="177">
        <f>'GT workings 15-16'!K137+'GT workings 15-16'!K158</f>
        <v>-191.9838424560304</v>
      </c>
    </row>
    <row r="109" spans="1:14" ht="13.8" thickBot="1">
      <c r="C109" s="13" t="s">
        <v>94</v>
      </c>
      <c r="D109" s="178">
        <f>'GT workings 15-16'!D138+'GT workings 15-16'!D159</f>
        <v>4703.6718400701093</v>
      </c>
      <c r="E109" s="178">
        <f>'GT workings 15-16'!E138+'GT workings 15-16'!E159</f>
        <v>4717.9311623182548</v>
      </c>
      <c r="F109" s="178">
        <f>'GT workings 15-16'!F138+'GT workings 15-16'!F159</f>
        <v>4773.7235388576009</v>
      </c>
      <c r="G109" s="178">
        <f>'GT workings 15-16'!G138+'GT workings 15-16'!G159</f>
        <v>4907.6026046772222</v>
      </c>
      <c r="H109" s="178">
        <f>'GT workings 15-16'!H138+'GT workings 15-16'!H159</f>
        <v>5022.1320673384189</v>
      </c>
      <c r="I109" s="178">
        <f>'GT workings 15-16'!I138+'GT workings 15-16'!I159</f>
        <v>5016.7316606676832</v>
      </c>
      <c r="J109" s="178">
        <f>'GT workings 15-16'!J138+'GT workings 15-16'!J159</f>
        <v>4969.807799904509</v>
      </c>
      <c r="K109" s="178">
        <f>'GT workings 15-16'!K138+'GT workings 15-16'!K159</f>
        <v>4911.255012019903</v>
      </c>
    </row>
    <row r="111" spans="1:14" ht="13.8" thickBot="1"/>
    <row r="112" spans="1:14" ht="13.8" thickBot="1">
      <c r="C112" s="7" t="s">
        <v>58</v>
      </c>
      <c r="D112" s="8" t="s">
        <v>59</v>
      </c>
      <c r="E112" s="8" t="s">
        <v>60</v>
      </c>
      <c r="F112" s="8" t="s">
        <v>61</v>
      </c>
      <c r="G112" s="8" t="s">
        <v>62</v>
      </c>
      <c r="H112" s="8" t="s">
        <v>63</v>
      </c>
      <c r="I112" s="8" t="s">
        <v>64</v>
      </c>
      <c r="J112" s="8" t="s">
        <v>65</v>
      </c>
      <c r="K112" s="8" t="s">
        <v>66</v>
      </c>
    </row>
    <row r="113" spans="1:14">
      <c r="C113" s="11" t="s">
        <v>142</v>
      </c>
      <c r="D113" s="171">
        <f>'GT workings 15-16'!D119</f>
        <v>94.224999999999994</v>
      </c>
      <c r="E113" s="171">
        <f>'GT workings 15-16'!E119</f>
        <v>87.484999999999999</v>
      </c>
      <c r="F113" s="171">
        <f>'GT workings 15-16'!F119</f>
        <v>79.322999999999993</v>
      </c>
      <c r="G113" s="171">
        <f>'GT workings 15-16'!G119</f>
        <v>58.722999999999999</v>
      </c>
      <c r="H113" s="171">
        <f>'GT workings 15-16'!H119</f>
        <v>3.3000000000000002E-2</v>
      </c>
      <c r="I113" s="171">
        <f>'GT workings 15-16'!I119</f>
        <v>3.3000000000000002E-2</v>
      </c>
      <c r="J113" s="171">
        <f>'GT workings 15-16'!J119</f>
        <v>0</v>
      </c>
      <c r="K113" s="171">
        <f>'GT workings 15-16'!K119</f>
        <v>0</v>
      </c>
    </row>
    <row r="114" spans="1:14" ht="13.8" thickBot="1">
      <c r="C114" s="40" t="s">
        <v>143</v>
      </c>
      <c r="D114" s="174">
        <f>'GT workings 15-16'!D174</f>
        <v>14.16619923431</v>
      </c>
      <c r="E114" s="174">
        <f>'GT workings 15-16'!E174</f>
        <v>26.016783731295874</v>
      </c>
      <c r="F114" s="174">
        <f>'GT workings 15-16'!F174</f>
        <v>69.473671529071126</v>
      </c>
      <c r="G114" s="174">
        <f>'GT workings 15-16'!G174</f>
        <v>108.4200133736822</v>
      </c>
      <c r="H114" s="174">
        <f>'GT workings 15-16'!H174</f>
        <v>69.349803718573156</v>
      </c>
      <c r="I114" s="174">
        <f>'GT workings 15-16'!I174</f>
        <v>20.779442706835688</v>
      </c>
      <c r="J114" s="174">
        <f>'GT workings 15-16'!J174</f>
        <v>0.81062265305823133</v>
      </c>
      <c r="K114" s="174">
        <f>'GT workings 15-16'!K174</f>
        <v>0</v>
      </c>
    </row>
    <row r="117" spans="1:14" ht="13.8" thickBot="1">
      <c r="C117" s="38" t="s">
        <v>122</v>
      </c>
    </row>
    <row r="118" spans="1:14" ht="13.8" thickBot="1">
      <c r="C118" s="7" t="s">
        <v>58</v>
      </c>
      <c r="D118" s="8" t="s">
        <v>59</v>
      </c>
      <c r="E118" s="8" t="s">
        <v>60</v>
      </c>
      <c r="F118" s="8" t="s">
        <v>61</v>
      </c>
      <c r="G118" s="8" t="s">
        <v>62</v>
      </c>
      <c r="H118" s="8" t="s">
        <v>63</v>
      </c>
      <c r="I118" s="8" t="s">
        <v>64</v>
      </c>
      <c r="J118" s="8" t="s">
        <v>65</v>
      </c>
      <c r="K118" s="8" t="s">
        <v>66</v>
      </c>
    </row>
    <row r="119" spans="1:14">
      <c r="C119" s="22" t="s">
        <v>91</v>
      </c>
      <c r="D119" s="41">
        <f>'GT workings 15-16'!D156</f>
        <v>53.000554975302876</v>
      </c>
      <c r="E119" s="41">
        <f>'GT workings 15-16'!E156</f>
        <v>64.632952234572471</v>
      </c>
      <c r="F119" s="41">
        <f>'GT workings 15-16'!F156</f>
        <v>80.324065645564858</v>
      </c>
      <c r="G119" s="41">
        <f>'GT workings 15-16'!G156</f>
        <v>92.298002418477893</v>
      </c>
      <c r="H119" s="41">
        <f>'GT workings 15-16'!H156</f>
        <v>101.6625071006498</v>
      </c>
      <c r="I119" s="41">
        <f>'GT workings 15-16'!I156</f>
        <v>107.12198616353719</v>
      </c>
      <c r="J119" s="41">
        <f>'GT workings 15-16'!J156</f>
        <v>107.83377600746921</v>
      </c>
      <c r="K119" s="41">
        <f>'GT workings 15-16'!K156</f>
        <v>106.72018726276471</v>
      </c>
    </row>
    <row r="120" spans="1:14">
      <c r="C120" s="10" t="s">
        <v>86</v>
      </c>
      <c r="D120" s="42">
        <f>'GT workings 15-16'!D157</f>
        <v>22.17743175011244</v>
      </c>
      <c r="E120" s="42">
        <f>'GT workings 15-16'!E157</f>
        <v>29.404352437565585</v>
      </c>
      <c r="F120" s="42">
        <f>'GT workings 15-16'!F157</f>
        <v>28.318912342542578</v>
      </c>
      <c r="G120" s="42">
        <f>'GT workings 15-16'!G157</f>
        <v>28.668372505992771</v>
      </c>
      <c r="H120" s="42">
        <f>'GT workings 15-16'!H157</f>
        <v>27.411971530421514</v>
      </c>
      <c r="I120" s="42">
        <f>'GT workings 15-16'!I157</f>
        <v>25.265392341568841</v>
      </c>
      <c r="J120" s="42">
        <f>'GT workings 15-16'!J157</f>
        <v>25.396105065855693</v>
      </c>
      <c r="K120" s="42">
        <f>'GT workings 15-16'!K157</f>
        <v>24.829470975539607</v>
      </c>
    </row>
    <row r="121" spans="1:14">
      <c r="C121" s="11" t="s">
        <v>87</v>
      </c>
      <c r="D121" s="43">
        <f>'GT workings 15-16'!D158</f>
        <v>-10.545034490842841</v>
      </c>
      <c r="E121" s="43">
        <f>'GT workings 15-16'!E158</f>
        <v>-13.71323902657319</v>
      </c>
      <c r="F121" s="43">
        <f>'GT workings 15-16'!F158</f>
        <v>-16.34497556962954</v>
      </c>
      <c r="G121" s="43">
        <f>'GT workings 15-16'!G158</f>
        <v>-19.303867823820873</v>
      </c>
      <c r="H121" s="43">
        <f>'GT workings 15-16'!H158</f>
        <v>-21.952492467534128</v>
      </c>
      <c r="I121" s="43">
        <f>'GT workings 15-16'!I158</f>
        <v>-24.55360249763682</v>
      </c>
      <c r="J121" s="43">
        <f>'GT workings 15-16'!J158</f>
        <v>-26.509693810560208</v>
      </c>
      <c r="K121" s="43">
        <f>'GT workings 15-16'!K158</f>
        <v>-26.663219710579916</v>
      </c>
    </row>
    <row r="122" spans="1:14" ht="13.8" thickBot="1">
      <c r="C122" s="13" t="s">
        <v>94</v>
      </c>
      <c r="D122" s="52">
        <f>'GT workings 15-16'!D159</f>
        <v>64.632952234572471</v>
      </c>
      <c r="E122" s="52">
        <f>'GT workings 15-16'!E159</f>
        <v>80.324065645564858</v>
      </c>
      <c r="F122" s="52">
        <f>'GT workings 15-16'!F159</f>
        <v>92.298002418477893</v>
      </c>
      <c r="G122" s="52">
        <f>'GT workings 15-16'!G159</f>
        <v>101.6625071006498</v>
      </c>
      <c r="H122" s="52">
        <f>'GT workings 15-16'!H159</f>
        <v>107.12198616353719</v>
      </c>
      <c r="I122" s="52">
        <f>'GT workings 15-16'!I159</f>
        <v>107.83377600746921</v>
      </c>
      <c r="J122" s="52">
        <f>'GT workings 15-16'!J159</f>
        <v>106.72018726276471</v>
      </c>
      <c r="K122" s="52">
        <f>'GT workings 15-16'!K159</f>
        <v>104.88643852772441</v>
      </c>
    </row>
    <row r="124" spans="1:14">
      <c r="A124" s="38" t="s">
        <v>402</v>
      </c>
    </row>
    <row r="125" spans="1:14" ht="13.8" thickBot="1">
      <c r="C125" s="38" t="s">
        <v>395</v>
      </c>
    </row>
    <row r="126" spans="1:14" ht="13.8" thickBot="1">
      <c r="C126" s="14" t="s">
        <v>58</v>
      </c>
      <c r="D126" s="15" t="s">
        <v>59</v>
      </c>
      <c r="E126" s="15" t="s">
        <v>60</v>
      </c>
      <c r="F126" s="15" t="s">
        <v>61</v>
      </c>
      <c r="G126" s="15" t="s">
        <v>62</v>
      </c>
      <c r="H126" s="15" t="s">
        <v>63</v>
      </c>
      <c r="I126" s="15" t="s">
        <v>64</v>
      </c>
      <c r="J126" s="15" t="s">
        <v>65</v>
      </c>
      <c r="K126" s="15" t="s">
        <v>66</v>
      </c>
      <c r="L126" s="15" t="s">
        <v>118</v>
      </c>
    </row>
    <row r="127" spans="1:14">
      <c r="C127" s="16"/>
      <c r="D127" s="26"/>
      <c r="E127" s="26"/>
      <c r="F127" s="26"/>
      <c r="G127" s="26"/>
      <c r="H127" s="26"/>
      <c r="I127" s="26"/>
      <c r="J127" s="26"/>
      <c r="K127" s="26"/>
      <c r="L127" s="26"/>
    </row>
    <row r="128" spans="1:14">
      <c r="A128" t="s">
        <v>338</v>
      </c>
      <c r="C128" s="17" t="s">
        <v>119</v>
      </c>
      <c r="D128" s="27">
        <f>'GT workings 15-16'!D8+'GT workings 15-16'!D12</f>
        <v>40.890021141667965</v>
      </c>
      <c r="E128" s="27">
        <f>'GT workings 15-16'!E8+'GT workings 15-16'!E12</f>
        <v>32.351829890223328</v>
      </c>
      <c r="F128" s="27">
        <f>'GT workings 15-16'!F8+'GT workings 15-16'!F12</f>
        <v>25.116516710766533</v>
      </c>
      <c r="G128" s="27">
        <f>'GT workings 15-16'!G8+'GT workings 15-16'!G12</f>
        <v>24.687879003225049</v>
      </c>
      <c r="H128" s="27">
        <f>'GT workings 15-16'!H8+'GT workings 15-16'!H12</f>
        <v>22.172921559294188</v>
      </c>
      <c r="I128" s="27">
        <f>'GT workings 15-16'!I8+'GT workings 15-16'!I12</f>
        <v>18.014704063893184</v>
      </c>
      <c r="J128" s="27">
        <f>'GT workings 15-16'!J8+'GT workings 15-16'!J12</f>
        <v>19.248419251200154</v>
      </c>
      <c r="K128" s="27">
        <f>'GT workings 15-16'!K8+'GT workings 15-16'!K12</f>
        <v>16.625252452632346</v>
      </c>
      <c r="L128" s="28">
        <f>SUM(D128:K128)</f>
        <v>199.10754407290273</v>
      </c>
      <c r="N128" s="53" t="b">
        <f>(E11+E12)*1000=L128</f>
        <v>1</v>
      </c>
    </row>
    <row r="129" spans="1:16">
      <c r="C129" s="18" t="s">
        <v>396</v>
      </c>
      <c r="D129" s="29">
        <f>'GT workings 15-16'!D7+'GT workings 15-16'!D13</f>
        <v>44.096952058814921</v>
      </c>
      <c r="E129" s="29">
        <f>'GT workings 15-16'!E7+'GT workings 15-16'!E13</f>
        <v>46.269433311823683</v>
      </c>
      <c r="F129" s="29">
        <f>'GT workings 15-16'!F7+'GT workings 15-16'!F13</f>
        <v>50.602500247903464</v>
      </c>
      <c r="G129" s="29">
        <f>'GT workings 15-16'!G7+'GT workings 15-16'!G13</f>
        <v>51.965523419215508</v>
      </c>
      <c r="H129" s="29">
        <f>'GT workings 15-16'!H7+'GT workings 15-16'!H13</f>
        <v>51.12111996589703</v>
      </c>
      <c r="I129" s="29">
        <f>'GT workings 15-16'!I7+'GT workings 15-16'!I13</f>
        <v>49.539820913563602</v>
      </c>
      <c r="J129" s="29">
        <f>'GT workings 15-16'!J7+'GT workings 15-16'!J13</f>
        <v>48.655604989055703</v>
      </c>
      <c r="K129" s="29">
        <f>'GT workings 15-16'!K7+'GT workings 15-16'!K13</f>
        <v>49.763707375013652</v>
      </c>
      <c r="L129" s="30">
        <f t="shared" ref="L129:L130" si="28">SUM(D129:K129)</f>
        <v>392.01466228128754</v>
      </c>
      <c r="N129" s="53" t="b">
        <f>(E13+E14)*1000=L129</f>
        <v>1</v>
      </c>
    </row>
    <row r="130" spans="1:16">
      <c r="C130" s="19" t="s">
        <v>71</v>
      </c>
      <c r="D130" s="31">
        <f>SUM(D128:D129)</f>
        <v>84.986973200482879</v>
      </c>
      <c r="E130" s="31">
        <f t="shared" ref="E130:K130" si="29">SUM(E128:E129)</f>
        <v>78.621263202047004</v>
      </c>
      <c r="F130" s="31">
        <f t="shared" si="29"/>
        <v>75.719016958669997</v>
      </c>
      <c r="G130" s="31">
        <f t="shared" si="29"/>
        <v>76.653402422440564</v>
      </c>
      <c r="H130" s="31">
        <f t="shared" si="29"/>
        <v>73.294041525191219</v>
      </c>
      <c r="I130" s="31">
        <f t="shared" si="29"/>
        <v>67.554524977456794</v>
      </c>
      <c r="J130" s="31">
        <f t="shared" si="29"/>
        <v>67.904024240255865</v>
      </c>
      <c r="K130" s="31">
        <f t="shared" si="29"/>
        <v>66.388959827646005</v>
      </c>
      <c r="L130" s="28">
        <f t="shared" si="28"/>
        <v>591.12220635419044</v>
      </c>
    </row>
    <row r="131" spans="1:16">
      <c r="A131" t="s">
        <v>346</v>
      </c>
      <c r="C131" s="17" t="s">
        <v>121</v>
      </c>
      <c r="D131" s="27">
        <f>'GT workings 15-16'!D31+'GT workings 15-16'!D35</f>
        <v>17.708231419797961</v>
      </c>
      <c r="E131" s="27">
        <f>'GT workings 15-16'!E31+'GT workings 15-16'!E35</f>
        <v>32.351829890223328</v>
      </c>
      <c r="F131" s="27">
        <f>'GT workings 15-16'!F31+'GT workings 15-16'!F35</f>
        <v>25.116516710766533</v>
      </c>
      <c r="G131" s="27">
        <f>'GT workings 15-16'!G31+'GT workings 15-16'!G35</f>
        <v>24.687879003225049</v>
      </c>
      <c r="H131" s="27">
        <f>'GT workings 15-16'!H31+'GT workings 15-16'!H35</f>
        <v>22.172921559294188</v>
      </c>
      <c r="I131" s="27">
        <f>'GT workings 15-16'!I31+'GT workings 15-16'!I35</f>
        <v>18.014704063893184</v>
      </c>
      <c r="J131" s="27">
        <f>'GT workings 15-16'!J31+'GT workings 15-16'!J35</f>
        <v>19.248419251200154</v>
      </c>
      <c r="K131" s="27">
        <f>'GT workings 15-16'!K31+'GT workings 15-16'!K35</f>
        <v>16.625252452632346</v>
      </c>
      <c r="L131" s="28">
        <f>SUM(D131:K131)</f>
        <v>175.92575435103274</v>
      </c>
      <c r="N131" s="53"/>
      <c r="P131" s="53"/>
    </row>
    <row r="132" spans="1:16">
      <c r="C132" s="18" t="s">
        <v>387</v>
      </c>
      <c r="D132" s="29">
        <f>'GT workings 15-16'!D30+'GT workings 15-16'!D36</f>
        <v>35.309276180178273</v>
      </c>
      <c r="E132" s="29">
        <f>'GT workings 15-16'!E30+'GT workings 15-16'!E36</f>
        <v>46.269433311823683</v>
      </c>
      <c r="F132" s="29">
        <f>'GT workings 15-16'!F30+'GT workings 15-16'!F36</f>
        <v>50.602500247903464</v>
      </c>
      <c r="G132" s="29">
        <f>'GT workings 15-16'!G30+'GT workings 15-16'!G36</f>
        <v>51.965523419215508</v>
      </c>
      <c r="H132" s="29">
        <f>'GT workings 15-16'!H30+'GT workings 15-16'!H36</f>
        <v>51.12111996589703</v>
      </c>
      <c r="I132" s="29">
        <f>'GT workings 15-16'!I30+'GT workings 15-16'!I36</f>
        <v>49.539820913563602</v>
      </c>
      <c r="J132" s="29">
        <f>'GT workings 15-16'!J30+'GT workings 15-16'!J36</f>
        <v>48.655604989055703</v>
      </c>
      <c r="K132" s="29">
        <f>'GT workings 15-16'!K30+'GT workings 15-16'!K36</f>
        <v>49.763707375013652</v>
      </c>
      <c r="L132" s="30">
        <f t="shared" ref="L132:L136" si="30">SUM(D132:K132)</f>
        <v>383.22698640265094</v>
      </c>
      <c r="N132" s="53"/>
      <c r="P132" s="53"/>
    </row>
    <row r="133" spans="1:16">
      <c r="C133" s="19" t="s">
        <v>77</v>
      </c>
      <c r="D133" s="31">
        <f>SUM(D131:D132)</f>
        <v>53.017507599976234</v>
      </c>
      <c r="E133" s="31">
        <f t="shared" ref="E133:K133" si="31">SUM(E131:E132)</f>
        <v>78.621263202047004</v>
      </c>
      <c r="F133" s="31">
        <f t="shared" si="31"/>
        <v>75.719016958669997</v>
      </c>
      <c r="G133" s="31">
        <f t="shared" si="31"/>
        <v>76.653402422440564</v>
      </c>
      <c r="H133" s="31">
        <f t="shared" si="31"/>
        <v>73.294041525191219</v>
      </c>
      <c r="I133" s="31">
        <f t="shared" si="31"/>
        <v>67.554524977456794</v>
      </c>
      <c r="J133" s="31">
        <f t="shared" si="31"/>
        <v>67.904024240255865</v>
      </c>
      <c r="K133" s="31">
        <f t="shared" si="31"/>
        <v>66.388959827646005</v>
      </c>
      <c r="L133" s="28">
        <f t="shared" si="30"/>
        <v>559.1527407536837</v>
      </c>
    </row>
    <row r="134" spans="1:16">
      <c r="A134" t="s">
        <v>233</v>
      </c>
      <c r="C134" s="17" t="s">
        <v>388</v>
      </c>
      <c r="D134" s="42">
        <f>D128-(D128-D131)*$K$2</f>
        <v>27.991673340419496</v>
      </c>
      <c r="E134" s="42">
        <f t="shared" ref="E134:K135" si="32">E128-(E128-E131)*$K$2</f>
        <v>32.351829890223328</v>
      </c>
      <c r="F134" s="42">
        <f t="shared" si="32"/>
        <v>25.116516710766533</v>
      </c>
      <c r="G134" s="42">
        <f t="shared" si="32"/>
        <v>24.687879003225049</v>
      </c>
      <c r="H134" s="42">
        <f t="shared" si="32"/>
        <v>22.172921559294188</v>
      </c>
      <c r="I134" s="42">
        <f t="shared" si="32"/>
        <v>18.014704063893184</v>
      </c>
      <c r="J134" s="42">
        <f t="shared" si="32"/>
        <v>19.248419251200154</v>
      </c>
      <c r="K134" s="42">
        <f t="shared" si="32"/>
        <v>16.625252452632346</v>
      </c>
      <c r="L134" s="28">
        <f>SUM(D134:K134)</f>
        <v>186.20919627165426</v>
      </c>
      <c r="N134" s="53"/>
      <c r="P134" s="53"/>
    </row>
    <row r="135" spans="1:16">
      <c r="C135" s="18" t="s">
        <v>389</v>
      </c>
      <c r="D135" s="43">
        <f>D129-(D129-D132)*$K$2</f>
        <v>39.207489199941492</v>
      </c>
      <c r="E135" s="43">
        <f t="shared" si="32"/>
        <v>46.269433311823683</v>
      </c>
      <c r="F135" s="43">
        <f t="shared" si="32"/>
        <v>50.602500247903464</v>
      </c>
      <c r="G135" s="43">
        <f t="shared" si="32"/>
        <v>51.965523419215508</v>
      </c>
      <c r="H135" s="43">
        <f t="shared" si="32"/>
        <v>51.12111996589703</v>
      </c>
      <c r="I135" s="43">
        <f t="shared" si="32"/>
        <v>49.539820913563602</v>
      </c>
      <c r="J135" s="43">
        <f t="shared" si="32"/>
        <v>48.655604989055703</v>
      </c>
      <c r="K135" s="43">
        <f t="shared" si="32"/>
        <v>49.763707375013652</v>
      </c>
      <c r="L135" s="30">
        <f t="shared" si="30"/>
        <v>387.12519942241414</v>
      </c>
      <c r="N135" s="53"/>
      <c r="P135" s="53"/>
    </row>
    <row r="136" spans="1:16">
      <c r="C136" s="19" t="s">
        <v>78</v>
      </c>
      <c r="D136" s="50">
        <f>SUM(D134:D135)</f>
        <v>67.199162540360987</v>
      </c>
      <c r="E136" s="50">
        <f t="shared" ref="E136:K136" si="33">SUM(E134:E135)</f>
        <v>78.621263202047004</v>
      </c>
      <c r="F136" s="50">
        <f t="shared" si="33"/>
        <v>75.719016958669997</v>
      </c>
      <c r="G136" s="50">
        <f t="shared" si="33"/>
        <v>76.653402422440564</v>
      </c>
      <c r="H136" s="50">
        <f t="shared" si="33"/>
        <v>73.294041525191219</v>
      </c>
      <c r="I136" s="50">
        <f t="shared" si="33"/>
        <v>67.554524977456794</v>
      </c>
      <c r="J136" s="50">
        <f t="shared" si="33"/>
        <v>67.904024240255865</v>
      </c>
      <c r="K136" s="50">
        <f t="shared" si="33"/>
        <v>66.388959827646005</v>
      </c>
      <c r="L136" s="28">
        <f t="shared" si="30"/>
        <v>573.33439569406846</v>
      </c>
    </row>
    <row r="137" spans="1:16">
      <c r="C137" s="20"/>
      <c r="D137" s="32"/>
      <c r="E137" s="32"/>
      <c r="F137" s="32"/>
      <c r="G137" s="32"/>
      <c r="H137" s="32"/>
      <c r="I137" s="32"/>
      <c r="J137" s="32"/>
      <c r="K137" s="32"/>
      <c r="L137" s="33"/>
    </row>
    <row r="138" spans="1:16">
      <c r="C138" s="17" t="s">
        <v>79</v>
      </c>
      <c r="D138" s="27">
        <f>'GT workings 15-16'!D179</f>
        <v>42.066675750265979</v>
      </c>
      <c r="E138" s="27">
        <f>'GT workings 15-16'!E179</f>
        <v>49.216910764481433</v>
      </c>
      <c r="F138" s="27">
        <f>'GT workings 15-16'!F179</f>
        <v>47.400104616127415</v>
      </c>
      <c r="G138" s="27">
        <f>'GT workings 15-16'!G179</f>
        <v>47.985029916447793</v>
      </c>
      <c r="H138" s="27">
        <f>'GT workings 15-16'!H179</f>
        <v>45.882069994769701</v>
      </c>
      <c r="I138" s="27">
        <f>'GT workings 15-16'!I179</f>
        <v>42.289132635887952</v>
      </c>
      <c r="J138" s="27">
        <f>'GT workings 15-16'!J179</f>
        <v>42.507919174400172</v>
      </c>
      <c r="K138" s="27">
        <f>'GT workings 15-16'!K179</f>
        <v>41.559488852106398</v>
      </c>
      <c r="L138" s="28">
        <f t="shared" ref="L138:L140" si="34">SUM(D138:K138)</f>
        <v>358.90733170448686</v>
      </c>
    </row>
    <row r="139" spans="1:16">
      <c r="C139" s="18" t="s">
        <v>80</v>
      </c>
      <c r="D139" s="29">
        <f>'GT workings 15-16'!D178</f>
        <v>25.132486790095008</v>
      </c>
      <c r="E139" s="29">
        <f>'GT workings 15-16'!E178</f>
        <v>29.404352437565585</v>
      </c>
      <c r="F139" s="29">
        <f>'GT workings 15-16'!F178</f>
        <v>28.318912342542578</v>
      </c>
      <c r="G139" s="29">
        <f>'GT workings 15-16'!G178</f>
        <v>28.668372505992771</v>
      </c>
      <c r="H139" s="29">
        <f>'GT workings 15-16'!H178</f>
        <v>27.411971530421514</v>
      </c>
      <c r="I139" s="29">
        <f>'GT workings 15-16'!I178</f>
        <v>25.265392341568841</v>
      </c>
      <c r="J139" s="29">
        <f>'GT workings 15-16'!J178</f>
        <v>25.396105065855693</v>
      </c>
      <c r="K139" s="29">
        <f>'GT workings 15-16'!K178</f>
        <v>24.829470975539607</v>
      </c>
      <c r="L139" s="30">
        <f t="shared" si="34"/>
        <v>214.4270639895816</v>
      </c>
    </row>
    <row r="140" spans="1:16" ht="13.8" thickBot="1">
      <c r="C140" s="21" t="s">
        <v>390</v>
      </c>
      <c r="D140" s="34">
        <f t="shared" ref="D140:K140" si="35">SUM(D138:D139)</f>
        <v>67.199162540360987</v>
      </c>
      <c r="E140" s="34">
        <f t="shared" si="35"/>
        <v>78.621263202047018</v>
      </c>
      <c r="F140" s="34">
        <f t="shared" si="35"/>
        <v>75.719016958669997</v>
      </c>
      <c r="G140" s="34">
        <f t="shared" si="35"/>
        <v>76.653402422440564</v>
      </c>
      <c r="H140" s="34">
        <f t="shared" si="35"/>
        <v>73.294041525191219</v>
      </c>
      <c r="I140" s="34">
        <f t="shared" si="35"/>
        <v>67.554524977456794</v>
      </c>
      <c r="J140" s="34">
        <f t="shared" si="35"/>
        <v>67.904024240255865</v>
      </c>
      <c r="K140" s="34">
        <f t="shared" si="35"/>
        <v>66.388959827646005</v>
      </c>
      <c r="L140" s="35">
        <f t="shared" si="34"/>
        <v>573.33439569406858</v>
      </c>
    </row>
    <row r="142" spans="1:16" ht="13.8" thickBot="1">
      <c r="A142" s="38" t="s">
        <v>410</v>
      </c>
    </row>
    <row r="143" spans="1:16" ht="13.8" thickBot="1">
      <c r="C143" s="7" t="s">
        <v>58</v>
      </c>
      <c r="D143" s="8" t="s">
        <v>59</v>
      </c>
      <c r="E143" s="8" t="s">
        <v>60</v>
      </c>
      <c r="F143" s="8" t="s">
        <v>61</v>
      </c>
      <c r="G143" s="8" t="s">
        <v>62</v>
      </c>
      <c r="H143" s="8" t="s">
        <v>63</v>
      </c>
      <c r="I143" s="8" t="s">
        <v>64</v>
      </c>
      <c r="J143" s="8" t="s">
        <v>65</v>
      </c>
      <c r="K143" s="8" t="s">
        <v>66</v>
      </c>
    </row>
    <row r="144" spans="1:16">
      <c r="C144" s="10" t="s">
        <v>79</v>
      </c>
      <c r="D144" s="42">
        <f>'GT workings 15-16'!D207</f>
        <v>42.066675750265979</v>
      </c>
      <c r="E144" s="42">
        <f>'GT workings 15-16'!E207</f>
        <v>49.216910764481433</v>
      </c>
      <c r="F144" s="42">
        <f>'GT workings 15-16'!F207</f>
        <v>47.400104616127415</v>
      </c>
      <c r="G144" s="42">
        <f>'GT workings 15-16'!G207</f>
        <v>47.985029916447793</v>
      </c>
      <c r="H144" s="42">
        <f>'GT workings 15-16'!H207</f>
        <v>45.882069994769701</v>
      </c>
      <c r="I144" s="42">
        <f>'GT workings 15-16'!I207</f>
        <v>42.289132635887952</v>
      </c>
      <c r="J144" s="42">
        <f>'GT workings 15-16'!J207</f>
        <v>42.507919174400172</v>
      </c>
      <c r="K144" s="42">
        <f>'GT workings 15-16'!K207</f>
        <v>41.559488852106398</v>
      </c>
    </row>
    <row r="145" spans="3:11">
      <c r="C145" s="11" t="s">
        <v>98</v>
      </c>
      <c r="D145" s="43">
        <f>'GT workings 15-16'!D208</f>
        <v>0</v>
      </c>
      <c r="E145" s="43">
        <f>'GT workings 15-16'!E208</f>
        <v>0</v>
      </c>
      <c r="F145" s="43">
        <f>'GT workings 15-16'!F208</f>
        <v>0</v>
      </c>
      <c r="G145" s="43">
        <f>'GT workings 15-16'!G208</f>
        <v>0</v>
      </c>
      <c r="H145" s="43">
        <f>'GT workings 15-16'!H208</f>
        <v>0</v>
      </c>
      <c r="I145" s="43">
        <f>'GT workings 15-16'!I208</f>
        <v>0</v>
      </c>
      <c r="J145" s="43">
        <f>'GT workings 15-16'!J208</f>
        <v>0</v>
      </c>
      <c r="K145" s="43">
        <f>'GT workings 15-16'!K208</f>
        <v>0</v>
      </c>
    </row>
    <row r="146" spans="3:11">
      <c r="C146" s="11" t="s">
        <v>100</v>
      </c>
      <c r="D146" s="43">
        <f>'GT workings 15-16'!D211</f>
        <v>0</v>
      </c>
      <c r="E146" s="43">
        <f>'GT workings 15-16'!E211</f>
        <v>0</v>
      </c>
      <c r="F146" s="43">
        <f>'GT workings 15-16'!F211</f>
        <v>0</v>
      </c>
      <c r="G146" s="43">
        <f>'GT workings 15-16'!G211</f>
        <v>0</v>
      </c>
      <c r="H146" s="43">
        <f>'GT workings 15-16'!H211</f>
        <v>0</v>
      </c>
      <c r="I146" s="43">
        <f>'GT workings 15-16'!I211</f>
        <v>0</v>
      </c>
      <c r="J146" s="43">
        <f>'GT workings 15-16'!J211</f>
        <v>0</v>
      </c>
      <c r="K146" s="43">
        <f>'GT workings 15-16'!K211</f>
        <v>0</v>
      </c>
    </row>
    <row r="147" spans="3:11">
      <c r="C147" s="10" t="s">
        <v>101</v>
      </c>
      <c r="D147" s="42">
        <f>'GT workings 15-16'!D212</f>
        <v>-0.43181154987245485</v>
      </c>
      <c r="E147" s="42">
        <f>'GT workings 15-16'!E212</f>
        <v>-0.39947195996305995</v>
      </c>
      <c r="F147" s="42">
        <f>'GT workings 15-16'!F212</f>
        <v>-0.34734317043598018</v>
      </c>
      <c r="G147" s="42">
        <f>'GT workings 15-16'!G212</f>
        <v>-0.3193206524905472</v>
      </c>
      <c r="H147" s="42">
        <f>'GT workings 15-16'!H212</f>
        <v>-0.31265626882301373</v>
      </c>
      <c r="I147" s="42">
        <f>'GT workings 15-16'!I212</f>
        <v>-0.30799379948941219</v>
      </c>
      <c r="J147" s="42">
        <f>'GT workings 15-16'!J212</f>
        <v>-0.32570922921081308</v>
      </c>
      <c r="K147" s="42">
        <f>'GT workings 15-16'!K212</f>
        <v>-0.31552026220892354</v>
      </c>
    </row>
    <row r="148" spans="3:11">
      <c r="C148" s="11" t="s">
        <v>102</v>
      </c>
      <c r="D148" s="43">
        <f>'GT workings 15-16'!D214</f>
        <v>1.2952860680069529</v>
      </c>
      <c r="E148" s="43">
        <f>'GT workings 15-16'!E214</f>
        <v>0.25832317080146983</v>
      </c>
      <c r="F148" s="43">
        <f>'GT workings 15-16'!F214</f>
        <v>0</v>
      </c>
      <c r="G148" s="43">
        <f>'GT workings 15-16'!G214</f>
        <v>0</v>
      </c>
      <c r="H148" s="43">
        <f>'GT workings 15-16'!H214</f>
        <v>0</v>
      </c>
      <c r="I148" s="43">
        <f>'GT workings 15-16'!I214</f>
        <v>0</v>
      </c>
      <c r="J148" s="43">
        <f>'GT workings 15-16'!J214</f>
        <v>0</v>
      </c>
      <c r="K148" s="43">
        <f>'GT workings 15-16'!K214</f>
        <v>0.42538833372651164</v>
      </c>
    </row>
    <row r="149" spans="3:11">
      <c r="C149" s="10" t="s">
        <v>103</v>
      </c>
      <c r="D149" s="42">
        <f>'GT workings 15-16'!D210+'GT workings 15-16'!D209</f>
        <v>13.059004462191087</v>
      </c>
      <c r="E149" s="42">
        <f>'GT workings 15-16'!E210+'GT workings 15-16'!E209</f>
        <v>16.723990359848745</v>
      </c>
      <c r="F149" s="42">
        <f>'GT workings 15-16'!F210+'GT workings 15-16'!F209</f>
        <v>19.845401039298718</v>
      </c>
      <c r="G149" s="42">
        <f>'GT workings 15-16'!G210+'GT workings 15-16'!G209</f>
        <v>23.238679280348798</v>
      </c>
      <c r="H149" s="42">
        <f>'GT workings 15-16'!H210+'GT workings 15-16'!H209</f>
        <v>26.189937688851984</v>
      </c>
      <c r="I149" s="42">
        <f>'GT workings 15-16'!I210+'GT workings 15-16'!I209</f>
        <v>28.918321916120053</v>
      </c>
      <c r="J149" s="42">
        <f>'GT workings 15-16'!J210+'GT workings 15-16'!J209</f>
        <v>30.867006470826347</v>
      </c>
      <c r="K149" s="42">
        <f>'GT workings 15-16'!K210+'GT workings 15-16'!K209</f>
        <v>30.960978915818348</v>
      </c>
    </row>
    <row r="150" spans="3:11">
      <c r="C150" s="11" t="s">
        <v>104</v>
      </c>
      <c r="D150" s="43">
        <f>'GT workings 15-16'!D213</f>
        <v>8.3082796001737652E-2</v>
      </c>
      <c r="E150" s="43">
        <f>'GT workings 15-16'!E213</f>
        <v>7.976923323919452E-2</v>
      </c>
      <c r="F150" s="43">
        <f>'GT workings 15-16'!F213</f>
        <v>0.75266180631023005</v>
      </c>
      <c r="G150" s="43">
        <f>'GT workings 15-16'!G213</f>
        <v>0.74915421413942451</v>
      </c>
      <c r="H150" s="43">
        <f>'GT workings 15-16'!H213</f>
        <v>0.74550127611804118</v>
      </c>
      <c r="I150" s="43">
        <f>'GT workings 15-16'!I213</f>
        <v>0.74169696947739683</v>
      </c>
      <c r="J150" s="43">
        <f>'GT workings 15-16'!J213</f>
        <v>0.73773502188033069</v>
      </c>
      <c r="K150" s="43">
        <f>'GT workings 15-16'!K213</f>
        <v>0.73360890107971122</v>
      </c>
    </row>
    <row r="151" spans="3:11">
      <c r="C151" s="12" t="s">
        <v>105</v>
      </c>
      <c r="D151" s="50">
        <f>SUM(D144:D150)</f>
        <v>56.072237526593305</v>
      </c>
      <c r="E151" s="50">
        <f t="shared" ref="E151:K151" si="36">SUM(E144:E150)</f>
        <v>65.879521568407782</v>
      </c>
      <c r="F151" s="50">
        <f t="shared" si="36"/>
        <v>67.650824291300381</v>
      </c>
      <c r="G151" s="50">
        <f t="shared" si="36"/>
        <v>71.653542758445468</v>
      </c>
      <c r="H151" s="50">
        <f t="shared" si="36"/>
        <v>72.504852690916707</v>
      </c>
      <c r="I151" s="50">
        <f t="shared" si="36"/>
        <v>71.641157721995995</v>
      </c>
      <c r="J151" s="50">
        <f t="shared" si="36"/>
        <v>73.786951437896022</v>
      </c>
      <c r="K151" s="50">
        <f t="shared" si="36"/>
        <v>73.363944740522044</v>
      </c>
    </row>
    <row r="152" spans="3:11">
      <c r="C152" s="11" t="s">
        <v>126</v>
      </c>
      <c r="D152" s="43">
        <f>'GT workings 15-16'!D220</f>
        <v>94.224999999999994</v>
      </c>
      <c r="E152" s="43">
        <f>'GT workings 15-16'!E220</f>
        <v>87.484999999999999</v>
      </c>
      <c r="F152" s="43">
        <f>'GT workings 15-16'!F220</f>
        <v>79.322999999999993</v>
      </c>
      <c r="G152" s="43">
        <f>'GT workings 15-16'!G220</f>
        <v>58.722999999999999</v>
      </c>
      <c r="H152" s="43">
        <f>'GT workings 15-16'!H220</f>
        <v>3.3000000000000002E-2</v>
      </c>
      <c r="I152" s="43">
        <f>'GT workings 15-16'!I220</f>
        <v>3.3000000000000002E-2</v>
      </c>
      <c r="J152" s="43">
        <f>'GT workings 15-16'!J220</f>
        <v>0</v>
      </c>
      <c r="K152" s="43">
        <f>'GT workings 15-16'!K220</f>
        <v>0</v>
      </c>
    </row>
    <row r="153" spans="3:11" ht="13.8" thickBot="1">
      <c r="C153" s="13" t="s">
        <v>107</v>
      </c>
      <c r="D153" s="52">
        <f>D151+D152</f>
        <v>150.29723752659331</v>
      </c>
      <c r="E153" s="52">
        <f t="shared" ref="E153:K153" si="37">E151+E152</f>
        <v>153.36452156840778</v>
      </c>
      <c r="F153" s="52">
        <f t="shared" si="37"/>
        <v>146.97382429130039</v>
      </c>
      <c r="G153" s="52">
        <f t="shared" si="37"/>
        <v>130.37654275844545</v>
      </c>
      <c r="H153" s="52">
        <f t="shared" si="37"/>
        <v>72.537852690916708</v>
      </c>
      <c r="I153" s="52">
        <f t="shared" si="37"/>
        <v>71.674157721995996</v>
      </c>
      <c r="J153" s="52">
        <f t="shared" si="37"/>
        <v>73.786951437896022</v>
      </c>
      <c r="K153" s="52">
        <f t="shared" si="37"/>
        <v>73.363944740522044</v>
      </c>
    </row>
    <row r="155" spans="3:11">
      <c r="D155" s="53">
        <f>'GT workings 15-16'!D229-D151</f>
        <v>0</v>
      </c>
      <c r="E155" s="53">
        <f>'GT workings 15-16'!E229-E151</f>
        <v>0</v>
      </c>
      <c r="F155" s="53">
        <f>'GT workings 15-16'!F229-F151</f>
        <v>0</v>
      </c>
      <c r="G155" s="53">
        <f>'GT workings 15-16'!G229-G151</f>
        <v>0</v>
      </c>
      <c r="H155" s="53">
        <f>'GT workings 15-16'!H229-H151</f>
        <v>0</v>
      </c>
      <c r="I155" s="53">
        <f>'GT workings 15-16'!I229-I151</f>
        <v>0</v>
      </c>
      <c r="J155" s="53">
        <f>'GT workings 15-16'!J229-J151</f>
        <v>0</v>
      </c>
      <c r="K155" s="53">
        <f>'GT workings 15-16'!K229-K151</f>
        <v>0</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249977111117893"/>
  </sheetPr>
  <dimension ref="A1:Y255"/>
  <sheetViews>
    <sheetView zoomScale="70" zoomScaleNormal="70" workbookViewId="0">
      <pane xSplit="2" ySplit="4" topLeftCell="C5" activePane="bottomRight" state="frozen"/>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426</v>
      </c>
    </row>
    <row r="7" spans="2:22">
      <c r="B7" t="s">
        <v>204</v>
      </c>
      <c r="D7" s="196">
        <v>37.780581733294433</v>
      </c>
      <c r="E7" s="196">
        <v>38.765251453029641</v>
      </c>
      <c r="F7" s="196">
        <v>38.935734544913359</v>
      </c>
      <c r="G7" s="196">
        <v>37.194366497168517</v>
      </c>
      <c r="H7" s="196">
        <v>37.663363739263652</v>
      </c>
      <c r="I7" s="196">
        <v>38.166072267177746</v>
      </c>
      <c r="J7" s="196">
        <v>38.821758225100261</v>
      </c>
      <c r="K7" s="196">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52.370551845660252</v>
      </c>
      <c r="U7" s="53">
        <f t="shared" si="0"/>
        <v>54.711741677180051</v>
      </c>
      <c r="V7" s="53">
        <f>SUM(N7:U7)</f>
        <v>387.87349490683522</v>
      </c>
    </row>
    <row r="8" spans="2:22">
      <c r="B8" t="s">
        <v>206</v>
      </c>
      <c r="D8" s="196">
        <v>33.734064323833628</v>
      </c>
      <c r="E8" s="196">
        <v>27.39346022326454</v>
      </c>
      <c r="F8" s="196">
        <v>18.58964637976759</v>
      </c>
      <c r="G8" s="196">
        <v>15.690053681814245</v>
      </c>
      <c r="H8" s="196">
        <v>14.117331818843784</v>
      </c>
      <c r="I8" s="196">
        <v>12.8424465294623</v>
      </c>
      <c r="J8" s="196">
        <v>15.120708694627556</v>
      </c>
      <c r="K8" s="196">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20.397836029052574</v>
      </c>
      <c r="U8" s="53">
        <f t="shared" si="0"/>
        <v>17.818221907061567</v>
      </c>
      <c r="V8" s="53">
        <f>SUM(N8:U8)</f>
        <v>186.64168256785229</v>
      </c>
    </row>
    <row r="9" spans="2:22">
      <c r="B9" s="38" t="s">
        <v>207</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72.768387874712829</v>
      </c>
      <c r="U9" s="57">
        <f t="shared" si="2"/>
        <v>72.529963584241614</v>
      </c>
      <c r="V9" s="57">
        <f t="shared" si="2"/>
        <v>574.51517747468756</v>
      </c>
    </row>
    <row r="10" spans="2:22">
      <c r="D10" s="53"/>
      <c r="E10" s="53"/>
      <c r="F10" s="53"/>
      <c r="G10" s="53"/>
      <c r="H10" s="53"/>
      <c r="I10" s="53"/>
      <c r="J10" s="53"/>
      <c r="K10" s="53"/>
      <c r="N10" s="53"/>
      <c r="O10" s="53"/>
      <c r="P10" s="53"/>
      <c r="Q10" s="53"/>
      <c r="R10" s="53"/>
      <c r="S10" s="53"/>
      <c r="T10" s="53"/>
      <c r="U10" s="53"/>
      <c r="V10" s="53"/>
    </row>
    <row r="11" spans="2:22">
      <c r="B11" s="38" t="s">
        <v>427</v>
      </c>
      <c r="D11" s="53"/>
      <c r="E11" s="53"/>
      <c r="F11" s="53"/>
      <c r="G11" s="53"/>
      <c r="H11" s="53"/>
      <c r="I11" s="53"/>
      <c r="J11" s="53"/>
      <c r="K11" s="53"/>
      <c r="N11" s="53"/>
      <c r="O11" s="53"/>
      <c r="P11" s="53"/>
      <c r="Q11" s="53"/>
      <c r="R11" s="53"/>
      <c r="S11" s="53"/>
      <c r="T11" s="53"/>
      <c r="U11" s="53"/>
      <c r="V11" s="53"/>
    </row>
    <row r="12" spans="2:22">
      <c r="B12" t="s">
        <v>210</v>
      </c>
      <c r="D12" s="196">
        <v>7.1559568178343396</v>
      </c>
      <c r="E12" s="196">
        <v>4.9583696669587889</v>
      </c>
      <c r="F12" s="196">
        <v>6.5268703309989426</v>
      </c>
      <c r="G12" s="196">
        <v>8.9978253214108026</v>
      </c>
      <c r="H12" s="196">
        <v>8.0555897404504044</v>
      </c>
      <c r="I12" s="196">
        <v>5.1722575344308828</v>
      </c>
      <c r="J12" s="196">
        <v>4.1277105565726</v>
      </c>
      <c r="K12" s="196">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6.7911741427077486</v>
      </c>
      <c r="T12" s="53">
        <f t="shared" si="4"/>
        <v>5.5682815408164377</v>
      </c>
      <c r="U12" s="53">
        <f t="shared" si="4"/>
        <v>5.2576284971921297</v>
      </c>
      <c r="V12" s="53">
        <f>SUM(N12:U12)</f>
        <v>61.025994652696959</v>
      </c>
    </row>
    <row r="13" spans="2:22">
      <c r="B13" t="s">
        <v>212</v>
      </c>
      <c r="D13" s="196">
        <v>6.3163703255204871</v>
      </c>
      <c r="E13" s="196">
        <v>7.5041818587940385</v>
      </c>
      <c r="F13" s="196">
        <v>11.666765702990109</v>
      </c>
      <c r="G13" s="196">
        <v>14.771156922046991</v>
      </c>
      <c r="H13" s="196">
        <v>13.45775622663338</v>
      </c>
      <c r="I13" s="196">
        <v>11.373748646385858</v>
      </c>
      <c r="J13" s="196">
        <v>9.8338467639554441</v>
      </c>
      <c r="K13" s="196">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13.265859284575894</v>
      </c>
      <c r="U13" s="53">
        <f t="shared" si="4"/>
        <v>14.360284159338896</v>
      </c>
      <c r="V13" s="53">
        <f>SUM(N13:U13)</f>
        <v>108.16867050646547</v>
      </c>
    </row>
    <row r="14" spans="2:22">
      <c r="B14" s="38" t="s">
        <v>428</v>
      </c>
      <c r="N14" s="53"/>
      <c r="O14" s="53"/>
      <c r="P14" s="53"/>
      <c r="Q14" s="53"/>
      <c r="R14" s="53"/>
      <c r="S14" s="53"/>
      <c r="T14" s="53"/>
      <c r="U14" s="53"/>
      <c r="V14" s="53"/>
    </row>
    <row r="15" spans="2:22">
      <c r="B15" t="s">
        <v>215</v>
      </c>
      <c r="D15" s="196">
        <v>25.459307795372435</v>
      </c>
      <c r="E15" s="196">
        <v>14.41280752104567</v>
      </c>
      <c r="F15" s="196">
        <v>9.6173202079823099</v>
      </c>
      <c r="G15" s="196">
        <v>60.446777499796859</v>
      </c>
      <c r="H15" s="196">
        <v>84.880198528547851</v>
      </c>
      <c r="I15" s="196">
        <v>8.5249336835233791</v>
      </c>
      <c r="J15" s="196">
        <v>0.23152878737450566</v>
      </c>
      <c r="K15" s="196">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0.31233233416820816</v>
      </c>
      <c r="U15" s="53">
        <f t="shared" si="5"/>
        <v>0</v>
      </c>
      <c r="V15" s="53">
        <f>SUM(N15:U15)</f>
        <v>252.29385799299362</v>
      </c>
    </row>
    <row r="16" spans="2:22">
      <c r="B16" t="s">
        <v>217</v>
      </c>
      <c r="D16" s="196">
        <v>97.132518315217595</v>
      </c>
      <c r="E16" s="196">
        <v>109.87971241227922</v>
      </c>
      <c r="F16" s="196">
        <v>114.43672637584547</v>
      </c>
      <c r="G16" s="196">
        <v>123.96977718673423</v>
      </c>
      <c r="H16" s="196">
        <v>138.27838395379189</v>
      </c>
      <c r="I16" s="196">
        <v>117.50342084599842</v>
      </c>
      <c r="J16" s="196">
        <v>101.87556011564801</v>
      </c>
      <c r="K16" s="196">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137.43013059600918</v>
      </c>
      <c r="U16" s="53">
        <f t="shared" si="5"/>
        <v>126.52727041318616</v>
      </c>
      <c r="V16" s="53">
        <f>SUM(N16:U16)</f>
        <v>1128.3043918706692</v>
      </c>
    </row>
    <row r="17" spans="1:22">
      <c r="B17" t="s">
        <v>204</v>
      </c>
      <c r="D17" s="196">
        <v>64.482672010544718</v>
      </c>
      <c r="E17" s="196">
        <v>65.237874215180156</v>
      </c>
      <c r="F17" s="196">
        <v>70.772894725011071</v>
      </c>
      <c r="G17" s="196">
        <v>79.368338266410362</v>
      </c>
      <c r="H17" s="196">
        <v>84.317479134504765</v>
      </c>
      <c r="I17" s="196">
        <v>84.641346358196444</v>
      </c>
      <c r="J17" s="196">
        <v>80.728014781566515</v>
      </c>
      <c r="K17" s="196">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108.90209194033322</v>
      </c>
      <c r="U17" s="53">
        <f t="shared" si="5"/>
        <v>107.55621733133628</v>
      </c>
      <c r="V17" s="53">
        <f>SUM(N17:U17)</f>
        <v>770.43055286032575</v>
      </c>
    </row>
    <row r="18" spans="1:22">
      <c r="N18" s="53"/>
      <c r="O18" s="53"/>
      <c r="P18" s="53"/>
      <c r="Q18" s="53"/>
      <c r="R18" s="53"/>
      <c r="S18" s="53"/>
      <c r="T18" s="53"/>
      <c r="U18" s="53"/>
      <c r="V18" s="53"/>
    </row>
    <row r="19" spans="1:22">
      <c r="B19" s="38" t="s">
        <v>429</v>
      </c>
      <c r="N19" s="53"/>
      <c r="O19" s="53"/>
      <c r="P19" s="53"/>
      <c r="Q19" s="53"/>
      <c r="R19" s="53"/>
      <c r="S19" s="53"/>
      <c r="T19" s="53"/>
      <c r="U19" s="53"/>
      <c r="V19" s="53"/>
    </row>
    <row r="20" spans="1:22">
      <c r="B20" t="s">
        <v>206</v>
      </c>
      <c r="D20" s="196">
        <v>0</v>
      </c>
      <c r="E20" s="196">
        <v>0</v>
      </c>
      <c r="F20" s="196">
        <v>0</v>
      </c>
      <c r="G20" s="196">
        <v>0</v>
      </c>
      <c r="H20" s="196">
        <v>0</v>
      </c>
      <c r="I20" s="196">
        <v>0</v>
      </c>
      <c r="J20" s="196">
        <v>0</v>
      </c>
      <c r="K20" s="196">
        <v>0</v>
      </c>
      <c r="L20" s="53">
        <f>SUM(D20:K20)</f>
        <v>0</v>
      </c>
      <c r="N20" s="53">
        <f t="shared" ref="N20:U21" si="6">D20*N$1</f>
        <v>0</v>
      </c>
      <c r="O20" s="53">
        <f t="shared" si="6"/>
        <v>0</v>
      </c>
      <c r="P20" s="53">
        <f t="shared" si="6"/>
        <v>0</v>
      </c>
      <c r="Q20" s="53">
        <f t="shared" si="6"/>
        <v>0</v>
      </c>
      <c r="R20" s="53">
        <f t="shared" si="6"/>
        <v>0</v>
      </c>
      <c r="S20" s="53">
        <f t="shared" si="6"/>
        <v>0</v>
      </c>
      <c r="T20" s="53">
        <f t="shared" si="6"/>
        <v>0</v>
      </c>
      <c r="U20" s="53">
        <f t="shared" si="6"/>
        <v>0</v>
      </c>
      <c r="V20" s="53">
        <f>SUM(N20:U20)</f>
        <v>0</v>
      </c>
    </row>
    <row r="21" spans="1:22">
      <c r="B21" t="s">
        <v>204</v>
      </c>
      <c r="D21" s="196">
        <v>0</v>
      </c>
      <c r="E21" s="196">
        <v>0</v>
      </c>
      <c r="F21" s="196">
        <v>0</v>
      </c>
      <c r="G21" s="196">
        <v>0</v>
      </c>
      <c r="H21" s="196">
        <v>0</v>
      </c>
      <c r="I21" s="196">
        <v>0</v>
      </c>
      <c r="J21" s="196">
        <v>0</v>
      </c>
      <c r="K21" s="196">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345</v>
      </c>
      <c r="C23" s="60"/>
      <c r="D23" s="61">
        <f t="shared" ref="D23:L23" si="7">SUM(D15:D21)</f>
        <v>187.07449812113475</v>
      </c>
      <c r="E23" s="61">
        <f t="shared" si="7"/>
        <v>189.53039414850502</v>
      </c>
      <c r="F23" s="61">
        <f t="shared" si="7"/>
        <v>194.82694130883885</v>
      </c>
      <c r="G23" s="61">
        <f t="shared" si="7"/>
        <v>263.78489295294145</v>
      </c>
      <c r="H23" s="61">
        <f t="shared" si="7"/>
        <v>307.4760616168445</v>
      </c>
      <c r="I23" s="61">
        <f t="shared" si="7"/>
        <v>210.66970088771825</v>
      </c>
      <c r="J23" s="61">
        <f t="shared" si="7"/>
        <v>182.83510368458903</v>
      </c>
      <c r="K23" s="61">
        <f t="shared" si="7"/>
        <v>168.64804592544846</v>
      </c>
      <c r="L23" s="61">
        <f t="shared" si="7"/>
        <v>1704.8456386460202</v>
      </c>
      <c r="N23" s="61">
        <f t="shared" ref="N23:V23" si="8">SUM(N15:N21)</f>
        <v>218.31593930736426</v>
      </c>
      <c r="O23" s="61">
        <f t="shared" si="8"/>
        <v>225.54116903672099</v>
      </c>
      <c r="P23" s="61">
        <f t="shared" si="8"/>
        <v>234.18198345322426</v>
      </c>
      <c r="Q23" s="61">
        <f t="shared" si="8"/>
        <v>323.92784854621209</v>
      </c>
      <c r="R23" s="61">
        <f t="shared" si="8"/>
        <v>391.72450249985991</v>
      </c>
      <c r="S23" s="61">
        <f t="shared" si="8"/>
        <v>276.60931726557408</v>
      </c>
      <c r="T23" s="61">
        <f t="shared" si="8"/>
        <v>246.6445548705106</v>
      </c>
      <c r="U23" s="61">
        <f t="shared" si="8"/>
        <v>234.08348774452244</v>
      </c>
      <c r="V23" s="61">
        <f t="shared" si="8"/>
        <v>2151.0288027239885</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7">
        <v>110.11544616012048</v>
      </c>
      <c r="E26" s="197">
        <v>110.29121834911521</v>
      </c>
      <c r="F26" s="197">
        <v>110.32860169190292</v>
      </c>
      <c r="G26" s="197">
        <v>110.3596633646699</v>
      </c>
      <c r="H26" s="197">
        <v>110.27343835902431</v>
      </c>
      <c r="I26" s="197">
        <v>110.27662588032852</v>
      </c>
      <c r="J26" s="197">
        <v>110.30420904525512</v>
      </c>
      <c r="K26" s="197">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148.80037800204914</v>
      </c>
      <c r="U26" s="58">
        <f t="shared" si="9"/>
        <v>153.11121481880596</v>
      </c>
      <c r="V26" s="58">
        <f>SUM(N26:U26)</f>
        <v>1115.0810844209129</v>
      </c>
    </row>
    <row r="27" spans="1:22">
      <c r="N27" s="53"/>
      <c r="O27" s="53"/>
      <c r="P27" s="53"/>
      <c r="Q27" s="53"/>
      <c r="R27" s="53"/>
      <c r="S27" s="53"/>
      <c r="T27" s="53"/>
      <c r="U27" s="53"/>
      <c r="V27" s="53"/>
    </row>
    <row r="28" spans="1:22">
      <c r="A28" t="s">
        <v>346</v>
      </c>
      <c r="N28" s="53"/>
      <c r="O28" s="53"/>
      <c r="P28" s="53"/>
      <c r="Q28" s="53"/>
      <c r="R28" s="53"/>
      <c r="S28" s="53"/>
      <c r="T28" s="53"/>
      <c r="U28" s="53"/>
      <c r="V28" s="53"/>
    </row>
    <row r="29" spans="1:22">
      <c r="B29" s="38" t="s">
        <v>426</v>
      </c>
    </row>
    <row r="30" spans="1:22">
      <c r="B30" t="s">
        <v>204</v>
      </c>
      <c r="D30" s="223">
        <v>35.309276180178273</v>
      </c>
      <c r="E30" s="223">
        <v>46.269433311823683</v>
      </c>
      <c r="F30" s="223">
        <v>50.602500247903464</v>
      </c>
      <c r="G30" s="223">
        <v>51.965523419215508</v>
      </c>
      <c r="H30" s="223">
        <v>51.12111996589703</v>
      </c>
      <c r="I30" s="223">
        <v>49.539820913563602</v>
      </c>
      <c r="J30" s="223">
        <v>48.655604989055703</v>
      </c>
      <c r="K30" s="223">
        <v>49.763707375013652</v>
      </c>
      <c r="L30" s="53">
        <f>SUM(D30:K30)</f>
        <v>383.22698640265094</v>
      </c>
      <c r="N30" s="53">
        <f t="shared" ref="N30:U31" si="10">D30*N$1</f>
        <v>41.205925302268042</v>
      </c>
      <c r="O30" s="53">
        <f t="shared" si="10"/>
        <v>55.060625641070182</v>
      </c>
      <c r="P30" s="53">
        <f t="shared" si="10"/>
        <v>60.824205297979958</v>
      </c>
      <c r="Q30" s="53">
        <f t="shared" si="10"/>
        <v>63.813662758796646</v>
      </c>
      <c r="R30" s="53">
        <f t="shared" si="10"/>
        <v>65.128306836552824</v>
      </c>
      <c r="S30" s="53">
        <f t="shared" si="10"/>
        <v>65.045784859509013</v>
      </c>
      <c r="T30" s="53">
        <f t="shared" si="10"/>
        <v>65.636411130236141</v>
      </c>
      <c r="U30" s="53">
        <f t="shared" si="10"/>
        <v>69.072025836518947</v>
      </c>
      <c r="V30" s="53">
        <f>SUM(N30:U30)</f>
        <v>485.78694766293171</v>
      </c>
    </row>
    <row r="31" spans="1:22">
      <c r="B31" t="s">
        <v>206</v>
      </c>
      <c r="D31" s="223">
        <v>17.708231419797961</v>
      </c>
      <c r="E31" s="223">
        <v>32.351829890223328</v>
      </c>
      <c r="F31" s="223">
        <v>25.116516710766533</v>
      </c>
      <c r="G31" s="223">
        <v>24.687879003225049</v>
      </c>
      <c r="H31" s="223">
        <v>22.172921559294188</v>
      </c>
      <c r="I31" s="223">
        <v>18.014704063893184</v>
      </c>
      <c r="J31" s="223">
        <v>19.248419251200154</v>
      </c>
      <c r="K31" s="223">
        <v>16.625252452632346</v>
      </c>
      <c r="L31" s="53">
        <f>SUM(D31:K31)</f>
        <v>175.92575435103274</v>
      </c>
      <c r="N31" s="53">
        <f t="shared" si="10"/>
        <v>20.665506066904221</v>
      </c>
      <c r="O31" s="53">
        <f t="shared" si="10"/>
        <v>38.498677569365761</v>
      </c>
      <c r="P31" s="53">
        <f t="shared" si="10"/>
        <v>30.190053086341372</v>
      </c>
      <c r="Q31" s="53">
        <f t="shared" si="10"/>
        <v>30.31671541596036</v>
      </c>
      <c r="R31" s="53">
        <f t="shared" si="10"/>
        <v>28.248302066540795</v>
      </c>
      <c r="S31" s="53">
        <f t="shared" si="10"/>
        <v>23.65330643589175</v>
      </c>
      <c r="T31" s="53">
        <f t="shared" si="10"/>
        <v>25.966117569869006</v>
      </c>
      <c r="U31" s="53">
        <f t="shared" si="10"/>
        <v>23.075850404253693</v>
      </c>
      <c r="V31" s="53">
        <f>SUM(N31:U31)</f>
        <v>220.61452861512694</v>
      </c>
    </row>
    <row r="32" spans="1:22">
      <c r="B32" s="38" t="s">
        <v>207</v>
      </c>
      <c r="D32" s="57">
        <f t="shared" ref="D32:L32" si="11">SUM(D30:D31)</f>
        <v>53.017507599976234</v>
      </c>
      <c r="E32" s="57">
        <f t="shared" si="11"/>
        <v>78.621263202047004</v>
      </c>
      <c r="F32" s="57">
        <f t="shared" si="11"/>
        <v>75.719016958669997</v>
      </c>
      <c r="G32" s="57">
        <f t="shared" si="11"/>
        <v>76.653402422440564</v>
      </c>
      <c r="H32" s="57">
        <f t="shared" si="11"/>
        <v>73.294041525191219</v>
      </c>
      <c r="I32" s="57">
        <f t="shared" si="11"/>
        <v>67.554524977456794</v>
      </c>
      <c r="J32" s="57">
        <f t="shared" si="11"/>
        <v>67.904024240255865</v>
      </c>
      <c r="K32" s="57">
        <f t="shared" si="11"/>
        <v>66.388959827646005</v>
      </c>
      <c r="L32" s="57">
        <f t="shared" si="11"/>
        <v>559.1527407536837</v>
      </c>
      <c r="N32" s="57">
        <f t="shared" ref="N32:V32" si="12">SUM(N30:N31)</f>
        <v>61.871431369172264</v>
      </c>
      <c r="O32" s="57">
        <f t="shared" si="12"/>
        <v>93.559303210435942</v>
      </c>
      <c r="P32" s="57">
        <f t="shared" si="12"/>
        <v>91.014258384321323</v>
      </c>
      <c r="Q32" s="57">
        <f t="shared" si="12"/>
        <v>94.130378174756999</v>
      </c>
      <c r="R32" s="57">
        <f t="shared" si="12"/>
        <v>93.376608903093626</v>
      </c>
      <c r="S32" s="57">
        <f t="shared" si="12"/>
        <v>88.699091295400763</v>
      </c>
      <c r="T32" s="57">
        <f t="shared" si="12"/>
        <v>91.602528700105154</v>
      </c>
      <c r="U32" s="57">
        <f t="shared" si="12"/>
        <v>92.147876240772632</v>
      </c>
      <c r="V32" s="57">
        <f t="shared" si="12"/>
        <v>706.40147627805868</v>
      </c>
    </row>
    <row r="33" spans="2:22">
      <c r="D33" s="53"/>
      <c r="E33" s="53"/>
      <c r="F33" s="53"/>
      <c r="G33" s="53"/>
      <c r="H33" s="53"/>
      <c r="I33" s="53"/>
      <c r="J33" s="53"/>
      <c r="K33" s="53"/>
      <c r="N33" s="53"/>
      <c r="O33" s="53"/>
      <c r="P33" s="53"/>
      <c r="Q33" s="53"/>
      <c r="R33" s="53"/>
      <c r="S33" s="53"/>
      <c r="T33" s="53"/>
      <c r="U33" s="53"/>
      <c r="V33" s="53"/>
    </row>
    <row r="34" spans="2:22">
      <c r="B34" s="38" t="s">
        <v>427</v>
      </c>
      <c r="D34" s="53"/>
      <c r="E34" s="53"/>
      <c r="F34" s="53"/>
      <c r="G34" s="53"/>
      <c r="H34" s="53"/>
      <c r="I34" s="53"/>
      <c r="J34" s="53"/>
      <c r="K34" s="53"/>
      <c r="N34" s="53"/>
      <c r="O34" s="53"/>
      <c r="P34" s="53"/>
      <c r="Q34" s="53"/>
      <c r="R34" s="53"/>
      <c r="S34" s="53"/>
      <c r="T34" s="53"/>
      <c r="U34" s="53"/>
      <c r="V34" s="53"/>
    </row>
    <row r="35" spans="2:22">
      <c r="B35" t="s">
        <v>210</v>
      </c>
      <c r="D35" s="223">
        <v>0</v>
      </c>
      <c r="E35" s="223">
        <v>0</v>
      </c>
      <c r="F35" s="223">
        <v>0</v>
      </c>
      <c r="G35" s="223">
        <v>0</v>
      </c>
      <c r="H35" s="223">
        <v>0</v>
      </c>
      <c r="I35" s="223">
        <v>0</v>
      </c>
      <c r="J35" s="223">
        <v>0</v>
      </c>
      <c r="K35" s="223">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212</v>
      </c>
      <c r="D36" s="223">
        <v>0</v>
      </c>
      <c r="E36" s="223">
        <v>0</v>
      </c>
      <c r="F36" s="223">
        <v>0</v>
      </c>
      <c r="G36" s="223">
        <v>0</v>
      </c>
      <c r="H36" s="223">
        <v>0</v>
      </c>
      <c r="I36" s="223">
        <v>0</v>
      </c>
      <c r="J36" s="223">
        <v>0</v>
      </c>
      <c r="K36" s="223">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c r="B37" s="38" t="s">
        <v>428</v>
      </c>
      <c r="N37" s="53"/>
      <c r="O37" s="53"/>
      <c r="P37" s="53"/>
      <c r="Q37" s="53"/>
      <c r="R37" s="53"/>
      <c r="S37" s="53"/>
      <c r="T37" s="53"/>
      <c r="U37" s="53"/>
      <c r="V37" s="53"/>
    </row>
    <row r="38" spans="2:22">
      <c r="B38" t="s">
        <v>215</v>
      </c>
      <c r="D38" s="223">
        <v>0.31671006468913487</v>
      </c>
      <c r="E38" s="223">
        <v>14.41280752104567</v>
      </c>
      <c r="F38" s="223">
        <v>9.6173202079823099</v>
      </c>
      <c r="G38" s="223">
        <v>60.446777499796859</v>
      </c>
      <c r="H38" s="223">
        <v>84.880198528547851</v>
      </c>
      <c r="I38" s="223">
        <v>8.5249336835233791</v>
      </c>
      <c r="J38" s="223">
        <v>0.23152878737450566</v>
      </c>
      <c r="K38" s="223">
        <v>0</v>
      </c>
      <c r="L38" s="53">
        <f>SUM(D38:K38)</f>
        <v>178.43027629295972</v>
      </c>
      <c r="N38" s="53">
        <f t="shared" ref="N38:U40" si="15">D38*N$1</f>
        <v>0.36960064549222044</v>
      </c>
      <c r="O38" s="53">
        <f t="shared" si="15"/>
        <v>17.151240950044347</v>
      </c>
      <c r="P38" s="53">
        <f t="shared" si="15"/>
        <v>11.560018889994737</v>
      </c>
      <c r="Q38" s="53">
        <f t="shared" si="15"/>
        <v>74.228642769750536</v>
      </c>
      <c r="R38" s="53">
        <f t="shared" si="15"/>
        <v>108.13737292536996</v>
      </c>
      <c r="S38" s="53">
        <f t="shared" si="15"/>
        <v>11.193237926466196</v>
      </c>
      <c r="T38" s="53">
        <f t="shared" si="15"/>
        <v>0.31233233416820816</v>
      </c>
      <c r="U38" s="53">
        <f t="shared" si="15"/>
        <v>0</v>
      </c>
      <c r="V38" s="53">
        <f>SUM(N38:U38)</f>
        <v>222.95244644128621</v>
      </c>
    </row>
    <row r="39" spans="2:22">
      <c r="B39" t="s">
        <v>217</v>
      </c>
      <c r="D39" s="223">
        <v>84.093056679498872</v>
      </c>
      <c r="E39" s="223">
        <v>109.87971241227922</v>
      </c>
      <c r="F39" s="223">
        <v>114.43672637584547</v>
      </c>
      <c r="G39" s="223">
        <v>123.96977718673423</v>
      </c>
      <c r="H39" s="223">
        <v>138.27838395379189</v>
      </c>
      <c r="I39" s="223">
        <v>117.50342084599842</v>
      </c>
      <c r="J39" s="223">
        <v>101.87556011564801</v>
      </c>
      <c r="K39" s="223">
        <v>91.157975802007329</v>
      </c>
      <c r="L39" s="53">
        <f>SUM(D39:K39)</f>
        <v>881.19461337180337</v>
      </c>
      <c r="N39" s="53">
        <f t="shared" si="15"/>
        <v>98.136597144975184</v>
      </c>
      <c r="O39" s="53">
        <f t="shared" si="15"/>
        <v>130.75685777061227</v>
      </c>
      <c r="P39" s="53">
        <f t="shared" si="15"/>
        <v>137.55294510376623</v>
      </c>
      <c r="Q39" s="53">
        <f t="shared" si="15"/>
        <v>152.23488638530964</v>
      </c>
      <c r="R39" s="53">
        <f t="shared" si="15"/>
        <v>176.16666115713087</v>
      </c>
      <c r="S39" s="53">
        <f t="shared" si="15"/>
        <v>154.28199157079592</v>
      </c>
      <c r="T39" s="53">
        <f t="shared" si="15"/>
        <v>137.43013059600918</v>
      </c>
      <c r="U39" s="53">
        <f t="shared" si="15"/>
        <v>126.52727041318616</v>
      </c>
      <c r="V39" s="53">
        <f>SUM(N39:U39)</f>
        <v>1113.0873401417855</v>
      </c>
    </row>
    <row r="40" spans="2:22">
      <c r="B40" t="s">
        <v>204</v>
      </c>
      <c r="D40" s="223">
        <v>55.692201217736567</v>
      </c>
      <c r="E40" s="223">
        <v>65.237874215180156</v>
      </c>
      <c r="F40" s="223">
        <v>70.772894725011071</v>
      </c>
      <c r="G40" s="223">
        <v>79.368338266410362</v>
      </c>
      <c r="H40" s="223">
        <v>84.317479134504765</v>
      </c>
      <c r="I40" s="223">
        <v>84.641346358196444</v>
      </c>
      <c r="J40" s="223">
        <v>80.728014781566515</v>
      </c>
      <c r="K40" s="223">
        <v>77.490070123441129</v>
      </c>
      <c r="L40" s="53">
        <f>SUM(D40:K40)</f>
        <v>598.24821882204708</v>
      </c>
      <c r="N40" s="53">
        <f t="shared" si="15"/>
        <v>64.992798821098575</v>
      </c>
      <c r="O40" s="53">
        <f t="shared" si="15"/>
        <v>77.633070316064376</v>
      </c>
      <c r="P40" s="53">
        <f t="shared" si="15"/>
        <v>85.069019459463306</v>
      </c>
      <c r="Q40" s="53">
        <f t="shared" si="15"/>
        <v>97.464319391151918</v>
      </c>
      <c r="R40" s="53">
        <f t="shared" si="15"/>
        <v>107.42046841735907</v>
      </c>
      <c r="S40" s="53">
        <f t="shared" si="15"/>
        <v>111.13408776831193</v>
      </c>
      <c r="T40" s="53">
        <f t="shared" si="15"/>
        <v>108.90209194033322</v>
      </c>
      <c r="U40" s="53">
        <f t="shared" si="15"/>
        <v>107.55621733133628</v>
      </c>
      <c r="V40" s="53">
        <f>SUM(N40:U40)</f>
        <v>760.1720734451186</v>
      </c>
    </row>
    <row r="41" spans="2:22">
      <c r="N41" s="53"/>
      <c r="O41" s="53"/>
      <c r="P41" s="53"/>
      <c r="Q41" s="53"/>
      <c r="R41" s="53"/>
      <c r="S41" s="53"/>
      <c r="T41" s="53"/>
      <c r="U41" s="53"/>
      <c r="V41" s="53"/>
    </row>
    <row r="42" spans="2:22">
      <c r="B42" s="38" t="s">
        <v>429</v>
      </c>
      <c r="N42" s="53"/>
      <c r="O42" s="53"/>
      <c r="P42" s="53"/>
      <c r="Q42" s="53"/>
      <c r="R42" s="53"/>
      <c r="S42" s="53"/>
      <c r="T42" s="53"/>
      <c r="U42" s="53"/>
      <c r="V42" s="53"/>
    </row>
    <row r="43" spans="2:22">
      <c r="B43" t="s">
        <v>215</v>
      </c>
      <c r="D43" s="223">
        <v>0</v>
      </c>
      <c r="E43" s="223">
        <v>0</v>
      </c>
      <c r="F43" s="223">
        <v>0</v>
      </c>
      <c r="G43" s="223">
        <v>0</v>
      </c>
      <c r="H43" s="223">
        <v>0</v>
      </c>
      <c r="I43" s="223">
        <v>0</v>
      </c>
      <c r="J43" s="223">
        <v>0</v>
      </c>
      <c r="K43" s="223">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217</v>
      </c>
      <c r="D44" s="223">
        <v>30.596821028210556</v>
      </c>
      <c r="E44" s="223">
        <v>0</v>
      </c>
      <c r="F44" s="223">
        <v>0</v>
      </c>
      <c r="G44" s="223">
        <v>0</v>
      </c>
      <c r="H44" s="223">
        <v>0</v>
      </c>
      <c r="I44" s="223">
        <v>0</v>
      </c>
      <c r="J44" s="223">
        <v>0</v>
      </c>
      <c r="K44" s="223">
        <v>0</v>
      </c>
      <c r="L44" s="53">
        <f>SUM(D44:K44)</f>
        <v>30.596821028210556</v>
      </c>
      <c r="N44" s="53">
        <f t="shared" ref="N44" si="17">D44*N$1</f>
        <v>35.706490139921719</v>
      </c>
      <c r="O44" s="53">
        <f t="shared" ref="O44" si="18">E44*O$1</f>
        <v>0</v>
      </c>
      <c r="P44" s="53">
        <f t="shared" ref="P44" si="19">F44*P$1</f>
        <v>0</v>
      </c>
      <c r="Q44" s="53">
        <f t="shared" ref="Q44" si="20">G44*Q$1</f>
        <v>0</v>
      </c>
      <c r="R44" s="53">
        <f t="shared" ref="R44" si="21">H44*R$1</f>
        <v>0</v>
      </c>
      <c r="S44" s="53">
        <f t="shared" ref="S44" si="22">I44*S$1</f>
        <v>0</v>
      </c>
      <c r="T44" s="53">
        <f t="shared" ref="T44" si="23">J44*T$1</f>
        <v>0</v>
      </c>
      <c r="U44" s="53">
        <f t="shared" ref="U44" si="24">K44*U$1</f>
        <v>0</v>
      </c>
      <c r="V44" s="53">
        <f>SUM(N44:U44)</f>
        <v>35.706490139921719</v>
      </c>
    </row>
    <row r="45" spans="2:22">
      <c r="B45" t="s">
        <v>204</v>
      </c>
      <c r="D45" s="223">
        <v>5.1391741130286883</v>
      </c>
      <c r="E45" s="223">
        <v>0</v>
      </c>
      <c r="F45" s="223">
        <v>0</v>
      </c>
      <c r="G45" s="223">
        <v>0</v>
      </c>
      <c r="H45" s="223">
        <v>0</v>
      </c>
      <c r="I45" s="223">
        <v>0</v>
      </c>
      <c r="J45" s="223">
        <v>0</v>
      </c>
      <c r="K45" s="223">
        <v>0</v>
      </c>
      <c r="L45" s="53">
        <f>SUM(D45:K45)</f>
        <v>5.1391741130286883</v>
      </c>
      <c r="N45" s="53">
        <f t="shared" si="16"/>
        <v>5.9974161899044791</v>
      </c>
      <c r="O45" s="53">
        <f t="shared" si="16"/>
        <v>0</v>
      </c>
      <c r="P45" s="53">
        <f t="shared" si="16"/>
        <v>0</v>
      </c>
      <c r="Q45" s="53">
        <f t="shared" si="16"/>
        <v>0</v>
      </c>
      <c r="R45" s="53">
        <f t="shared" si="16"/>
        <v>0</v>
      </c>
      <c r="S45" s="53">
        <f t="shared" si="16"/>
        <v>0</v>
      </c>
      <c r="T45" s="53">
        <f t="shared" si="16"/>
        <v>0</v>
      </c>
      <c r="U45" s="53">
        <f t="shared" si="16"/>
        <v>0</v>
      </c>
      <c r="V45" s="53">
        <f>SUM(N45:U45)</f>
        <v>5.9974161899044791</v>
      </c>
    </row>
    <row r="46" spans="2:22">
      <c r="N46" s="53"/>
      <c r="O46" s="53"/>
      <c r="P46" s="53"/>
      <c r="Q46" s="53"/>
      <c r="R46" s="53"/>
      <c r="S46" s="53"/>
      <c r="T46" s="53"/>
      <c r="U46" s="53"/>
      <c r="V46" s="53"/>
    </row>
    <row r="47" spans="2:22" ht="15.6">
      <c r="B47" s="59" t="s">
        <v>345</v>
      </c>
      <c r="C47" s="60"/>
      <c r="D47" s="61">
        <f t="shared" ref="D47:L47" si="25">SUM(D38:D45)</f>
        <v>175.83796310316384</v>
      </c>
      <c r="E47" s="61">
        <f t="shared" si="25"/>
        <v>189.53039414850502</v>
      </c>
      <c r="F47" s="61">
        <f t="shared" si="25"/>
        <v>194.82694130883885</v>
      </c>
      <c r="G47" s="61">
        <f t="shared" si="25"/>
        <v>263.78489295294145</v>
      </c>
      <c r="H47" s="61">
        <f t="shared" si="25"/>
        <v>307.4760616168445</v>
      </c>
      <c r="I47" s="61">
        <f t="shared" si="25"/>
        <v>210.66970088771825</v>
      </c>
      <c r="J47" s="61">
        <f t="shared" si="25"/>
        <v>182.83510368458903</v>
      </c>
      <c r="K47" s="61">
        <f t="shared" si="25"/>
        <v>168.64804592544846</v>
      </c>
      <c r="L47" s="61">
        <f t="shared" si="25"/>
        <v>1693.6091036280493</v>
      </c>
      <c r="N47" s="61">
        <f t="shared" ref="N47:V47" si="26">SUM(N38:N45)</f>
        <v>205.20290294139218</v>
      </c>
      <c r="O47" s="61">
        <f t="shared" si="26"/>
        <v>225.54116903672099</v>
      </c>
      <c r="P47" s="61">
        <f t="shared" si="26"/>
        <v>234.18198345322426</v>
      </c>
      <c r="Q47" s="61">
        <f t="shared" si="26"/>
        <v>323.92784854621209</v>
      </c>
      <c r="R47" s="61">
        <f t="shared" si="26"/>
        <v>391.72450249985991</v>
      </c>
      <c r="S47" s="61">
        <f t="shared" si="26"/>
        <v>276.60931726557408</v>
      </c>
      <c r="T47" s="61">
        <f t="shared" si="26"/>
        <v>246.6445548705106</v>
      </c>
      <c r="U47" s="61">
        <f t="shared" si="26"/>
        <v>234.08348774452244</v>
      </c>
      <c r="V47" s="61">
        <f t="shared" si="26"/>
        <v>2137.9157663580163</v>
      </c>
    </row>
    <row r="48" spans="2:22">
      <c r="N48" s="53"/>
      <c r="O48" s="53"/>
      <c r="P48" s="53"/>
      <c r="Q48" s="53"/>
      <c r="R48" s="53"/>
      <c r="S48" s="53"/>
      <c r="T48" s="53"/>
      <c r="U48" s="53"/>
      <c r="V48" s="53"/>
    </row>
    <row r="49" spans="1:16">
      <c r="D49" s="53"/>
      <c r="E49" s="53"/>
      <c r="F49" s="53"/>
      <c r="G49" s="53"/>
      <c r="H49" s="53"/>
      <c r="I49" s="53"/>
      <c r="J49" s="53"/>
      <c r="K49" s="53"/>
      <c r="L49" s="53"/>
    </row>
    <row r="50" spans="1:16" s="195" customFormat="1">
      <c r="D50" s="196"/>
      <c r="E50" s="196"/>
      <c r="F50" s="196"/>
      <c r="G50" s="196"/>
      <c r="H50" s="196"/>
      <c r="I50" s="196"/>
      <c r="J50" s="196"/>
      <c r="K50" s="196"/>
      <c r="L50" s="196"/>
    </row>
    <row r="51" spans="1:16" ht="13.8" thickBot="1"/>
    <row r="52" spans="1:16" ht="16.8">
      <c r="A52" s="68"/>
      <c r="B52" s="69" t="s">
        <v>237</v>
      </c>
      <c r="D52" s="70">
        <v>41729</v>
      </c>
      <c r="E52" s="71">
        <v>42094</v>
      </c>
      <c r="F52" s="71">
        <v>42460</v>
      </c>
      <c r="G52" s="71">
        <v>42825</v>
      </c>
      <c r="H52" s="71">
        <v>43190</v>
      </c>
      <c r="I52" s="71">
        <v>43555</v>
      </c>
      <c r="J52" s="71">
        <v>43921</v>
      </c>
      <c r="K52" s="72">
        <v>44286</v>
      </c>
      <c r="L52" s="73" t="s">
        <v>238</v>
      </c>
    </row>
    <row r="53" spans="1:16" ht="16.8">
      <c r="A53" s="74"/>
      <c r="B53" s="75" t="s">
        <v>239</v>
      </c>
      <c r="D53" s="76" t="s">
        <v>240</v>
      </c>
      <c r="E53" s="77" t="s">
        <v>240</v>
      </c>
      <c r="F53" s="77" t="s">
        <v>240</v>
      </c>
      <c r="G53" s="77" t="s">
        <v>240</v>
      </c>
      <c r="H53" s="77" t="s">
        <v>240</v>
      </c>
      <c r="I53" s="77" t="s">
        <v>240</v>
      </c>
      <c r="J53" s="77" t="s">
        <v>240</v>
      </c>
      <c r="K53" s="78" t="s">
        <v>240</v>
      </c>
      <c r="L53" s="79" t="s">
        <v>240</v>
      </c>
    </row>
    <row r="54" spans="1:16" ht="16.8">
      <c r="A54" s="80"/>
      <c r="B54" s="81" t="s">
        <v>207</v>
      </c>
      <c r="D54" s="82"/>
      <c r="E54" s="83"/>
      <c r="F54" s="83"/>
      <c r="G54" s="83"/>
      <c r="H54" s="83"/>
      <c r="I54" s="83"/>
      <c r="J54" s="83"/>
      <c r="K54" s="84"/>
      <c r="L54" s="85"/>
    </row>
    <row r="55" spans="1:16" ht="16.8">
      <c r="A55" s="86">
        <v>1</v>
      </c>
      <c r="B55" s="75" t="s">
        <v>241</v>
      </c>
      <c r="D55" s="87">
        <v>121.5398615542413</v>
      </c>
      <c r="E55" s="88">
        <v>122.05757383163726</v>
      </c>
      <c r="F55" s="88">
        <v>125.46855020289223</v>
      </c>
      <c r="G55" s="88">
        <v>169.87747106169431</v>
      </c>
      <c r="H55" s="88">
        <v>198.01458368124784</v>
      </c>
      <c r="I55" s="88">
        <v>135.67128737169054</v>
      </c>
      <c r="J55" s="88">
        <v>117.74580677287534</v>
      </c>
      <c r="K55" s="89">
        <v>108.60934157598881</v>
      </c>
      <c r="L55" s="90">
        <v>1098.9844760522676</v>
      </c>
    </row>
    <row r="56" spans="1:16" ht="16.8">
      <c r="A56" s="86">
        <v>2</v>
      </c>
      <c r="B56" s="75" t="s">
        <v>242</v>
      </c>
      <c r="D56" s="87">
        <v>59.282628482894424</v>
      </c>
      <c r="E56" s="88">
        <v>67.472820316867796</v>
      </c>
      <c r="F56" s="88">
        <v>69.358391105946623</v>
      </c>
      <c r="G56" s="88">
        <v>93.907421891247139</v>
      </c>
      <c r="H56" s="88">
        <v>109.4614779355966</v>
      </c>
      <c r="I56" s="88">
        <v>74.998413516027682</v>
      </c>
      <c r="J56" s="88">
        <v>65.089296911713689</v>
      </c>
      <c r="K56" s="89">
        <v>60.03870434945965</v>
      </c>
      <c r="L56" s="90">
        <v>599.60915450975347</v>
      </c>
    </row>
    <row r="57" spans="1:16" ht="16.8">
      <c r="A57" s="86">
        <v>3</v>
      </c>
      <c r="B57" s="75" t="s">
        <v>243</v>
      </c>
      <c r="D57" s="87">
        <v>180.82249003713574</v>
      </c>
      <c r="E57" s="88">
        <v>189.53039414850505</v>
      </c>
      <c r="F57" s="88">
        <v>194.82694130883885</v>
      </c>
      <c r="G57" s="88">
        <v>263.78489295294145</v>
      </c>
      <c r="H57" s="88">
        <v>307.47606161684445</v>
      </c>
      <c r="I57" s="88">
        <v>210.66970088771822</v>
      </c>
      <c r="J57" s="88">
        <v>182.83510368458903</v>
      </c>
      <c r="K57" s="89">
        <v>168.64804592544846</v>
      </c>
      <c r="L57" s="90">
        <v>1698.5936305620212</v>
      </c>
      <c r="P57" s="118"/>
    </row>
    <row r="58" spans="1:16" ht="16.8">
      <c r="A58" s="80"/>
      <c r="B58" s="81" t="s">
        <v>244</v>
      </c>
      <c r="D58" s="82">
        <v>0</v>
      </c>
      <c r="E58" s="83">
        <v>0</v>
      </c>
      <c r="F58" s="83">
        <v>0</v>
      </c>
      <c r="G58" s="83">
        <v>0</v>
      </c>
      <c r="H58" s="83">
        <v>0</v>
      </c>
      <c r="I58" s="83">
        <v>0</v>
      </c>
      <c r="J58" s="83">
        <v>0</v>
      </c>
      <c r="K58" s="84">
        <v>0</v>
      </c>
      <c r="L58" s="85">
        <v>0</v>
      </c>
    </row>
    <row r="59" spans="1:16" ht="16.8">
      <c r="A59" s="86">
        <v>4</v>
      </c>
      <c r="B59" s="75" t="s">
        <v>245</v>
      </c>
      <c r="D59" s="87">
        <v>4014.3985484751774</v>
      </c>
      <c r="E59" s="88">
        <v>4323.5527183744853</v>
      </c>
      <c r="F59" s="88">
        <v>4305.4053692527796</v>
      </c>
      <c r="G59" s="88">
        <v>4289.9346665698476</v>
      </c>
      <c r="H59" s="88">
        <v>4330.1179571247139</v>
      </c>
      <c r="I59" s="88">
        <v>4845.6602774563089</v>
      </c>
      <c r="J59" s="88">
        <v>4888.1184419533784</v>
      </c>
      <c r="K59" s="89">
        <v>4862.2769899886853</v>
      </c>
      <c r="L59" s="90">
        <v>0</v>
      </c>
    </row>
    <row r="60" spans="1:16" ht="16.8">
      <c r="A60" s="86">
        <v>5</v>
      </c>
      <c r="B60" s="75" t="s">
        <v>246</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247</v>
      </c>
      <c r="D61" s="87">
        <v>4253.3070362551225</v>
      </c>
      <c r="E61" s="88">
        <v>4325.1416833349385</v>
      </c>
      <c r="F61" s="88">
        <v>4307.342534896331</v>
      </c>
      <c r="G61" s="88">
        <v>4304.5893674088784</v>
      </c>
      <c r="H61" s="88">
        <v>4805.940097576573</v>
      </c>
      <c r="I61" s="88">
        <v>4915.0100811748816</v>
      </c>
      <c r="J61" s="88">
        <v>4908.897884660214</v>
      </c>
      <c r="K61" s="89">
        <v>4863.0876126417434</v>
      </c>
      <c r="L61" s="90">
        <v>0</v>
      </c>
    </row>
    <row r="62" spans="1:16" ht="16.8">
      <c r="A62" s="86">
        <v>7</v>
      </c>
      <c r="B62" s="75" t="s">
        <v>248</v>
      </c>
      <c r="D62" s="87">
        <v>209.02425393958737</v>
      </c>
      <c r="E62" s="88">
        <v>122.04981585153259</v>
      </c>
      <c r="F62" s="88">
        <v>125.46079222278756</v>
      </c>
      <c r="G62" s="88">
        <v>169.86971308158965</v>
      </c>
      <c r="H62" s="88">
        <v>198.00682570114319</v>
      </c>
      <c r="I62" s="88">
        <v>135.66352939158588</v>
      </c>
      <c r="J62" s="88">
        <v>117.73804879277067</v>
      </c>
      <c r="K62" s="89">
        <v>108.60158359588414</v>
      </c>
      <c r="L62" s="90">
        <v>1186.4145625768813</v>
      </c>
    </row>
    <row r="63" spans="1:16" ht="16.8">
      <c r="A63" s="86">
        <v>8</v>
      </c>
      <c r="B63" s="75" t="s">
        <v>249</v>
      </c>
      <c r="D63" s="87">
        <v>-138.77857182022461</v>
      </c>
      <c r="E63" s="88">
        <v>-141.78612993369205</v>
      </c>
      <c r="F63" s="88">
        <v>-142.86866054927162</v>
      </c>
      <c r="G63" s="88">
        <v>-144.34112336575427</v>
      </c>
      <c r="H63" s="88">
        <v>-158.28664582140709</v>
      </c>
      <c r="I63" s="88">
        <v>-162.55516861308956</v>
      </c>
      <c r="J63" s="88">
        <v>-164.35894346429882</v>
      </c>
      <c r="K63" s="89">
        <v>-165.32062274545049</v>
      </c>
      <c r="L63" s="90">
        <v>-1218.2958663131885</v>
      </c>
    </row>
    <row r="64" spans="1:16" ht="16.8">
      <c r="A64" s="86">
        <v>9</v>
      </c>
      <c r="B64" s="75" t="s">
        <v>250</v>
      </c>
      <c r="D64" s="87">
        <v>4323.5527183744853</v>
      </c>
      <c r="E64" s="88">
        <v>4305.4053692527796</v>
      </c>
      <c r="F64" s="88">
        <v>4289.9346665698476</v>
      </c>
      <c r="G64" s="88">
        <v>4330.1179571247139</v>
      </c>
      <c r="H64" s="88">
        <v>4845.6602774563089</v>
      </c>
      <c r="I64" s="88">
        <v>4888.1184419533784</v>
      </c>
      <c r="J64" s="88">
        <v>4862.2769899886853</v>
      </c>
      <c r="K64" s="89">
        <v>4806.3685734921773</v>
      </c>
      <c r="L64" s="90">
        <v>0</v>
      </c>
    </row>
    <row r="65" spans="1:12" ht="16.8">
      <c r="A65" s="80"/>
      <c r="B65" s="81" t="s">
        <v>251</v>
      </c>
      <c r="D65" s="91">
        <v>0</v>
      </c>
      <c r="E65" s="92">
        <v>0</v>
      </c>
      <c r="F65" s="92">
        <v>0</v>
      </c>
      <c r="G65" s="92">
        <v>0</v>
      </c>
      <c r="H65" s="92">
        <v>0</v>
      </c>
      <c r="I65" s="92">
        <v>0</v>
      </c>
      <c r="J65" s="92">
        <v>0</v>
      </c>
      <c r="K65" s="93">
        <v>0</v>
      </c>
      <c r="L65" s="94">
        <v>0</v>
      </c>
    </row>
    <row r="66" spans="1:12" ht="16.8">
      <c r="A66" s="86">
        <v>10</v>
      </c>
      <c r="B66" s="75" t="s">
        <v>252</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253</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254</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255</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256</v>
      </c>
      <c r="D70" s="87">
        <v>0</v>
      </c>
      <c r="E70" s="88">
        <v>0</v>
      </c>
      <c r="F70" s="88">
        <v>0</v>
      </c>
      <c r="G70" s="88">
        <v>0</v>
      </c>
      <c r="H70" s="88">
        <v>0</v>
      </c>
      <c r="I70" s="88">
        <v>0</v>
      </c>
      <c r="J70" s="88">
        <v>0</v>
      </c>
      <c r="K70" s="89">
        <v>0</v>
      </c>
      <c r="L70" s="90">
        <v>0</v>
      </c>
    </row>
    <row r="71" spans="1:12" ht="16.8">
      <c r="A71" s="86">
        <v>15</v>
      </c>
      <c r="B71" s="75" t="s">
        <v>257</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258</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259</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8">
      <c r="A74" s="80"/>
      <c r="B74" s="81" t="s">
        <v>260</v>
      </c>
      <c r="D74" s="91">
        <v>0</v>
      </c>
      <c r="E74" s="92">
        <v>0</v>
      </c>
      <c r="F74" s="92">
        <v>0</v>
      </c>
      <c r="G74" s="92">
        <v>0</v>
      </c>
      <c r="H74" s="92">
        <v>0</v>
      </c>
      <c r="I74" s="92">
        <v>0</v>
      </c>
      <c r="J74" s="92">
        <v>0</v>
      </c>
      <c r="K74" s="93">
        <v>0</v>
      </c>
      <c r="L74" s="94">
        <v>0</v>
      </c>
    </row>
    <row r="75" spans="1:12" ht="16.8">
      <c r="A75" s="86">
        <v>18</v>
      </c>
      <c r="B75" s="75" t="s">
        <v>252</v>
      </c>
      <c r="D75" s="87">
        <v>59.282628482894424</v>
      </c>
      <c r="E75" s="88">
        <v>67.472820316867796</v>
      </c>
      <c r="F75" s="88">
        <v>69.358391105946623</v>
      </c>
      <c r="G75" s="88">
        <v>93.907421891247139</v>
      </c>
      <c r="H75" s="88">
        <v>109.4614779355966</v>
      </c>
      <c r="I75" s="88">
        <v>74.998413516027682</v>
      </c>
      <c r="J75" s="88">
        <v>65.089296911713689</v>
      </c>
      <c r="K75" s="89">
        <v>60.03870434945965</v>
      </c>
      <c r="L75" s="90">
        <v>599.60915450975347</v>
      </c>
    </row>
    <row r="76" spans="1:12" ht="16.8">
      <c r="A76" s="86">
        <v>19</v>
      </c>
      <c r="B76" s="75" t="s">
        <v>253</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254</v>
      </c>
      <c r="D77" s="87">
        <v>138.77857182022461</v>
      </c>
      <c r="E77" s="88">
        <v>141.78612993369205</v>
      </c>
      <c r="F77" s="88">
        <v>142.86866054927162</v>
      </c>
      <c r="G77" s="88">
        <v>144.34112336575427</v>
      </c>
      <c r="H77" s="88">
        <v>158.28664582140709</v>
      </c>
      <c r="I77" s="88">
        <v>162.55516861308956</v>
      </c>
      <c r="J77" s="88">
        <v>164.35894346429882</v>
      </c>
      <c r="K77" s="89">
        <v>165.32062274545049</v>
      </c>
      <c r="L77" s="90">
        <v>1218.2958663131885</v>
      </c>
    </row>
    <row r="78" spans="1:12" ht="16.8">
      <c r="A78" s="86">
        <v>21</v>
      </c>
      <c r="B78" s="75" t="s">
        <v>255</v>
      </c>
      <c r="D78" s="87">
        <v>183.65447174329455</v>
      </c>
      <c r="E78" s="88">
        <v>179.66932225443728</v>
      </c>
      <c r="F78" s="88">
        <v>174.58832968979752</v>
      </c>
      <c r="G78" s="88">
        <v>175.33070902278794</v>
      </c>
      <c r="H78" s="88">
        <v>195.97446262134005</v>
      </c>
      <c r="I78" s="88">
        <v>199.07893506518286</v>
      </c>
      <c r="J78" s="88">
        <v>198.43819841215893</v>
      </c>
      <c r="K78" s="89">
        <v>196.37680373677824</v>
      </c>
      <c r="L78" s="90">
        <v>1503.1112325457775</v>
      </c>
    </row>
    <row r="79" spans="1:12" ht="16.8">
      <c r="A79" s="86">
        <v>22</v>
      </c>
      <c r="B79" s="75" t="s">
        <v>256</v>
      </c>
      <c r="D79" s="87">
        <v>0</v>
      </c>
      <c r="E79" s="88">
        <v>0</v>
      </c>
      <c r="F79" s="88">
        <v>0</v>
      </c>
      <c r="G79" s="88">
        <v>0</v>
      </c>
      <c r="H79" s="88">
        <v>0</v>
      </c>
      <c r="I79" s="88">
        <v>0</v>
      </c>
      <c r="J79" s="88">
        <v>0</v>
      </c>
      <c r="K79" s="89">
        <v>0</v>
      </c>
      <c r="L79" s="90">
        <v>0</v>
      </c>
    </row>
    <row r="80" spans="1:12" ht="16.8">
      <c r="A80" s="86">
        <v>23</v>
      </c>
      <c r="B80" s="75" t="s">
        <v>257</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258</v>
      </c>
      <c r="D81" s="87">
        <v>31.301307462500944</v>
      </c>
      <c r="E81" s="88">
        <v>32.399694232827599</v>
      </c>
      <c r="F81" s="88">
        <v>56.082140982905742</v>
      </c>
      <c r="G81" s="88">
        <v>57.03898941765393</v>
      </c>
      <c r="H81" s="88">
        <v>76.639631009417002</v>
      </c>
      <c r="I81" s="88">
        <v>77.785880437138744</v>
      </c>
      <c r="J81" s="88">
        <v>79.079627575521727</v>
      </c>
      <c r="K81" s="89">
        <v>80.222840610951437</v>
      </c>
      <c r="L81" s="90">
        <v>490.5501117289171</v>
      </c>
    </row>
    <row r="82" spans="1:12" ht="16.8">
      <c r="A82" s="86">
        <v>25</v>
      </c>
      <c r="B82" s="75" t="s">
        <v>259</v>
      </c>
      <c r="D82" s="87">
        <v>11.214946661443744</v>
      </c>
      <c r="E82" s="88">
        <v>15.124557079445065</v>
      </c>
      <c r="F82" s="88">
        <v>16.96862032365302</v>
      </c>
      <c r="G82" s="88">
        <v>22.157454445484717</v>
      </c>
      <c r="H82" s="88">
        <v>29.645232955012141</v>
      </c>
      <c r="I82" s="88">
        <v>22.990961752186053</v>
      </c>
      <c r="J82" s="88">
        <v>24.991070578450046</v>
      </c>
      <c r="K82" s="89">
        <v>28.452106611678143</v>
      </c>
      <c r="L82" s="90">
        <v>171.54495040735293</v>
      </c>
    </row>
    <row r="83" spans="1:12" ht="16.8">
      <c r="A83" s="80"/>
      <c r="B83" s="81" t="s">
        <v>261</v>
      </c>
      <c r="D83" s="91">
        <v>0</v>
      </c>
      <c r="E83" s="92">
        <v>0</v>
      </c>
      <c r="F83" s="92">
        <v>0</v>
      </c>
      <c r="G83" s="92">
        <v>0</v>
      </c>
      <c r="H83" s="92">
        <v>0</v>
      </c>
      <c r="I83" s="92">
        <v>0</v>
      </c>
      <c r="J83" s="92">
        <v>0</v>
      </c>
      <c r="K83" s="93">
        <v>0</v>
      </c>
      <c r="L83" s="95">
        <v>0</v>
      </c>
    </row>
    <row r="84" spans="1:12" ht="16.8">
      <c r="A84" s="86">
        <v>26</v>
      </c>
      <c r="B84" s="75" t="s">
        <v>262</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8">
      <c r="A85" s="86">
        <v>27</v>
      </c>
      <c r="B85" s="75" t="s">
        <v>263</v>
      </c>
      <c r="D85" s="87">
        <v>0</v>
      </c>
      <c r="E85" s="88">
        <v>7.660590030135495</v>
      </c>
      <c r="F85" s="88">
        <v>9.903155913025671</v>
      </c>
      <c r="G85" s="88">
        <v>0</v>
      </c>
      <c r="H85" s="88">
        <v>0</v>
      </c>
      <c r="I85" s="88">
        <v>0</v>
      </c>
      <c r="J85" s="88">
        <v>0</v>
      </c>
      <c r="K85" s="89">
        <v>0</v>
      </c>
      <c r="L85" s="90">
        <v>17.563745943161166</v>
      </c>
    </row>
    <row r="86" spans="1:12" ht="16.8">
      <c r="A86" s="86">
        <v>28</v>
      </c>
      <c r="B86" s="75" t="s">
        <v>264</v>
      </c>
      <c r="D86" s="96">
        <v>538.68614139232659</v>
      </c>
      <c r="E86" s="88">
        <v>550.58732273144278</v>
      </c>
      <c r="F86" s="88">
        <v>557.86823912563909</v>
      </c>
      <c r="G86" s="88">
        <v>580.56992922118559</v>
      </c>
      <c r="H86" s="88">
        <v>658.61919483345935</v>
      </c>
      <c r="I86" s="88">
        <v>626.8699596364122</v>
      </c>
      <c r="J86" s="88">
        <v>621.72446923422729</v>
      </c>
      <c r="K86" s="89">
        <v>620.33812984496751</v>
      </c>
      <c r="L86" s="90">
        <v>4755.2633860196602</v>
      </c>
    </row>
    <row r="87" spans="1:12" ht="16.8">
      <c r="A87" s="86">
        <v>29</v>
      </c>
      <c r="B87" s="75" t="s">
        <v>168</v>
      </c>
      <c r="D87" s="96">
        <v>0</v>
      </c>
      <c r="E87" s="88">
        <v>0</v>
      </c>
      <c r="F87" s="88">
        <v>0</v>
      </c>
      <c r="G87" s="88">
        <v>0</v>
      </c>
      <c r="H87" s="88">
        <v>0</v>
      </c>
      <c r="I87" s="88">
        <v>0</v>
      </c>
      <c r="J87" s="88">
        <v>0</v>
      </c>
      <c r="K87" s="89">
        <v>0</v>
      </c>
      <c r="L87" s="90">
        <v>0</v>
      </c>
    </row>
    <row r="88" spans="1:12" ht="16.8">
      <c r="A88" s="86">
        <v>30</v>
      </c>
      <c r="B88" s="75" t="s">
        <v>265</v>
      </c>
      <c r="D88" s="96">
        <v>0</v>
      </c>
      <c r="E88" s="88">
        <v>0</v>
      </c>
      <c r="F88" s="88">
        <v>0</v>
      </c>
      <c r="G88" s="88">
        <v>0</v>
      </c>
      <c r="H88" s="88">
        <v>0</v>
      </c>
      <c r="I88" s="88">
        <v>0</v>
      </c>
      <c r="J88" s="88">
        <v>0</v>
      </c>
      <c r="K88" s="89">
        <v>0</v>
      </c>
      <c r="L88" s="90">
        <v>0</v>
      </c>
    </row>
    <row r="89" spans="1:12" ht="16.8">
      <c r="A89" s="86">
        <v>31</v>
      </c>
      <c r="B89" s="75" t="s">
        <v>266</v>
      </c>
      <c r="D89" s="96">
        <v>3.5</v>
      </c>
      <c r="E89" s="88">
        <v>2.9</v>
      </c>
      <c r="F89" s="88">
        <v>3</v>
      </c>
      <c r="G89" s="88">
        <v>3.1</v>
      </c>
      <c r="H89" s="88">
        <v>3</v>
      </c>
      <c r="I89" s="88">
        <v>3</v>
      </c>
      <c r="J89" s="88">
        <v>3</v>
      </c>
      <c r="K89" s="89">
        <v>3</v>
      </c>
      <c r="L89" s="90">
        <v>24.5</v>
      </c>
    </row>
    <row r="90" spans="1:12" ht="16.8">
      <c r="A90" s="86">
        <v>32</v>
      </c>
      <c r="B90" s="75" t="s">
        <v>267</v>
      </c>
      <c r="D90" s="96">
        <v>542.18614139232659</v>
      </c>
      <c r="E90" s="88">
        <v>553.48732273144276</v>
      </c>
      <c r="F90" s="88">
        <v>560.86823912563909</v>
      </c>
      <c r="G90" s="88">
        <v>583.66992922118561</v>
      </c>
      <c r="H90" s="88">
        <v>661.61919483345935</v>
      </c>
      <c r="I90" s="88">
        <v>629.8699596364122</v>
      </c>
      <c r="J90" s="88">
        <v>624.72446923422729</v>
      </c>
      <c r="K90" s="89">
        <v>623.33812984496751</v>
      </c>
      <c r="L90" s="90">
        <v>4779.7633860196602</v>
      </c>
    </row>
    <row r="91" spans="1:12" ht="16.8">
      <c r="A91" s="80"/>
      <c r="B91" s="81" t="s">
        <v>268</v>
      </c>
      <c r="D91" s="91">
        <v>0</v>
      </c>
      <c r="E91" s="92">
        <v>0</v>
      </c>
      <c r="F91" s="92">
        <v>0</v>
      </c>
      <c r="G91" s="92">
        <v>0</v>
      </c>
      <c r="H91" s="92">
        <v>0</v>
      </c>
      <c r="I91" s="97">
        <v>0</v>
      </c>
      <c r="J91" s="92">
        <v>0</v>
      </c>
      <c r="K91" s="93">
        <v>0</v>
      </c>
      <c r="L91" s="95">
        <v>0</v>
      </c>
    </row>
    <row r="92" spans="1:12" ht="16.8">
      <c r="A92" s="86">
        <v>33</v>
      </c>
      <c r="B92" s="75" t="s">
        <v>268</v>
      </c>
      <c r="D92" s="87">
        <v>533.21780050947348</v>
      </c>
      <c r="E92" s="88">
        <v>545.59934143510225</v>
      </c>
      <c r="F92" s="88">
        <v>569.01836260740231</v>
      </c>
      <c r="G92" s="88">
        <v>601.54260576120225</v>
      </c>
      <c r="H92" s="88">
        <v>678.42432194190053</v>
      </c>
      <c r="I92" s="88">
        <v>646.41394359043636</v>
      </c>
      <c r="J92" s="88">
        <v>641.15737199261594</v>
      </c>
      <c r="K92" s="89">
        <v>639.70344022835093</v>
      </c>
      <c r="L92" s="90">
        <v>4855.0771880664834</v>
      </c>
    </row>
    <row r="93" spans="1:12" ht="16.8">
      <c r="A93" s="86">
        <v>34</v>
      </c>
      <c r="B93" s="75" t="s">
        <v>269</v>
      </c>
      <c r="D93" s="87">
        <v>542.83406992244852</v>
      </c>
      <c r="E93" s="88">
        <v>546.25792232812796</v>
      </c>
      <c r="F93" s="88">
        <v>551.32081925355271</v>
      </c>
      <c r="G93" s="88">
        <v>583.93183212884287</v>
      </c>
      <c r="H93" s="88">
        <v>661.40742227557109</v>
      </c>
      <c r="I93" s="88">
        <v>629.60070703274187</v>
      </c>
      <c r="J93" s="88">
        <v>624.49362045500914</v>
      </c>
      <c r="K93" s="89">
        <v>623.18302697186687</v>
      </c>
      <c r="L93" s="90">
        <v>4763.0294203681606</v>
      </c>
    </row>
    <row r="94" spans="1:12" ht="16.8">
      <c r="A94" s="80"/>
      <c r="B94" s="81" t="s">
        <v>270</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8">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8">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8">
      <c r="A98" s="86">
        <v>38</v>
      </c>
      <c r="B98" s="98">
        <v>42825</v>
      </c>
      <c r="D98" s="96">
        <v>0</v>
      </c>
      <c r="E98" s="88">
        <v>0</v>
      </c>
      <c r="F98" s="88">
        <v>0</v>
      </c>
      <c r="G98" s="88">
        <v>0</v>
      </c>
      <c r="H98" s="88">
        <v>0</v>
      </c>
      <c r="I98" s="88">
        <v>0</v>
      </c>
      <c r="J98" s="88">
        <v>0</v>
      </c>
      <c r="K98" s="89">
        <v>0</v>
      </c>
      <c r="L98" s="90">
        <v>0</v>
      </c>
    </row>
    <row r="99" spans="1:12" ht="16.8">
      <c r="A99" s="86">
        <v>39</v>
      </c>
      <c r="B99" s="98">
        <v>43190</v>
      </c>
      <c r="D99" s="96">
        <v>0</v>
      </c>
      <c r="E99" s="88">
        <v>0</v>
      </c>
      <c r="F99" s="88">
        <v>0</v>
      </c>
      <c r="G99" s="88">
        <v>0</v>
      </c>
      <c r="H99" s="88">
        <v>0</v>
      </c>
      <c r="I99" s="88">
        <v>0</v>
      </c>
      <c r="J99" s="88">
        <v>0</v>
      </c>
      <c r="K99" s="89">
        <v>0</v>
      </c>
      <c r="L99" s="90">
        <v>0</v>
      </c>
    </row>
    <row r="100" spans="1:12" ht="16.8">
      <c r="A100" s="86">
        <v>40</v>
      </c>
      <c r="B100" s="98">
        <v>43555</v>
      </c>
      <c r="D100" s="96">
        <v>0</v>
      </c>
      <c r="E100" s="88">
        <v>0</v>
      </c>
      <c r="F100" s="88">
        <v>0</v>
      </c>
      <c r="G100" s="88">
        <v>0</v>
      </c>
      <c r="H100" s="88">
        <v>0</v>
      </c>
      <c r="I100" s="88">
        <v>0</v>
      </c>
      <c r="J100" s="88">
        <v>0</v>
      </c>
      <c r="K100" s="89">
        <v>0</v>
      </c>
      <c r="L100" s="90">
        <v>0</v>
      </c>
    </row>
    <row r="101" spans="1:12" ht="16.8">
      <c r="A101" s="86">
        <v>41</v>
      </c>
      <c r="B101" s="98">
        <v>43921</v>
      </c>
      <c r="D101" s="96">
        <v>0</v>
      </c>
      <c r="E101" s="88">
        <v>0</v>
      </c>
      <c r="F101" s="88">
        <v>0</v>
      </c>
      <c r="G101" s="88">
        <v>0</v>
      </c>
      <c r="H101" s="88">
        <v>0</v>
      </c>
      <c r="I101" s="88">
        <v>0</v>
      </c>
      <c r="J101" s="88">
        <v>0</v>
      </c>
      <c r="K101" s="89">
        <v>0</v>
      </c>
      <c r="L101" s="90">
        <v>0</v>
      </c>
    </row>
    <row r="102" spans="1:12" ht="16.8">
      <c r="A102" s="86">
        <v>42</v>
      </c>
      <c r="B102" s="98">
        <v>44286</v>
      </c>
      <c r="D102" s="96">
        <v>0</v>
      </c>
      <c r="E102" s="88">
        <v>0</v>
      </c>
      <c r="F102" s="88">
        <v>0</v>
      </c>
      <c r="G102" s="88">
        <v>0</v>
      </c>
      <c r="H102" s="88">
        <v>0</v>
      </c>
      <c r="I102" s="88">
        <v>0</v>
      </c>
      <c r="J102" s="88">
        <v>0</v>
      </c>
      <c r="K102" s="89">
        <v>0</v>
      </c>
      <c r="L102" s="90">
        <v>0</v>
      </c>
    </row>
    <row r="103" spans="1:12" ht="16.8">
      <c r="A103" s="80"/>
      <c r="B103" s="81" t="s">
        <v>271</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7.660590030135495</v>
      </c>
      <c r="F105" s="88">
        <v>0</v>
      </c>
      <c r="G105" s="88">
        <v>0</v>
      </c>
      <c r="H105" s="88">
        <v>0</v>
      </c>
      <c r="I105" s="88">
        <v>0</v>
      </c>
      <c r="J105" s="88">
        <v>0</v>
      </c>
      <c r="K105" s="89">
        <v>0</v>
      </c>
      <c r="L105" s="90">
        <v>7.660590030135495</v>
      </c>
    </row>
    <row r="106" spans="1:12" ht="16.8">
      <c r="A106" s="86">
        <v>45</v>
      </c>
      <c r="B106" s="98">
        <v>42460</v>
      </c>
      <c r="D106" s="96">
        <v>0</v>
      </c>
      <c r="E106" s="88">
        <v>7.660590030135495</v>
      </c>
      <c r="F106" s="88">
        <v>9.903155913025671</v>
      </c>
      <c r="G106" s="88">
        <v>0</v>
      </c>
      <c r="H106" s="88">
        <v>0</v>
      </c>
      <c r="I106" s="88">
        <v>0</v>
      </c>
      <c r="J106" s="88">
        <v>0</v>
      </c>
      <c r="K106" s="89">
        <v>0</v>
      </c>
      <c r="L106" s="90">
        <v>17.563745943161166</v>
      </c>
    </row>
    <row r="107" spans="1:12" ht="16.8">
      <c r="A107" s="86">
        <v>46</v>
      </c>
      <c r="B107" s="98">
        <v>42825</v>
      </c>
      <c r="D107" s="96">
        <v>0</v>
      </c>
      <c r="E107" s="88">
        <v>0</v>
      </c>
      <c r="F107" s="88">
        <v>0</v>
      </c>
      <c r="G107" s="88">
        <v>0</v>
      </c>
      <c r="H107" s="88">
        <v>0</v>
      </c>
      <c r="I107" s="88">
        <v>0</v>
      </c>
      <c r="J107" s="88">
        <v>0</v>
      </c>
      <c r="K107" s="89">
        <v>0</v>
      </c>
      <c r="L107" s="90">
        <v>0</v>
      </c>
    </row>
    <row r="108" spans="1:12" ht="16.8">
      <c r="A108" s="86">
        <v>47</v>
      </c>
      <c r="B108" s="98">
        <v>43190</v>
      </c>
      <c r="D108" s="96">
        <v>0</v>
      </c>
      <c r="E108" s="88">
        <v>0</v>
      </c>
      <c r="F108" s="88">
        <v>0</v>
      </c>
      <c r="G108" s="88">
        <v>0</v>
      </c>
      <c r="H108" s="88">
        <v>0</v>
      </c>
      <c r="I108" s="88">
        <v>0</v>
      </c>
      <c r="J108" s="88">
        <v>0</v>
      </c>
      <c r="K108" s="89">
        <v>0</v>
      </c>
      <c r="L108" s="90">
        <v>0</v>
      </c>
    </row>
    <row r="109" spans="1:12" ht="16.8">
      <c r="A109" s="86">
        <v>48</v>
      </c>
      <c r="B109" s="98">
        <v>43555</v>
      </c>
      <c r="D109" s="96">
        <v>0</v>
      </c>
      <c r="E109" s="88">
        <v>0</v>
      </c>
      <c r="F109" s="88">
        <v>0</v>
      </c>
      <c r="G109" s="88">
        <v>0</v>
      </c>
      <c r="H109" s="88">
        <v>0</v>
      </c>
      <c r="I109" s="88">
        <v>0</v>
      </c>
      <c r="J109" s="88">
        <v>0</v>
      </c>
      <c r="K109" s="89">
        <v>0</v>
      </c>
      <c r="L109" s="90">
        <v>0</v>
      </c>
    </row>
    <row r="110" spans="1:12" ht="16.8">
      <c r="A110" s="86">
        <v>49</v>
      </c>
      <c r="B110" s="98">
        <v>43921</v>
      </c>
      <c r="D110" s="96">
        <v>0</v>
      </c>
      <c r="E110" s="88">
        <v>0</v>
      </c>
      <c r="F110" s="88">
        <v>0</v>
      </c>
      <c r="G110" s="88">
        <v>0</v>
      </c>
      <c r="H110" s="88">
        <v>0</v>
      </c>
      <c r="I110" s="88">
        <v>0</v>
      </c>
      <c r="J110" s="88">
        <v>0</v>
      </c>
      <c r="K110" s="89">
        <v>0</v>
      </c>
      <c r="L110" s="90">
        <v>0</v>
      </c>
    </row>
    <row r="111" spans="1:12" ht="16.8">
      <c r="A111" s="86">
        <v>50</v>
      </c>
      <c r="B111" s="98">
        <v>44286</v>
      </c>
      <c r="D111" s="96">
        <v>0</v>
      </c>
      <c r="E111" s="88">
        <v>0</v>
      </c>
      <c r="F111" s="88">
        <v>0</v>
      </c>
      <c r="G111" s="88">
        <v>0</v>
      </c>
      <c r="H111" s="88">
        <v>0</v>
      </c>
      <c r="I111" s="88">
        <v>0</v>
      </c>
      <c r="J111" s="88">
        <v>0</v>
      </c>
      <c r="K111" s="89">
        <v>0</v>
      </c>
      <c r="L111" s="90">
        <v>0</v>
      </c>
    </row>
    <row r="112" spans="1:12" ht="16.8">
      <c r="A112" s="80"/>
      <c r="B112" s="81" t="s">
        <v>272</v>
      </c>
      <c r="D112" s="91">
        <v>0</v>
      </c>
      <c r="E112" s="92">
        <v>0</v>
      </c>
      <c r="F112" s="92">
        <v>0</v>
      </c>
      <c r="G112" s="92">
        <v>0</v>
      </c>
      <c r="H112" s="92">
        <v>0</v>
      </c>
      <c r="I112" s="97">
        <v>0</v>
      </c>
      <c r="J112" s="92">
        <v>0</v>
      </c>
      <c r="K112" s="93">
        <v>0</v>
      </c>
      <c r="L112" s="95">
        <v>0</v>
      </c>
    </row>
    <row r="113" spans="1:12" ht="16.8">
      <c r="A113" s="86">
        <v>51</v>
      </c>
      <c r="B113" s="75" t="s">
        <v>273</v>
      </c>
      <c r="D113" s="87">
        <v>4197.8164969895897</v>
      </c>
      <c r="E113" s="88">
        <v>4227.5134648102894</v>
      </c>
      <c r="F113" s="88">
        <v>4213.293024188175</v>
      </c>
      <c r="G113" s="88">
        <v>4231.2086642000104</v>
      </c>
      <c r="H113" s="88">
        <v>4729.3987962917654</v>
      </c>
      <c r="I113" s="88">
        <v>4804.3181916182893</v>
      </c>
      <c r="J113" s="88">
        <v>4788.8554669600944</v>
      </c>
      <c r="K113" s="89">
        <v>4739.1083858046031</v>
      </c>
      <c r="L113" s="90">
        <v>35931.512490862813</v>
      </c>
    </row>
    <row r="114" spans="1:12" ht="16.8">
      <c r="A114" s="86">
        <v>52</v>
      </c>
      <c r="B114" s="75" t="s">
        <v>26</v>
      </c>
      <c r="D114" s="99">
        <v>0.625</v>
      </c>
      <c r="E114" s="100">
        <v>0.625</v>
      </c>
      <c r="F114" s="100">
        <v>0.625</v>
      </c>
      <c r="G114" s="100">
        <v>0.625</v>
      </c>
      <c r="H114" s="100">
        <v>0.625</v>
      </c>
      <c r="I114" s="100">
        <v>0.625</v>
      </c>
      <c r="J114" s="100">
        <v>0.625</v>
      </c>
      <c r="K114" s="101">
        <v>0.625</v>
      </c>
      <c r="L114" s="102">
        <v>0.625</v>
      </c>
    </row>
    <row r="115" spans="1:12" ht="16.8">
      <c r="A115" s="86">
        <v>53</v>
      </c>
      <c r="B115" s="75" t="s">
        <v>274</v>
      </c>
      <c r="D115" s="87">
        <v>1574.1811863710961</v>
      </c>
      <c r="E115" s="88">
        <v>1585.3175493038584</v>
      </c>
      <c r="F115" s="88">
        <v>1579.9848840705656</v>
      </c>
      <c r="G115" s="88">
        <v>1586.7032490750039</v>
      </c>
      <c r="H115" s="88">
        <v>1773.524548609412</v>
      </c>
      <c r="I115" s="88">
        <v>1801.6193218568585</v>
      </c>
      <c r="J115" s="88">
        <v>1795.8208001100354</v>
      </c>
      <c r="K115" s="89">
        <v>1777.1656446767261</v>
      </c>
      <c r="L115" s="90">
        <v>13474.317184073556</v>
      </c>
    </row>
    <row r="116" spans="1:12" ht="16.8">
      <c r="A116" s="86">
        <v>54</v>
      </c>
      <c r="B116" s="75" t="s">
        <v>275</v>
      </c>
      <c r="D116" s="87">
        <v>76.610151070060013</v>
      </c>
      <c r="E116" s="88">
        <v>71.867728901774925</v>
      </c>
      <c r="F116" s="88">
        <v>67.149357572999037</v>
      </c>
      <c r="G116" s="88">
        <v>67.43488808568766</v>
      </c>
      <c r="H116" s="88">
        <v>75.374793315900007</v>
      </c>
      <c r="I116" s="88">
        <v>76.56882117891648</v>
      </c>
      <c r="J116" s="88">
        <v>76.322384004676493</v>
      </c>
      <c r="K116" s="89">
        <v>75.529539898760859</v>
      </c>
      <c r="L116" s="90">
        <v>586.8576640287755</v>
      </c>
    </row>
    <row r="117" spans="1:12" ht="17.399999999999999" thickBot="1">
      <c r="A117" s="103">
        <v>55</v>
      </c>
      <c r="B117" s="104" t="s">
        <v>276</v>
      </c>
      <c r="D117" s="105">
        <v>107.04432067323454</v>
      </c>
      <c r="E117" s="106">
        <v>107.80159335266235</v>
      </c>
      <c r="F117" s="106">
        <v>107.43897211679848</v>
      </c>
      <c r="G117" s="106">
        <v>107.89582093710028</v>
      </c>
      <c r="H117" s="106">
        <v>120.59966930544005</v>
      </c>
      <c r="I117" s="106">
        <v>122.51011388626638</v>
      </c>
      <c r="J117" s="106">
        <v>122.11581440748243</v>
      </c>
      <c r="K117" s="107">
        <v>120.84726383801738</v>
      </c>
      <c r="L117" s="108">
        <v>916.2535685170019</v>
      </c>
    </row>
    <row r="118" spans="1:12">
      <c r="D118" s="53"/>
      <c r="E118" s="53"/>
      <c r="F118" s="53"/>
      <c r="G118" s="53"/>
      <c r="H118" s="53"/>
      <c r="I118" s="53"/>
      <c r="J118" s="53"/>
      <c r="K118" s="53"/>
    </row>
    <row r="119" spans="1:12" ht="16.8">
      <c r="B119" s="75" t="s">
        <v>277</v>
      </c>
      <c r="D119" s="96">
        <v>94.224999999999994</v>
      </c>
      <c r="E119" s="88">
        <v>87.484999999999999</v>
      </c>
      <c r="F119" s="88">
        <v>79.322999999999993</v>
      </c>
      <c r="G119" s="88">
        <v>58.722999999999999</v>
      </c>
      <c r="H119" s="88">
        <v>3.3000000000000002E-2</v>
      </c>
      <c r="I119" s="88">
        <v>3.3000000000000002E-2</v>
      </c>
      <c r="J119" s="88">
        <v>0</v>
      </c>
      <c r="K119" s="88">
        <v>0</v>
      </c>
      <c r="L119" s="172">
        <v>319.822</v>
      </c>
    </row>
    <row r="120" spans="1:12">
      <c r="D120" s="53"/>
      <c r="E120" s="53"/>
      <c r="F120" s="53"/>
      <c r="G120" s="53"/>
      <c r="H120" s="53"/>
      <c r="I120" s="53"/>
      <c r="J120" s="53"/>
      <c r="K120" s="53"/>
    </row>
    <row r="121" spans="1:12" ht="16.8">
      <c r="B121" s="213" t="s">
        <v>278</v>
      </c>
      <c r="D121" s="53">
        <v>57.294277713235871</v>
      </c>
      <c r="E121" s="53">
        <v>67.472820316867796</v>
      </c>
      <c r="F121" s="53">
        <v>69.358391105946623</v>
      </c>
      <c r="G121" s="53">
        <v>93.907421891247139</v>
      </c>
      <c r="H121" s="53">
        <v>109.4614779355966</v>
      </c>
      <c r="I121" s="53">
        <v>74.998413516027682</v>
      </c>
      <c r="J121" s="53">
        <v>65.089296911713689</v>
      </c>
      <c r="K121" s="53">
        <v>60.03870434945965</v>
      </c>
    </row>
    <row r="122" spans="1:12">
      <c r="B122" t="s">
        <v>279</v>
      </c>
      <c r="D122" s="53">
        <v>103.64470462731434</v>
      </c>
      <c r="E122" s="53">
        <v>122.05757383163726</v>
      </c>
      <c r="F122" s="53">
        <v>125.46855020289223</v>
      </c>
      <c r="G122" s="53">
        <v>169.87747106169431</v>
      </c>
      <c r="H122" s="53">
        <v>198.01458368124784</v>
      </c>
      <c r="I122" s="53">
        <v>135.67128737169054</v>
      </c>
      <c r="J122" s="53">
        <v>117.74580677287534</v>
      </c>
      <c r="K122" s="53">
        <v>108.60934157598881</v>
      </c>
    </row>
    <row r="123" spans="1:12" ht="16.8">
      <c r="B123" s="213" t="s">
        <v>280</v>
      </c>
      <c r="D123" s="53">
        <v>1.9883507696585525</v>
      </c>
      <c r="E123" s="53">
        <v>0</v>
      </c>
      <c r="F123" s="53">
        <v>0</v>
      </c>
      <c r="G123" s="53">
        <v>0</v>
      </c>
      <c r="H123" s="53">
        <v>0</v>
      </c>
      <c r="I123" s="53">
        <v>0</v>
      </c>
      <c r="J123" s="53">
        <v>0</v>
      </c>
      <c r="K123" s="53">
        <v>0</v>
      </c>
    </row>
    <row r="124" spans="1:12">
      <c r="B124" t="s">
        <v>281</v>
      </c>
      <c r="D124" s="53">
        <v>17.895156926926962</v>
      </c>
      <c r="E124" s="53">
        <v>0</v>
      </c>
      <c r="F124" s="53">
        <v>0</v>
      </c>
      <c r="G124" s="53">
        <v>0</v>
      </c>
      <c r="H124" s="53">
        <v>0</v>
      </c>
      <c r="I124" s="53">
        <v>0</v>
      </c>
      <c r="J124" s="53">
        <v>0</v>
      </c>
      <c r="K124" s="53">
        <v>0</v>
      </c>
    </row>
    <row r="125" spans="1:12">
      <c r="D125" s="53"/>
      <c r="E125" s="53"/>
      <c r="F125" s="53"/>
      <c r="G125" s="53"/>
      <c r="H125" s="53"/>
      <c r="I125" s="53"/>
      <c r="J125" s="53"/>
      <c r="K125" s="53"/>
    </row>
    <row r="126" spans="1:12">
      <c r="B126" t="s">
        <v>282</v>
      </c>
      <c r="D126" s="53">
        <v>0</v>
      </c>
      <c r="E126" s="53">
        <v>109.87971241227922</v>
      </c>
      <c r="F126" s="53">
        <v>114.43672637584547</v>
      </c>
      <c r="G126" s="53">
        <v>123.96977718673423</v>
      </c>
      <c r="H126" s="53">
        <v>138.27838395379189</v>
      </c>
      <c r="I126" s="53">
        <v>117.50342084599842</v>
      </c>
      <c r="J126" s="53">
        <v>101.87556011564801</v>
      </c>
      <c r="K126" s="53">
        <v>91.157975802007329</v>
      </c>
    </row>
    <row r="127" spans="1:12">
      <c r="B127" t="s">
        <v>283</v>
      </c>
      <c r="D127" s="53">
        <v>0</v>
      </c>
      <c r="E127" s="53">
        <v>39.1171776187714</v>
      </c>
      <c r="F127" s="53">
        <v>40.739474589800984</v>
      </c>
      <c r="G127" s="53">
        <v>44.133240678477385</v>
      </c>
      <c r="H127" s="53">
        <v>49.227104687549911</v>
      </c>
      <c r="I127" s="53">
        <v>41.831217821175436</v>
      </c>
      <c r="J127" s="53">
        <v>36.267699401170688</v>
      </c>
      <c r="K127" s="53">
        <v>32.452239385514609</v>
      </c>
    </row>
    <row r="128" spans="1:12">
      <c r="B128" t="s">
        <v>284</v>
      </c>
      <c r="D128" s="53">
        <f t="shared" ref="D128" si="27">D126-D127</f>
        <v>0</v>
      </c>
      <c r="E128" s="53">
        <f t="shared" ref="E128:K128" si="28">E126-E127</f>
        <v>70.762534793507825</v>
      </c>
      <c r="F128" s="53">
        <f t="shared" si="28"/>
        <v>73.69725178604449</v>
      </c>
      <c r="G128" s="53">
        <f t="shared" si="28"/>
        <v>79.836536508256842</v>
      </c>
      <c r="H128" s="53">
        <f t="shared" si="28"/>
        <v>89.051279266241977</v>
      </c>
      <c r="I128" s="53">
        <f t="shared" si="28"/>
        <v>75.672203024822977</v>
      </c>
      <c r="J128" s="53">
        <f t="shared" si="28"/>
        <v>65.607860714477326</v>
      </c>
      <c r="K128" s="53">
        <f t="shared" si="28"/>
        <v>58.705736416492719</v>
      </c>
    </row>
    <row r="129" spans="2:25">
      <c r="D129" s="53"/>
      <c r="E129" s="53"/>
      <c r="F129" s="53"/>
      <c r="G129" s="53"/>
      <c r="H129" s="53"/>
      <c r="I129" s="53"/>
      <c r="J129" s="53"/>
      <c r="K129" s="53"/>
    </row>
    <row r="130" spans="2:25">
      <c r="B130" t="s">
        <v>430</v>
      </c>
      <c r="D130" s="196">
        <v>308.75273694375045</v>
      </c>
      <c r="E130" s="196">
        <v>313.89720450059929</v>
      </c>
      <c r="F130" s="196">
        <v>330.26456177636072</v>
      </c>
      <c r="G130" s="196">
        <v>376.83616903024597</v>
      </c>
      <c r="H130" s="196">
        <v>0</v>
      </c>
      <c r="I130" s="196">
        <v>0</v>
      </c>
      <c r="J130" s="196">
        <v>0</v>
      </c>
      <c r="K130" s="196">
        <v>0</v>
      </c>
    </row>
    <row r="131" spans="2:25">
      <c r="B131" t="s">
        <v>206</v>
      </c>
      <c r="D131" s="196">
        <v>14.16619923431</v>
      </c>
      <c r="E131" s="196">
        <v>26.016783731295874</v>
      </c>
      <c r="F131" s="196">
        <v>69.473671529071126</v>
      </c>
      <c r="G131" s="196">
        <v>108.4200133736822</v>
      </c>
      <c r="H131" s="196">
        <v>69.349803718573156</v>
      </c>
      <c r="I131" s="196">
        <v>20.779442706835688</v>
      </c>
      <c r="J131" s="196">
        <v>0.81062265305823133</v>
      </c>
      <c r="K131" s="196">
        <v>0</v>
      </c>
    </row>
    <row r="132" spans="2:25" ht="16.8">
      <c r="B132" s="110" t="s">
        <v>287</v>
      </c>
      <c r="D132" s="196">
        <v>7.4327667170082803</v>
      </c>
      <c r="E132" s="196">
        <v>7.7122608119828824</v>
      </c>
      <c r="F132" s="196">
        <v>8.2473634361549806</v>
      </c>
      <c r="G132" s="196">
        <v>9.4340419520691015</v>
      </c>
      <c r="H132" s="196">
        <v>0</v>
      </c>
      <c r="I132" s="196">
        <v>0</v>
      </c>
      <c r="J132" s="196">
        <v>0</v>
      </c>
      <c r="K132" s="196">
        <v>0</v>
      </c>
    </row>
    <row r="133" spans="2:25" ht="16.8">
      <c r="B133" s="110" t="s">
        <v>288</v>
      </c>
      <c r="D133" s="53">
        <f>SUM(D130:D131)-D132</f>
        <v>315.48616946105216</v>
      </c>
      <c r="E133" s="53">
        <f t="shared" ref="E133:K133" si="29">SUM(E130:E131)-E132</f>
        <v>332.20172741991223</v>
      </c>
      <c r="F133" s="53">
        <f t="shared" si="29"/>
        <v>391.49086986927688</v>
      </c>
      <c r="G133" s="53">
        <f t="shared" si="29"/>
        <v>475.82214045185907</v>
      </c>
      <c r="H133" s="53">
        <f t="shared" si="29"/>
        <v>69.349803718573156</v>
      </c>
      <c r="I133" s="53">
        <f t="shared" si="29"/>
        <v>20.779442706835688</v>
      </c>
      <c r="J133" s="53">
        <f t="shared" si="29"/>
        <v>0.81062265305823133</v>
      </c>
      <c r="K133" s="53">
        <f t="shared" si="29"/>
        <v>0</v>
      </c>
    </row>
    <row r="134" spans="2:25">
      <c r="D134" s="53"/>
      <c r="E134" s="53"/>
      <c r="F134" s="53"/>
      <c r="G134" s="53"/>
      <c r="H134" s="53"/>
      <c r="I134" s="53"/>
      <c r="J134" s="53"/>
      <c r="K134" s="53"/>
    </row>
    <row r="135" spans="2:25">
      <c r="B135" t="s">
        <v>289</v>
      </c>
      <c r="D135" s="53">
        <f>D61+D130</f>
        <v>4562.0597731988728</v>
      </c>
      <c r="E135" s="53">
        <f>D138</f>
        <v>4639.038887835537</v>
      </c>
      <c r="F135" s="53">
        <f t="shared" ref="F135:K135" si="30">E138</f>
        <v>4637.6070966726902</v>
      </c>
      <c r="G135" s="53">
        <f t="shared" si="30"/>
        <v>4681.4255364391229</v>
      </c>
      <c r="H135" s="53">
        <f t="shared" si="30"/>
        <v>4805.940097576572</v>
      </c>
      <c r="I135" s="53">
        <f t="shared" si="30"/>
        <v>4915.0100811748816</v>
      </c>
      <c r="J135" s="53">
        <f t="shared" si="30"/>
        <v>4908.897884660214</v>
      </c>
      <c r="K135" s="53">
        <f t="shared" si="30"/>
        <v>4863.0876126417443</v>
      </c>
      <c r="L135" s="53"/>
      <c r="N135" s="53">
        <f t="shared" ref="N135:U135" si="31">D135*N$1</f>
        <v>5323.9237553230851</v>
      </c>
      <c r="O135" s="53">
        <f t="shared" si="31"/>
        <v>5520.456276524289</v>
      </c>
      <c r="P135" s="53">
        <f t="shared" si="31"/>
        <v>5574.4037302005736</v>
      </c>
      <c r="Q135" s="53">
        <f t="shared" si="31"/>
        <v>5748.7905587472424</v>
      </c>
      <c r="R135" s="53">
        <f t="shared" si="31"/>
        <v>6122.7676843125528</v>
      </c>
      <c r="S135" s="53">
        <f t="shared" si="31"/>
        <v>6453.4082365826189</v>
      </c>
      <c r="T135" s="53">
        <f t="shared" si="31"/>
        <v>6622.1032464066284</v>
      </c>
      <c r="U135" s="53">
        <f t="shared" si="31"/>
        <v>6749.965606346741</v>
      </c>
    </row>
    <row r="136" spans="2:25">
      <c r="B136" t="str">
        <f>B62</f>
        <v>RAV additions (after disposals)</v>
      </c>
      <c r="D136" s="53">
        <f>D62+D131</f>
        <v>223.19045317389737</v>
      </c>
      <c r="E136" s="53">
        <f t="shared" ref="E136:K136" si="32">E62+E131</f>
        <v>148.06659958282847</v>
      </c>
      <c r="F136" s="53">
        <f t="shared" si="32"/>
        <v>194.93446375185869</v>
      </c>
      <c r="G136" s="53">
        <f t="shared" si="32"/>
        <v>278.28972645527188</v>
      </c>
      <c r="H136" s="53">
        <f t="shared" si="32"/>
        <v>267.35662941971634</v>
      </c>
      <c r="I136" s="53">
        <f t="shared" si="32"/>
        <v>156.44297209842156</v>
      </c>
      <c r="J136" s="53">
        <f t="shared" si="32"/>
        <v>118.5486714458289</v>
      </c>
      <c r="K136" s="53">
        <f t="shared" si="32"/>
        <v>108.60158359588414</v>
      </c>
    </row>
    <row r="137" spans="2:25">
      <c r="B137" t="str">
        <f>B63</f>
        <v>Depreciation</v>
      </c>
      <c r="D137" s="53">
        <f>D63-D132</f>
        <v>-146.2113385372329</v>
      </c>
      <c r="E137" s="53">
        <f t="shared" ref="E137:K137" si="33">E63-E132</f>
        <v>-149.49839074567493</v>
      </c>
      <c r="F137" s="53">
        <f t="shared" si="33"/>
        <v>-151.11602398542661</v>
      </c>
      <c r="G137" s="53">
        <f t="shared" si="33"/>
        <v>-153.77516531782337</v>
      </c>
      <c r="H137" s="53">
        <f t="shared" si="33"/>
        <v>-158.28664582140709</v>
      </c>
      <c r="I137" s="53">
        <f t="shared" si="33"/>
        <v>-162.55516861308956</v>
      </c>
      <c r="J137" s="53">
        <f t="shared" si="33"/>
        <v>-164.35894346429882</v>
      </c>
      <c r="K137" s="53">
        <f t="shared" si="33"/>
        <v>-165.32062274545049</v>
      </c>
    </row>
    <row r="138" spans="2:25">
      <c r="B138" t="str">
        <f>B64</f>
        <v>Closing asset value</v>
      </c>
      <c r="D138" s="53">
        <f>SUM(D135:D137)</f>
        <v>4639.038887835537</v>
      </c>
      <c r="E138" s="53">
        <f t="shared" ref="E138:K138" si="34">SUM(E135:E137)</f>
        <v>4637.6070966726902</v>
      </c>
      <c r="F138" s="53">
        <f t="shared" si="34"/>
        <v>4681.4255364391229</v>
      </c>
      <c r="G138" s="53">
        <f t="shared" si="34"/>
        <v>4805.940097576572</v>
      </c>
      <c r="H138" s="53">
        <f t="shared" si="34"/>
        <v>4915.0100811748816</v>
      </c>
      <c r="I138" s="53">
        <f t="shared" si="34"/>
        <v>4908.897884660214</v>
      </c>
      <c r="J138" s="53">
        <f t="shared" si="34"/>
        <v>4863.0876126417443</v>
      </c>
      <c r="K138" s="53">
        <f t="shared" si="34"/>
        <v>4806.3685734921783</v>
      </c>
      <c r="N138" s="53">
        <f t="shared" ref="N138:U138" si="35">D138*N$1</f>
        <v>5413.7583821040716</v>
      </c>
      <c r="O138" s="53">
        <f t="shared" si="35"/>
        <v>5518.7524450405008</v>
      </c>
      <c r="P138" s="53">
        <f t="shared" si="35"/>
        <v>5627.0734947998253</v>
      </c>
      <c r="Q138" s="53">
        <f t="shared" si="35"/>
        <v>5901.6944398240303</v>
      </c>
      <c r="R138" s="53">
        <f t="shared" si="35"/>
        <v>6261.7228434167992</v>
      </c>
      <c r="S138" s="53">
        <f t="shared" si="35"/>
        <v>6445.3829225588606</v>
      </c>
      <c r="T138" s="53">
        <f t="shared" si="35"/>
        <v>6560.305189453713</v>
      </c>
      <c r="U138" s="53">
        <f t="shared" si="35"/>
        <v>6671.2395800071426</v>
      </c>
      <c r="V138" s="53"/>
      <c r="W138" s="53"/>
      <c r="X138" s="53"/>
      <c r="Y138" s="53"/>
    </row>
    <row r="139" spans="2:25">
      <c r="B139" t="s">
        <v>201</v>
      </c>
      <c r="D139" s="53">
        <f>D64+D133-D138</f>
        <v>0</v>
      </c>
      <c r="E139" s="53">
        <f t="shared" ref="E139:K139" si="36">E64+E133-E138</f>
        <v>0</v>
      </c>
      <c r="F139" s="53">
        <f t="shared" si="36"/>
        <v>0</v>
      </c>
      <c r="G139" s="53">
        <f t="shared" si="36"/>
        <v>0</v>
      </c>
      <c r="H139" s="53">
        <f t="shared" si="36"/>
        <v>0</v>
      </c>
      <c r="I139" s="53">
        <f t="shared" si="36"/>
        <v>0</v>
      </c>
      <c r="J139" s="53">
        <f t="shared" si="36"/>
        <v>0</v>
      </c>
      <c r="K139" s="53">
        <f t="shared" si="36"/>
        <v>0</v>
      </c>
    </row>
    <row r="140" spans="2:25">
      <c r="D140" s="53"/>
      <c r="E140" s="53"/>
      <c r="F140" s="53"/>
      <c r="G140" s="53"/>
      <c r="H140" s="53"/>
      <c r="I140" s="53"/>
      <c r="J140" s="53"/>
      <c r="K140" s="53"/>
    </row>
    <row r="141" spans="2:25">
      <c r="B141" t="s">
        <v>290</v>
      </c>
      <c r="D141" s="196">
        <v>2.6999999999999997</v>
      </c>
      <c r="E141" s="196">
        <v>2.6</v>
      </c>
      <c r="F141" s="196">
        <v>2.6</v>
      </c>
      <c r="G141" s="196">
        <v>2.6999999999999997</v>
      </c>
      <c r="H141" s="196">
        <v>2.6</v>
      </c>
      <c r="I141" s="196">
        <v>2.6</v>
      </c>
      <c r="J141" s="196">
        <v>2.6999999999999997</v>
      </c>
      <c r="K141" s="196">
        <v>2.6</v>
      </c>
    </row>
    <row r="142" spans="2:25">
      <c r="B142" t="s">
        <v>291</v>
      </c>
      <c r="D142" s="196">
        <v>26.409854043050455</v>
      </c>
      <c r="E142" s="196">
        <v>26.409854043050455</v>
      </c>
      <c r="F142" s="196">
        <v>49.377503040264713</v>
      </c>
      <c r="G142" s="196">
        <v>49.377503040264713</v>
      </c>
      <c r="H142" s="196">
        <v>49.377503040264713</v>
      </c>
      <c r="I142" s="196">
        <v>49.377503040264713</v>
      </c>
      <c r="J142" s="196">
        <v>49.377503040264713</v>
      </c>
      <c r="K142" s="196">
        <v>49.377503040264713</v>
      </c>
    </row>
    <row r="143" spans="2:25">
      <c r="B143" t="s">
        <v>292</v>
      </c>
      <c r="D143" s="53">
        <f t="shared" ref="D143:K143" si="37">D141+D142</f>
        <v>29.109854043050454</v>
      </c>
      <c r="E143" s="53">
        <f t="shared" si="37"/>
        <v>29.009854043050456</v>
      </c>
      <c r="F143" s="53">
        <f t="shared" si="37"/>
        <v>51.977503040264715</v>
      </c>
      <c r="G143" s="53">
        <f t="shared" si="37"/>
        <v>52.077503040264716</v>
      </c>
      <c r="H143" s="53">
        <f t="shared" si="37"/>
        <v>51.977503040264715</v>
      </c>
      <c r="I143" s="53">
        <f t="shared" si="37"/>
        <v>51.977503040264715</v>
      </c>
      <c r="J143" s="53">
        <f t="shared" si="37"/>
        <v>52.077503040264716</v>
      </c>
      <c r="K143" s="53">
        <f t="shared" si="37"/>
        <v>51.977503040264715</v>
      </c>
    </row>
    <row r="144" spans="2:25">
      <c r="B144" t="s">
        <v>293</v>
      </c>
      <c r="D144" s="196">
        <v>11.622445302613123</v>
      </c>
      <c r="E144" s="196">
        <v>12.116399227974181</v>
      </c>
      <c r="F144" s="196">
        <v>12.618472520983362</v>
      </c>
      <c r="G144" s="196">
        <v>13.14135047607161</v>
      </c>
      <c r="H144" s="196">
        <v>13.685895186423828</v>
      </c>
      <c r="I144" s="196">
        <v>14.253004468211266</v>
      </c>
      <c r="J144" s="196">
        <v>14.84361334086277</v>
      </c>
      <c r="K144" s="196">
        <v>15.458695568674772</v>
      </c>
    </row>
    <row r="145" spans="2:12">
      <c r="B145" s="38" t="s">
        <v>294</v>
      </c>
      <c r="C145" s="38"/>
      <c r="D145" s="58">
        <f t="shared" ref="D145:K145" si="38">D143+D144</f>
        <v>40.732299345663577</v>
      </c>
      <c r="E145" s="58">
        <f t="shared" si="38"/>
        <v>41.126253271024638</v>
      </c>
      <c r="F145" s="58">
        <f t="shared" si="38"/>
        <v>64.595975561248082</v>
      </c>
      <c r="G145" s="58">
        <f t="shared" si="38"/>
        <v>65.218853516336324</v>
      </c>
      <c r="H145" s="58">
        <f t="shared" si="38"/>
        <v>65.663398226688543</v>
      </c>
      <c r="I145" s="58">
        <f t="shared" si="38"/>
        <v>66.230507508475981</v>
      </c>
      <c r="J145" s="58">
        <f t="shared" si="38"/>
        <v>66.92111638112749</v>
      </c>
      <c r="K145" s="58">
        <f t="shared" si="38"/>
        <v>67.436198608939492</v>
      </c>
    </row>
    <row r="146" spans="2:12">
      <c r="D146" s="53"/>
      <c r="E146" s="53"/>
      <c r="F146" s="53"/>
      <c r="G146" s="53"/>
      <c r="H146" s="53"/>
      <c r="I146" s="53"/>
      <c r="J146" s="53"/>
      <c r="K146" s="53"/>
    </row>
    <row r="147" spans="2:12">
      <c r="B147" t="s">
        <v>295</v>
      </c>
      <c r="D147" s="196">
        <v>-17.8</v>
      </c>
      <c r="E147" s="196">
        <v>-18.2</v>
      </c>
      <c r="F147" s="196">
        <v>-18.399999999999999</v>
      </c>
      <c r="G147" s="196">
        <v>-18.5</v>
      </c>
      <c r="H147" s="196">
        <v>0</v>
      </c>
      <c r="I147" s="196">
        <v>0</v>
      </c>
      <c r="J147" s="196">
        <v>0</v>
      </c>
      <c r="K147" s="196">
        <v>0</v>
      </c>
    </row>
    <row r="148" spans="2:12">
      <c r="B148" t="s">
        <v>296</v>
      </c>
      <c r="D148" s="196">
        <v>11.869008116837371</v>
      </c>
      <c r="E148" s="196">
        <v>12.373440961802958</v>
      </c>
      <c r="F148" s="196">
        <v>12.886165421657667</v>
      </c>
      <c r="G148" s="196">
        <v>13.420135901317607</v>
      </c>
      <c r="H148" s="196">
        <v>13.976232782728456</v>
      </c>
      <c r="I148" s="196">
        <v>14.555372928662766</v>
      </c>
      <c r="J148" s="196">
        <v>15.158511194394231</v>
      </c>
      <c r="K148" s="196">
        <v>15.786642002011941</v>
      </c>
    </row>
    <row r="149" spans="2:12">
      <c r="B149" t="s">
        <v>297</v>
      </c>
      <c r="D149" s="53">
        <v>-3.5</v>
      </c>
      <c r="E149" s="53">
        <v>-2.9</v>
      </c>
      <c r="F149" s="53">
        <v>-3</v>
      </c>
      <c r="G149" s="53">
        <v>-3.1</v>
      </c>
      <c r="H149" s="53">
        <v>-3</v>
      </c>
      <c r="I149" s="53">
        <v>-3</v>
      </c>
      <c r="J149" s="53">
        <v>-3</v>
      </c>
      <c r="K149" s="53">
        <v>-3</v>
      </c>
    </row>
    <row r="150" spans="2:12">
      <c r="B150" s="38" t="s">
        <v>298</v>
      </c>
      <c r="D150" s="58">
        <f t="shared" ref="D150:K150" si="39">SUM(D145:D149)</f>
        <v>31.301307462500944</v>
      </c>
      <c r="E150" s="58">
        <f t="shared" si="39"/>
        <v>32.399694232827599</v>
      </c>
      <c r="F150" s="58">
        <f t="shared" si="39"/>
        <v>56.082140982905749</v>
      </c>
      <c r="G150" s="58">
        <f t="shared" si="39"/>
        <v>57.03898941765393</v>
      </c>
      <c r="H150" s="58">
        <f t="shared" si="39"/>
        <v>76.639631009417002</v>
      </c>
      <c r="I150" s="58">
        <f t="shared" si="39"/>
        <v>77.785880437138744</v>
      </c>
      <c r="J150" s="58">
        <f t="shared" si="39"/>
        <v>79.079627575521727</v>
      </c>
      <c r="K150" s="58">
        <f t="shared" si="39"/>
        <v>80.222840610951437</v>
      </c>
    </row>
    <row r="151" spans="2:12">
      <c r="B151" t="s">
        <v>299</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300</v>
      </c>
      <c r="D153" s="53">
        <f t="shared" ref="D153:K153" si="40">SUM(D147:D149,D151)</f>
        <v>-9.4309918831626298</v>
      </c>
      <c r="E153" s="53">
        <f t="shared" si="40"/>
        <v>-8.7265590381970419</v>
      </c>
      <c r="F153" s="53">
        <f t="shared" si="40"/>
        <v>-8.5138345783423315</v>
      </c>
      <c r="G153" s="53">
        <f t="shared" si="40"/>
        <v>-8.1798640986823923</v>
      </c>
      <c r="H153" s="53">
        <f t="shared" si="40"/>
        <v>10.976232782728456</v>
      </c>
      <c r="I153" s="53">
        <f t="shared" si="40"/>
        <v>11.555372928662766</v>
      </c>
      <c r="J153" s="53">
        <f t="shared" si="40"/>
        <v>12.158511194394231</v>
      </c>
      <c r="K153" s="53">
        <f t="shared" si="40"/>
        <v>12.786642002011941</v>
      </c>
    </row>
    <row r="156" spans="2:12" ht="16.8">
      <c r="B156" s="75" t="s">
        <v>247</v>
      </c>
      <c r="D156" s="198">
        <v>53.000554975302876</v>
      </c>
      <c r="E156" s="198">
        <v>64.632952234572471</v>
      </c>
      <c r="F156" s="198">
        <v>80.324065645564858</v>
      </c>
      <c r="G156" s="198">
        <v>92.298002418477893</v>
      </c>
      <c r="H156" s="198">
        <v>101.6625071006498</v>
      </c>
      <c r="I156" s="198">
        <v>107.12198616353719</v>
      </c>
      <c r="J156" s="198">
        <v>107.83377600746921</v>
      </c>
      <c r="K156" s="198">
        <v>106.72018726276471</v>
      </c>
    </row>
    <row r="157" spans="2:12" ht="16.8">
      <c r="B157" s="75" t="s">
        <v>248</v>
      </c>
      <c r="D157" s="198">
        <v>22.17743175011244</v>
      </c>
      <c r="E157" s="198">
        <v>29.404352437565585</v>
      </c>
      <c r="F157" s="198">
        <v>28.318912342542578</v>
      </c>
      <c r="G157" s="198">
        <v>28.668372505992771</v>
      </c>
      <c r="H157" s="198">
        <v>27.411971530421514</v>
      </c>
      <c r="I157" s="198">
        <v>25.265392341568841</v>
      </c>
      <c r="J157" s="198">
        <v>25.396105065855693</v>
      </c>
      <c r="K157" s="198">
        <v>24.829470975539607</v>
      </c>
    </row>
    <row r="158" spans="2:12" ht="16.8">
      <c r="B158" s="75" t="s">
        <v>249</v>
      </c>
      <c r="D158" s="198">
        <v>-10.545034490842841</v>
      </c>
      <c r="E158" s="198">
        <v>-13.71323902657319</v>
      </c>
      <c r="F158" s="198">
        <v>-16.34497556962954</v>
      </c>
      <c r="G158" s="198">
        <v>-19.303867823820873</v>
      </c>
      <c r="H158" s="198">
        <v>-21.952492467534128</v>
      </c>
      <c r="I158" s="198">
        <v>-24.55360249763682</v>
      </c>
      <c r="J158" s="198">
        <v>-26.509693810560208</v>
      </c>
      <c r="K158" s="198">
        <v>-26.663219710579916</v>
      </c>
    </row>
    <row r="159" spans="2:12" ht="16.8">
      <c r="B159" s="75" t="s">
        <v>250</v>
      </c>
      <c r="D159" s="198">
        <v>64.632952234572471</v>
      </c>
      <c r="E159" s="198">
        <v>80.324065645564858</v>
      </c>
      <c r="F159" s="198">
        <v>92.298002418477893</v>
      </c>
      <c r="G159" s="198">
        <v>101.6625071006498</v>
      </c>
      <c r="H159" s="198">
        <v>107.12198616353719</v>
      </c>
      <c r="I159" s="198">
        <v>107.83377600746921</v>
      </c>
      <c r="J159" s="198">
        <v>106.72018726276471</v>
      </c>
      <c r="K159" s="198">
        <v>104.88643852772441</v>
      </c>
    </row>
    <row r="160" spans="2:12" ht="15.6">
      <c r="L160" s="119" t="s">
        <v>301</v>
      </c>
    </row>
    <row r="161" spans="2:21" ht="15.6">
      <c r="B161" t="s">
        <v>289</v>
      </c>
      <c r="D161" s="53">
        <f t="shared" ref="D161:K161" si="41">D135+D156</f>
        <v>4615.060328174176</v>
      </c>
      <c r="E161" s="53">
        <f t="shared" si="41"/>
        <v>4703.6718400701093</v>
      </c>
      <c r="F161" s="53">
        <f t="shared" si="41"/>
        <v>4717.9311623182548</v>
      </c>
      <c r="G161" s="53">
        <f t="shared" si="41"/>
        <v>4773.7235388576009</v>
      </c>
      <c r="H161" s="53">
        <f t="shared" si="41"/>
        <v>4907.6026046772222</v>
      </c>
      <c r="I161" s="53">
        <f t="shared" si="41"/>
        <v>5022.1320673384189</v>
      </c>
      <c r="J161" s="53">
        <f t="shared" si="41"/>
        <v>5016.7316606676832</v>
      </c>
      <c r="K161" s="53">
        <f t="shared" si="41"/>
        <v>4969.807799904509</v>
      </c>
      <c r="L161" s="120">
        <f>(K161/D161)^(1/7)-1</f>
        <v>1.0635621407166562E-2</v>
      </c>
      <c r="M161" t="s">
        <v>302</v>
      </c>
      <c r="N161" s="114">
        <f t="shared" ref="N161:U162" si="42">D161*N$1</f>
        <v>5385.7754029792632</v>
      </c>
      <c r="O161" s="109">
        <f t="shared" si="42"/>
        <v>5597.3694896834295</v>
      </c>
      <c r="P161" s="109">
        <f t="shared" si="42"/>
        <v>5670.953257106542</v>
      </c>
      <c r="Q161" s="109">
        <f t="shared" si="42"/>
        <v>5862.1325057171334</v>
      </c>
      <c r="R161" s="109">
        <f t="shared" si="42"/>
        <v>6252.2857183587812</v>
      </c>
      <c r="S161" s="109">
        <f t="shared" si="42"/>
        <v>6594.059404415344</v>
      </c>
      <c r="T161" s="109">
        <f t="shared" si="42"/>
        <v>6767.5710102407047</v>
      </c>
      <c r="U161" s="109">
        <f t="shared" si="42"/>
        <v>6898.0932262674578</v>
      </c>
    </row>
    <row r="162" spans="2:21" ht="15.6">
      <c r="B162" t="s">
        <v>250</v>
      </c>
      <c r="D162" s="53">
        <f t="shared" ref="D162:K162" si="43">D138+D159</f>
        <v>4703.6718400701093</v>
      </c>
      <c r="E162" s="53">
        <f t="shared" si="43"/>
        <v>4717.9311623182548</v>
      </c>
      <c r="F162" s="53">
        <f t="shared" si="43"/>
        <v>4773.7235388576009</v>
      </c>
      <c r="G162" s="53">
        <f t="shared" si="43"/>
        <v>4907.6026046772222</v>
      </c>
      <c r="H162" s="53">
        <f t="shared" si="43"/>
        <v>5022.1320673384189</v>
      </c>
      <c r="I162" s="53">
        <f t="shared" si="43"/>
        <v>5016.7316606676832</v>
      </c>
      <c r="J162" s="53">
        <f t="shared" si="43"/>
        <v>4969.807799904509</v>
      </c>
      <c r="K162" s="53">
        <f t="shared" si="43"/>
        <v>4911.255012019903</v>
      </c>
      <c r="L162" s="121">
        <f>(K162/D162)^(1/7)-1</f>
        <v>6.1885081993111601E-3</v>
      </c>
      <c r="N162" s="109">
        <f t="shared" si="42"/>
        <v>5489.1850373618181</v>
      </c>
      <c r="O162" s="109">
        <f t="shared" si="42"/>
        <v>5614.3380831587228</v>
      </c>
      <c r="P162" s="109">
        <f t="shared" si="42"/>
        <v>5738.0156937068359</v>
      </c>
      <c r="Q162" s="109">
        <f t="shared" si="42"/>
        <v>6026.5359985436289</v>
      </c>
      <c r="R162" s="109">
        <f t="shared" si="42"/>
        <v>6398.1962537891459</v>
      </c>
      <c r="S162" s="109">
        <f t="shared" si="42"/>
        <v>6586.9686704566675</v>
      </c>
      <c r="T162" s="109">
        <f t="shared" si="42"/>
        <v>6704.2707220711827</v>
      </c>
      <c r="U162" s="114">
        <f t="shared" si="42"/>
        <v>6816.8219566836251</v>
      </c>
    </row>
    <row r="163" spans="2:21">
      <c r="N163" s="109"/>
      <c r="O163" s="109"/>
      <c r="P163" s="109"/>
      <c r="Q163" s="109"/>
      <c r="R163" s="109"/>
      <c r="S163" s="109"/>
      <c r="T163" s="109"/>
      <c r="U163" s="109"/>
    </row>
    <row r="164" spans="2:21">
      <c r="B164" t="s">
        <v>289</v>
      </c>
      <c r="M164" t="s">
        <v>303</v>
      </c>
      <c r="N164" s="115">
        <f>D161*N$3</f>
        <v>5305.0164815467579</v>
      </c>
      <c r="O164" s="109">
        <f t="shared" ref="N164:U165" si="44">E161*O$2</f>
        <v>5604.7305580813791</v>
      </c>
      <c r="P164" s="109">
        <f t="shared" si="44"/>
        <v>5709.1850447147999</v>
      </c>
      <c r="Q164" s="109">
        <f t="shared" si="44"/>
        <v>5958.1202642407798</v>
      </c>
      <c r="R164" s="109">
        <f t="shared" si="44"/>
        <v>6329.9203068824563</v>
      </c>
      <c r="S164" s="109">
        <f t="shared" si="44"/>
        <v>6635.9177463224951</v>
      </c>
      <c r="T164" s="109">
        <f t="shared" si="44"/>
        <v>6828.7382453488281</v>
      </c>
      <c r="U164" s="109">
        <f t="shared" si="44"/>
        <v>6967.5584403110497</v>
      </c>
    </row>
    <row r="165" spans="2:21">
      <c r="B165" t="s">
        <v>250</v>
      </c>
      <c r="N165" s="109">
        <f t="shared" si="44"/>
        <v>5554.5910003855906</v>
      </c>
      <c r="O165" s="109">
        <f t="shared" si="44"/>
        <v>5621.7214668562819</v>
      </c>
      <c r="P165" s="109">
        <f t="shared" si="44"/>
        <v>5776.6995952219368</v>
      </c>
      <c r="Q165" s="109">
        <f t="shared" si="44"/>
        <v>6125.2157335373531</v>
      </c>
      <c r="R165" s="109">
        <f t="shared" si="44"/>
        <v>6477.6426124221343</v>
      </c>
      <c r="S165" s="109">
        <f t="shared" si="44"/>
        <v>6628.7820011881213</v>
      </c>
      <c r="T165" s="109">
        <f t="shared" si="44"/>
        <v>6764.8658311383651</v>
      </c>
      <c r="U165" s="115">
        <f t="shared" si="44"/>
        <v>6885.4687523683961</v>
      </c>
    </row>
    <row r="166" spans="2:21">
      <c r="D166" s="53"/>
    </row>
    <row r="167" spans="2:21">
      <c r="B167" t="s">
        <v>304</v>
      </c>
      <c r="D167" s="190">
        <f>D63-D132-D168</f>
        <v>-146.2113385372329</v>
      </c>
      <c r="E167" s="190">
        <f t="shared" ref="E167:K167" si="45">E63-E132-E168</f>
        <v>-144.8534073247952</v>
      </c>
      <c r="F167" s="190">
        <f t="shared" si="45"/>
        <v>-143.75882243451284</v>
      </c>
      <c r="G167" s="190">
        <f t="shared" si="45"/>
        <v>-143.62994616195874</v>
      </c>
      <c r="H167" s="190">
        <f t="shared" si="45"/>
        <v>-144.36654415261827</v>
      </c>
      <c r="I167" s="190">
        <f t="shared" si="45"/>
        <v>-144.23491526205311</v>
      </c>
      <c r="J167" s="190">
        <f t="shared" si="45"/>
        <v>-143.02394501567156</v>
      </c>
      <c r="K167" s="190">
        <f t="shared" si="45"/>
        <v>-141.36922321253945</v>
      </c>
    </row>
    <row r="168" spans="2:21">
      <c r="B168" t="s">
        <v>305</v>
      </c>
      <c r="D168" s="190">
        <v>0</v>
      </c>
      <c r="E168" s="190">
        <v>-4.6449834208797194</v>
      </c>
      <c r="F168" s="190">
        <v>-7.3572015509137767</v>
      </c>
      <c r="G168" s="190">
        <v>-10.145219155864611</v>
      </c>
      <c r="H168" s="190">
        <v>-13.920101668788826</v>
      </c>
      <c r="I168" s="190">
        <v>-18.320253351036452</v>
      </c>
      <c r="J168" s="190">
        <v>-21.33499844862725</v>
      </c>
      <c r="K168" s="190">
        <v>-23.951399532911044</v>
      </c>
    </row>
    <row r="171" spans="2:21" ht="16.8">
      <c r="B171" t="s">
        <v>306</v>
      </c>
      <c r="D171" s="201">
        <v>12.577234273857108</v>
      </c>
      <c r="E171" s="201">
        <v>24.079618087744361</v>
      </c>
      <c r="F171" s="201">
        <v>67.51894883370673</v>
      </c>
      <c r="G171" s="201">
        <v>106.4475745022352</v>
      </c>
      <c r="H171" s="201">
        <v>55.417594420676267</v>
      </c>
      <c r="I171" s="201">
        <v>2.3025824270640456</v>
      </c>
      <c r="J171" s="201">
        <v>0</v>
      </c>
      <c r="K171" s="201">
        <v>0</v>
      </c>
    </row>
    <row r="172" spans="2:21" ht="16.8">
      <c r="B172" t="s">
        <v>307</v>
      </c>
      <c r="D172" s="201">
        <v>0.82105844574251929</v>
      </c>
      <c r="E172" s="201">
        <v>0</v>
      </c>
      <c r="F172" s="201">
        <v>0</v>
      </c>
      <c r="G172" s="201">
        <v>0</v>
      </c>
      <c r="H172" s="201">
        <v>0</v>
      </c>
      <c r="I172" s="201">
        <v>0</v>
      </c>
      <c r="J172" s="201">
        <v>0</v>
      </c>
      <c r="K172" s="201">
        <v>0</v>
      </c>
    </row>
    <row r="173" spans="2:21" ht="16.8">
      <c r="B173" t="s">
        <v>308</v>
      </c>
      <c r="D173" s="201">
        <v>0.7679065147103713</v>
      </c>
      <c r="E173" s="201">
        <v>1.9371656435515117</v>
      </c>
      <c r="F173" s="201">
        <v>1.9547226953643968</v>
      </c>
      <c r="G173" s="201">
        <v>1.9724388714470038</v>
      </c>
      <c r="H173" s="201">
        <v>13.932209297896886</v>
      </c>
      <c r="I173" s="201">
        <v>18.476860279771643</v>
      </c>
      <c r="J173" s="201">
        <v>0.81062265305823133</v>
      </c>
      <c r="K173" s="201">
        <v>0</v>
      </c>
    </row>
    <row r="174" spans="2:21">
      <c r="D174" s="173">
        <f>SUM(D171:D173)</f>
        <v>14.16619923431</v>
      </c>
      <c r="E174" s="173">
        <f t="shared" ref="E174:K174" si="46">SUM(E171:E173)</f>
        <v>26.016783731295874</v>
      </c>
      <c r="F174" s="173">
        <f t="shared" si="46"/>
        <v>69.473671529071126</v>
      </c>
      <c r="G174" s="173">
        <f t="shared" si="46"/>
        <v>108.4200133736822</v>
      </c>
      <c r="H174" s="173">
        <f t="shared" si="46"/>
        <v>69.349803718573156</v>
      </c>
      <c r="I174" s="173">
        <f t="shared" si="46"/>
        <v>20.779442706835688</v>
      </c>
      <c r="J174" s="173">
        <f t="shared" si="46"/>
        <v>0.81062265305823133</v>
      </c>
      <c r="K174" s="173">
        <f t="shared" si="46"/>
        <v>0</v>
      </c>
    </row>
    <row r="175" spans="2:21">
      <c r="D175" s="173"/>
      <c r="E175" s="173"/>
      <c r="F175" s="173"/>
      <c r="G175" s="173"/>
      <c r="H175" s="173"/>
      <c r="I175" s="173"/>
      <c r="J175" s="173"/>
      <c r="K175" s="173"/>
    </row>
    <row r="176" spans="2:21" s="195" customFormat="1">
      <c r="D176" s="202"/>
      <c r="E176" s="202"/>
      <c r="F176" s="202"/>
      <c r="G176" s="202"/>
      <c r="H176" s="202"/>
      <c r="I176" s="202"/>
      <c r="J176" s="202"/>
      <c r="K176" s="202"/>
    </row>
    <row r="177" spans="1:13">
      <c r="D177" s="173"/>
      <c r="E177" s="173"/>
      <c r="F177" s="173"/>
      <c r="G177" s="173"/>
      <c r="H177" s="173"/>
      <c r="I177" s="173"/>
      <c r="J177" s="173"/>
      <c r="K177" s="173"/>
    </row>
    <row r="178" spans="1:13" ht="16.8">
      <c r="A178" s="86">
        <v>1</v>
      </c>
      <c r="B178" s="75" t="s">
        <v>241</v>
      </c>
      <c r="D178" s="87">
        <f>D187</f>
        <v>25.132486790095008</v>
      </c>
      <c r="E178" s="88">
        <f t="shared" ref="E178:K178" si="47">E187</f>
        <v>29.404352437565585</v>
      </c>
      <c r="F178" s="88">
        <f t="shared" si="47"/>
        <v>28.318912342542578</v>
      </c>
      <c r="G178" s="88">
        <f t="shared" si="47"/>
        <v>28.668372505992771</v>
      </c>
      <c r="H178" s="88">
        <f t="shared" si="47"/>
        <v>27.411971530421514</v>
      </c>
      <c r="I178" s="88">
        <f t="shared" si="47"/>
        <v>25.265392341568841</v>
      </c>
      <c r="J178" s="88">
        <f t="shared" si="47"/>
        <v>25.396105065855693</v>
      </c>
      <c r="K178" s="89">
        <f t="shared" si="47"/>
        <v>24.829470975539607</v>
      </c>
    </row>
    <row r="179" spans="1:13" ht="16.8">
      <c r="A179" s="86">
        <f>+A178+1</f>
        <v>2</v>
      </c>
      <c r="B179" s="75" t="s">
        <v>242</v>
      </c>
      <c r="D179" s="87">
        <f t="shared" ref="D179:K180" si="48">D188</f>
        <v>42.066675750265979</v>
      </c>
      <c r="E179" s="88">
        <f t="shared" si="48"/>
        <v>49.216910764481433</v>
      </c>
      <c r="F179" s="88">
        <f t="shared" si="48"/>
        <v>47.400104616127415</v>
      </c>
      <c r="G179" s="88">
        <f t="shared" si="48"/>
        <v>47.985029916447793</v>
      </c>
      <c r="H179" s="88">
        <f t="shared" si="48"/>
        <v>45.882069994769701</v>
      </c>
      <c r="I179" s="88">
        <f t="shared" si="48"/>
        <v>42.289132635887952</v>
      </c>
      <c r="J179" s="88">
        <f t="shared" si="48"/>
        <v>42.507919174400172</v>
      </c>
      <c r="K179" s="89">
        <f t="shared" si="48"/>
        <v>41.559488852106398</v>
      </c>
    </row>
    <row r="180" spans="1:13" ht="16.8">
      <c r="A180" s="86">
        <f>+A179+1</f>
        <v>3</v>
      </c>
      <c r="B180" s="75" t="s">
        <v>243</v>
      </c>
      <c r="D180" s="87">
        <f t="shared" si="48"/>
        <v>67.199162540360987</v>
      </c>
      <c r="E180" s="88">
        <f t="shared" si="48"/>
        <v>78.621263202047018</v>
      </c>
      <c r="F180" s="88">
        <f t="shared" si="48"/>
        <v>75.719016958669997</v>
      </c>
      <c r="G180" s="88">
        <f t="shared" si="48"/>
        <v>76.653402422440564</v>
      </c>
      <c r="H180" s="88">
        <f t="shared" si="48"/>
        <v>73.294041525191219</v>
      </c>
      <c r="I180" s="88">
        <f t="shared" si="48"/>
        <v>67.554524977456794</v>
      </c>
      <c r="J180" s="88">
        <f t="shared" si="48"/>
        <v>67.904024240255865</v>
      </c>
      <c r="K180" s="89">
        <f t="shared" si="48"/>
        <v>66.388959827646005</v>
      </c>
    </row>
    <row r="183" spans="1:13" ht="13.8" thickBot="1"/>
    <row r="184" spans="1:13" ht="16.8">
      <c r="A184" s="68"/>
      <c r="B184" s="69" t="s">
        <v>237</v>
      </c>
      <c r="D184" s="70">
        <v>41729</v>
      </c>
      <c r="E184" s="71">
        <v>42094</v>
      </c>
      <c r="F184" s="71">
        <v>42460</v>
      </c>
      <c r="G184" s="71">
        <v>42825</v>
      </c>
      <c r="H184" s="71">
        <v>43190</v>
      </c>
      <c r="I184" s="71">
        <v>43555</v>
      </c>
      <c r="J184" s="71">
        <v>43921</v>
      </c>
      <c r="K184" s="72">
        <v>44286</v>
      </c>
      <c r="L184" s="180" t="s">
        <v>238</v>
      </c>
      <c r="M184" s="181" t="s">
        <v>310</v>
      </c>
    </row>
    <row r="185" spans="1:13" ht="16.8">
      <c r="A185" s="74"/>
      <c r="B185" s="75" t="s">
        <v>239</v>
      </c>
      <c r="D185" s="76" t="s">
        <v>240</v>
      </c>
      <c r="E185" s="77" t="s">
        <v>240</v>
      </c>
      <c r="F185" s="77" t="s">
        <v>240</v>
      </c>
      <c r="G185" s="77" t="s">
        <v>240</v>
      </c>
      <c r="H185" s="77" t="s">
        <v>240</v>
      </c>
      <c r="I185" s="77" t="s">
        <v>240</v>
      </c>
      <c r="J185" s="77" t="s">
        <v>240</v>
      </c>
      <c r="K185" s="78" t="s">
        <v>240</v>
      </c>
      <c r="L185" s="182" t="s">
        <v>240</v>
      </c>
      <c r="M185" s="79" t="s">
        <v>240</v>
      </c>
    </row>
    <row r="186" spans="1:13" ht="16.8">
      <c r="A186" s="80"/>
      <c r="B186" s="81" t="s">
        <v>207</v>
      </c>
      <c r="D186" s="82"/>
      <c r="E186" s="83"/>
      <c r="F186" s="83"/>
      <c r="G186" s="83"/>
      <c r="H186" s="83"/>
      <c r="I186" s="83"/>
      <c r="J186" s="83"/>
      <c r="K186" s="84"/>
      <c r="L186" s="183"/>
      <c r="M186" s="85"/>
    </row>
    <row r="187" spans="1:13" ht="16.8">
      <c r="A187" s="86">
        <v>1</v>
      </c>
      <c r="B187" s="75" t="s">
        <v>241</v>
      </c>
      <c r="D187" s="87">
        <v>25.132486790095008</v>
      </c>
      <c r="E187" s="88">
        <v>29.404352437565585</v>
      </c>
      <c r="F187" s="88">
        <v>28.318912342542578</v>
      </c>
      <c r="G187" s="88">
        <v>28.668372505992771</v>
      </c>
      <c r="H187" s="88">
        <v>27.411971530421514</v>
      </c>
      <c r="I187" s="88">
        <v>25.265392341568841</v>
      </c>
      <c r="J187" s="88">
        <v>25.396105065855693</v>
      </c>
      <c r="K187" s="89">
        <v>24.829470975539607</v>
      </c>
      <c r="L187" s="172">
        <v>214.4270639895816</v>
      </c>
      <c r="M187" s="90">
        <v>26.8033829986977</v>
      </c>
    </row>
    <row r="188" spans="1:13" ht="16.8">
      <c r="A188" s="86">
        <v>2</v>
      </c>
      <c r="B188" s="75" t="s">
        <v>242</v>
      </c>
      <c r="D188" s="87">
        <v>42.066675750265979</v>
      </c>
      <c r="E188" s="88">
        <v>49.216910764481433</v>
      </c>
      <c r="F188" s="88">
        <v>47.400104616127415</v>
      </c>
      <c r="G188" s="88">
        <v>47.985029916447793</v>
      </c>
      <c r="H188" s="88">
        <v>45.882069994769701</v>
      </c>
      <c r="I188" s="88">
        <v>42.289132635887952</v>
      </c>
      <c r="J188" s="88">
        <v>42.507919174400172</v>
      </c>
      <c r="K188" s="89">
        <v>41.559488852106398</v>
      </c>
      <c r="L188" s="172">
        <v>358.90733170448686</v>
      </c>
      <c r="M188" s="90">
        <v>44.863416463060858</v>
      </c>
    </row>
    <row r="189" spans="1:13" ht="16.8">
      <c r="A189" s="86">
        <v>3</v>
      </c>
      <c r="B189" s="75" t="s">
        <v>243</v>
      </c>
      <c r="D189" s="87">
        <v>67.199162540360987</v>
      </c>
      <c r="E189" s="88">
        <v>78.621263202047018</v>
      </c>
      <c r="F189" s="88">
        <v>75.719016958669997</v>
      </c>
      <c r="G189" s="88">
        <v>76.653402422440564</v>
      </c>
      <c r="H189" s="88">
        <v>73.294041525191219</v>
      </c>
      <c r="I189" s="88">
        <v>67.554524977456794</v>
      </c>
      <c r="J189" s="88">
        <v>67.904024240255865</v>
      </c>
      <c r="K189" s="89">
        <v>66.388959827646005</v>
      </c>
      <c r="L189" s="172">
        <v>573.33439569406858</v>
      </c>
      <c r="M189" s="90">
        <v>71.666799461758572</v>
      </c>
    </row>
    <row r="190" spans="1:13" ht="16.8">
      <c r="A190" s="80"/>
      <c r="B190" s="81" t="s">
        <v>244</v>
      </c>
      <c r="D190" s="82">
        <v>0</v>
      </c>
      <c r="E190" s="83">
        <v>0</v>
      </c>
      <c r="F190" s="83">
        <v>0</v>
      </c>
      <c r="G190" s="83">
        <v>0</v>
      </c>
      <c r="H190" s="83">
        <v>0</v>
      </c>
      <c r="I190" s="83">
        <v>0</v>
      </c>
      <c r="J190" s="83">
        <v>0</v>
      </c>
      <c r="K190" s="84">
        <v>0</v>
      </c>
      <c r="L190" s="183">
        <v>0</v>
      </c>
      <c r="M190" s="85">
        <v>0</v>
      </c>
    </row>
    <row r="191" spans="1:13" ht="16.8">
      <c r="A191" s="86">
        <v>4</v>
      </c>
      <c r="B191" s="75" t="s">
        <v>311</v>
      </c>
      <c r="D191" s="87">
        <v>53.000554975302876</v>
      </c>
      <c r="E191" s="88">
        <v>64.632952234572471</v>
      </c>
      <c r="F191" s="88">
        <v>80.324065645564858</v>
      </c>
      <c r="G191" s="88">
        <v>92.298002418477893</v>
      </c>
      <c r="H191" s="88">
        <v>101.6625071006498</v>
      </c>
      <c r="I191" s="88">
        <v>107.12198616353719</v>
      </c>
      <c r="J191" s="88">
        <v>107.83377600746921</v>
      </c>
      <c r="K191" s="89">
        <v>106.72018726276471</v>
      </c>
      <c r="L191" s="172">
        <v>0</v>
      </c>
      <c r="M191" s="90">
        <v>89.199253976042385</v>
      </c>
    </row>
    <row r="192" spans="1:13" ht="16.8">
      <c r="A192" s="86">
        <v>5</v>
      </c>
      <c r="B192" s="75" t="s">
        <v>246</v>
      </c>
      <c r="D192" s="87">
        <v>0</v>
      </c>
      <c r="E192" s="88">
        <v>0</v>
      </c>
      <c r="F192" s="88">
        <v>0</v>
      </c>
      <c r="G192" s="88">
        <v>0</v>
      </c>
      <c r="H192" s="88">
        <v>0</v>
      </c>
      <c r="I192" s="88">
        <v>0</v>
      </c>
      <c r="J192" s="88">
        <v>0</v>
      </c>
      <c r="K192" s="89">
        <v>0</v>
      </c>
      <c r="L192" s="172">
        <v>0</v>
      </c>
      <c r="M192" s="90">
        <v>0</v>
      </c>
    </row>
    <row r="193" spans="1:13" ht="16.8">
      <c r="A193" s="86">
        <v>6</v>
      </c>
      <c r="B193" s="75" t="s">
        <v>247</v>
      </c>
      <c r="D193" s="87">
        <v>53.000554975302876</v>
      </c>
      <c r="E193" s="88">
        <v>64.632952234572471</v>
      </c>
      <c r="F193" s="88">
        <v>80.324065645564858</v>
      </c>
      <c r="G193" s="88">
        <v>92.298002418477893</v>
      </c>
      <c r="H193" s="88">
        <v>101.6625071006498</v>
      </c>
      <c r="I193" s="88">
        <v>107.12198616353719</v>
      </c>
      <c r="J193" s="88">
        <v>107.83377600746921</v>
      </c>
      <c r="K193" s="89">
        <v>106.72018726276471</v>
      </c>
      <c r="L193" s="172">
        <v>0</v>
      </c>
      <c r="M193" s="90">
        <v>89.199253976042385</v>
      </c>
    </row>
    <row r="194" spans="1:13" ht="16.8">
      <c r="A194" s="86">
        <v>7</v>
      </c>
      <c r="B194" s="75" t="s">
        <v>248</v>
      </c>
      <c r="D194" s="87">
        <v>22.17743175011244</v>
      </c>
      <c r="E194" s="88">
        <v>29.404352437565585</v>
      </c>
      <c r="F194" s="88">
        <v>28.318912342542578</v>
      </c>
      <c r="G194" s="88">
        <v>28.668372505992771</v>
      </c>
      <c r="H194" s="88">
        <v>27.411971530421514</v>
      </c>
      <c r="I194" s="88">
        <v>25.265392341568841</v>
      </c>
      <c r="J194" s="88">
        <v>25.396105065855693</v>
      </c>
      <c r="K194" s="89">
        <v>24.829470975539607</v>
      </c>
      <c r="L194" s="172">
        <v>211.472008949599</v>
      </c>
      <c r="M194" s="90">
        <v>26.434001118699875</v>
      </c>
    </row>
    <row r="195" spans="1:13" ht="16.8">
      <c r="A195" s="86">
        <v>8</v>
      </c>
      <c r="B195" s="75" t="s">
        <v>249</v>
      </c>
      <c r="D195" s="87">
        <v>-10.545034490842841</v>
      </c>
      <c r="E195" s="88">
        <v>-13.71323902657319</v>
      </c>
      <c r="F195" s="88">
        <v>-16.34497556962954</v>
      </c>
      <c r="G195" s="88">
        <v>-19.303867823820873</v>
      </c>
      <c r="H195" s="88">
        <v>-21.952492467534128</v>
      </c>
      <c r="I195" s="88">
        <v>-24.55360249763682</v>
      </c>
      <c r="J195" s="88">
        <v>-26.509693810560208</v>
      </c>
      <c r="K195" s="89">
        <v>-26.663219710579916</v>
      </c>
      <c r="L195" s="172">
        <v>-159.58612539717748</v>
      </c>
      <c r="M195" s="90">
        <v>-19.948265674647185</v>
      </c>
    </row>
    <row r="196" spans="1:13" ht="16.8">
      <c r="A196" s="86">
        <v>9</v>
      </c>
      <c r="B196" s="75" t="s">
        <v>250</v>
      </c>
      <c r="D196" s="87">
        <v>64.632952234572471</v>
      </c>
      <c r="E196" s="88">
        <v>80.324065645564858</v>
      </c>
      <c r="F196" s="88">
        <v>92.298002418477893</v>
      </c>
      <c r="G196" s="88">
        <v>101.6625071006498</v>
      </c>
      <c r="H196" s="88">
        <v>107.12198616353719</v>
      </c>
      <c r="I196" s="88">
        <v>107.83377600746921</v>
      </c>
      <c r="J196" s="88">
        <v>106.72018726276471</v>
      </c>
      <c r="K196" s="186">
        <v>104.88643852772441</v>
      </c>
      <c r="L196" s="172">
        <v>0</v>
      </c>
      <c r="M196" s="90">
        <v>95.684989420095079</v>
      </c>
    </row>
    <row r="197" spans="1:13" ht="16.8">
      <c r="A197" s="80"/>
      <c r="B197" s="81" t="s">
        <v>251</v>
      </c>
      <c r="D197" s="91">
        <v>0</v>
      </c>
      <c r="E197" s="92">
        <v>0</v>
      </c>
      <c r="F197" s="92">
        <v>0</v>
      </c>
      <c r="G197" s="92">
        <v>0</v>
      </c>
      <c r="H197" s="92">
        <v>0</v>
      </c>
      <c r="I197" s="92">
        <v>0</v>
      </c>
      <c r="J197" s="92">
        <v>0</v>
      </c>
      <c r="K197" s="93">
        <v>0</v>
      </c>
      <c r="L197" s="184">
        <v>0</v>
      </c>
      <c r="M197" s="94">
        <v>0</v>
      </c>
    </row>
    <row r="198" spans="1:13" ht="16.8">
      <c r="A198" s="86">
        <v>10</v>
      </c>
      <c r="B198" s="75" t="s">
        <v>252</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72">
        <v>370.04250117772312</v>
      </c>
      <c r="M198" s="90">
        <v>46.255312647215391</v>
      </c>
    </row>
    <row r="199" spans="1:13" ht="16.8">
      <c r="A199" s="86">
        <v>11</v>
      </c>
      <c r="B199" s="75" t="s">
        <v>253</v>
      </c>
      <c r="D199" s="87">
        <v>0</v>
      </c>
      <c r="E199" s="88">
        <v>0</v>
      </c>
      <c r="F199" s="88">
        <v>0</v>
      </c>
      <c r="G199" s="88">
        <v>0</v>
      </c>
      <c r="H199" s="88">
        <v>0</v>
      </c>
      <c r="I199" s="88">
        <v>0</v>
      </c>
      <c r="J199" s="88">
        <v>0</v>
      </c>
      <c r="K199" s="89">
        <v>0</v>
      </c>
      <c r="L199" s="172">
        <v>0</v>
      </c>
      <c r="M199" s="90">
        <v>0</v>
      </c>
    </row>
    <row r="200" spans="1:13" ht="16.8">
      <c r="A200" s="86">
        <v>12</v>
      </c>
      <c r="B200" s="75" t="s">
        <v>254</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72">
        <v>169.19382162404565</v>
      </c>
      <c r="M200" s="90">
        <v>21.149227703005707</v>
      </c>
    </row>
    <row r="201" spans="1:13" ht="16.8">
      <c r="A201" s="86">
        <v>13</v>
      </c>
      <c r="B201" s="75" t="s">
        <v>255</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72">
        <v>33.298970715591416</v>
      </c>
      <c r="M201" s="90">
        <v>4.162371339448927</v>
      </c>
    </row>
    <row r="202" spans="1:13" ht="16.8">
      <c r="A202" s="86">
        <v>14</v>
      </c>
      <c r="B202" s="75" t="s">
        <v>256</v>
      </c>
      <c r="D202" s="87">
        <v>0</v>
      </c>
      <c r="E202" s="88">
        <v>0</v>
      </c>
      <c r="F202" s="88">
        <v>0</v>
      </c>
      <c r="G202" s="88">
        <v>0</v>
      </c>
      <c r="H202" s="88">
        <v>0</v>
      </c>
      <c r="I202" s="88">
        <v>0</v>
      </c>
      <c r="J202" s="88">
        <v>0</v>
      </c>
      <c r="K202" s="89">
        <v>0</v>
      </c>
      <c r="L202" s="172">
        <v>0</v>
      </c>
      <c r="M202" s="90">
        <v>0</v>
      </c>
    </row>
    <row r="203" spans="1:13" ht="16.8">
      <c r="A203" s="86">
        <v>15</v>
      </c>
      <c r="B203" s="75" t="s">
        <v>257</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72">
        <v>-2.7598268924942051</v>
      </c>
      <c r="M203" s="90">
        <v>-0.34497836156177564</v>
      </c>
    </row>
    <row r="204" spans="1:13" ht="16.8">
      <c r="A204" s="86">
        <v>16</v>
      </c>
      <c r="B204" s="75" t="s">
        <v>258</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72">
        <v>0.25852794282552904</v>
      </c>
      <c r="M204" s="90">
        <v>3.2315992853191131E-2</v>
      </c>
    </row>
    <row r="205" spans="1:13" ht="16.8">
      <c r="A205" s="86">
        <v>17</v>
      </c>
      <c r="B205" s="75" t="s">
        <v>259</v>
      </c>
      <c r="D205" s="87">
        <v>0.8125503950547055</v>
      </c>
      <c r="E205" s="88">
        <v>0</v>
      </c>
      <c r="F205" s="88">
        <v>0</v>
      </c>
      <c r="G205" s="88">
        <v>0</v>
      </c>
      <c r="H205" s="88">
        <v>0</v>
      </c>
      <c r="I205" s="88">
        <v>0</v>
      </c>
      <c r="J205" s="88">
        <v>0</v>
      </c>
      <c r="K205" s="89">
        <v>0</v>
      </c>
      <c r="L205" s="172">
        <v>0.8125503950547055</v>
      </c>
      <c r="M205" s="90">
        <v>0.10156879938183819</v>
      </c>
    </row>
    <row r="206" spans="1:13" ht="16.8">
      <c r="A206" s="80"/>
      <c r="B206" s="81" t="s">
        <v>260</v>
      </c>
      <c r="D206" s="91">
        <v>0</v>
      </c>
      <c r="E206" s="92">
        <v>0</v>
      </c>
      <c r="F206" s="92">
        <v>0</v>
      </c>
      <c r="G206" s="92">
        <v>0</v>
      </c>
      <c r="H206" s="92">
        <v>0</v>
      </c>
      <c r="I206" s="92">
        <v>0</v>
      </c>
      <c r="J206" s="92">
        <v>0</v>
      </c>
      <c r="K206" s="93">
        <v>0</v>
      </c>
      <c r="L206" s="184">
        <v>0</v>
      </c>
      <c r="M206" s="94">
        <v>0</v>
      </c>
    </row>
    <row r="207" spans="1:13" ht="16.8">
      <c r="A207" s="86">
        <v>18</v>
      </c>
      <c r="B207" s="75" t="s">
        <v>252</v>
      </c>
      <c r="D207" s="87">
        <v>42.066675750265979</v>
      </c>
      <c r="E207" s="88">
        <v>49.216910764481433</v>
      </c>
      <c r="F207" s="88">
        <v>47.400104616127415</v>
      </c>
      <c r="G207" s="88">
        <v>47.985029916447793</v>
      </c>
      <c r="H207" s="88">
        <v>45.882069994769701</v>
      </c>
      <c r="I207" s="88">
        <v>42.289132635887952</v>
      </c>
      <c r="J207" s="88">
        <v>42.507919174400172</v>
      </c>
      <c r="K207" s="89">
        <v>41.559488852106398</v>
      </c>
      <c r="L207" s="172">
        <v>358.90733170448686</v>
      </c>
      <c r="M207" s="90">
        <v>44.863416463060858</v>
      </c>
    </row>
    <row r="208" spans="1:13" ht="16.8">
      <c r="A208" s="86">
        <v>19</v>
      </c>
      <c r="B208" s="75" t="s">
        <v>253</v>
      </c>
      <c r="D208" s="87">
        <v>0</v>
      </c>
      <c r="E208" s="88">
        <v>0</v>
      </c>
      <c r="F208" s="88">
        <v>0</v>
      </c>
      <c r="G208" s="88">
        <v>0</v>
      </c>
      <c r="H208" s="88">
        <v>0</v>
      </c>
      <c r="I208" s="88">
        <v>0</v>
      </c>
      <c r="J208" s="88">
        <v>0</v>
      </c>
      <c r="K208" s="89">
        <v>0</v>
      </c>
      <c r="L208" s="172">
        <v>0</v>
      </c>
      <c r="M208" s="90">
        <v>0</v>
      </c>
    </row>
    <row r="209" spans="1:13" ht="16.8">
      <c r="A209" s="86">
        <v>20</v>
      </c>
      <c r="B209" s="75" t="s">
        <v>254</v>
      </c>
      <c r="D209" s="87">
        <v>10.545034490842841</v>
      </c>
      <c r="E209" s="88">
        <v>13.71323902657319</v>
      </c>
      <c r="F209" s="88">
        <v>16.34497556962954</v>
      </c>
      <c r="G209" s="88">
        <v>19.303867823820873</v>
      </c>
      <c r="H209" s="88">
        <v>21.952492467534128</v>
      </c>
      <c r="I209" s="88">
        <v>24.55360249763682</v>
      </c>
      <c r="J209" s="88">
        <v>26.509693810560208</v>
      </c>
      <c r="K209" s="89">
        <v>26.663219710579916</v>
      </c>
      <c r="L209" s="172">
        <v>159.58612539717748</v>
      </c>
      <c r="M209" s="90">
        <v>19.948265674647185</v>
      </c>
    </row>
    <row r="210" spans="1:13" ht="16.8">
      <c r="A210" s="86">
        <v>21</v>
      </c>
      <c r="B210" s="75" t="s">
        <v>255</v>
      </c>
      <c r="D210" s="87">
        <v>2.5139699713482448</v>
      </c>
      <c r="E210" s="88">
        <v>3.0107513332755551</v>
      </c>
      <c r="F210" s="88">
        <v>3.500425469669179</v>
      </c>
      <c r="G210" s="88">
        <v>3.9348114565279255</v>
      </c>
      <c r="H210" s="88">
        <v>4.2374452213178548</v>
      </c>
      <c r="I210" s="88">
        <v>4.364719418483233</v>
      </c>
      <c r="J210" s="88">
        <v>4.3573126602661372</v>
      </c>
      <c r="K210" s="89">
        <v>4.2977592052384308</v>
      </c>
      <c r="L210" s="172">
        <v>30.217194736126562</v>
      </c>
      <c r="M210" s="90">
        <v>3.7771493420158202</v>
      </c>
    </row>
    <row r="211" spans="1:13" ht="16.8">
      <c r="A211" s="86">
        <v>22</v>
      </c>
      <c r="B211" s="75" t="s">
        <v>256</v>
      </c>
      <c r="D211" s="87">
        <v>0</v>
      </c>
      <c r="E211" s="88">
        <v>0</v>
      </c>
      <c r="F211" s="88">
        <v>0</v>
      </c>
      <c r="G211" s="88">
        <v>0</v>
      </c>
      <c r="H211" s="88">
        <v>0</v>
      </c>
      <c r="I211" s="88">
        <v>0</v>
      </c>
      <c r="J211" s="88">
        <v>0</v>
      </c>
      <c r="K211" s="89">
        <v>0</v>
      </c>
      <c r="L211" s="172">
        <v>0</v>
      </c>
      <c r="M211" s="90">
        <v>0</v>
      </c>
    </row>
    <row r="212" spans="1:13" ht="16.8">
      <c r="A212" s="86">
        <v>23</v>
      </c>
      <c r="B212" s="75" t="s">
        <v>257</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72">
        <v>-2.7598268924942051</v>
      </c>
      <c r="M212" s="90">
        <v>-0.34497836156177564</v>
      </c>
    </row>
    <row r="213" spans="1:13" ht="16.8">
      <c r="A213" s="86">
        <v>24</v>
      </c>
      <c r="B213" s="75" t="s">
        <v>258</v>
      </c>
      <c r="D213" s="87">
        <v>8.3082796001737652E-2</v>
      </c>
      <c r="E213" s="88">
        <v>7.976923323919452E-2</v>
      </c>
      <c r="F213" s="88">
        <v>0.75266180631023005</v>
      </c>
      <c r="G213" s="88">
        <v>0.74915421413942451</v>
      </c>
      <c r="H213" s="88">
        <v>0.74550127611804118</v>
      </c>
      <c r="I213" s="88">
        <v>0.74169696947739683</v>
      </c>
      <c r="J213" s="88">
        <v>0.73773502188033069</v>
      </c>
      <c r="K213" s="89">
        <v>0.73360890107971122</v>
      </c>
      <c r="L213" s="172">
        <v>4.6232102182460668</v>
      </c>
      <c r="M213" s="90">
        <v>0.57790127728075835</v>
      </c>
    </row>
    <row r="214" spans="1:13" ht="16.8">
      <c r="A214" s="86">
        <v>25</v>
      </c>
      <c r="B214" s="75" t="s">
        <v>259</v>
      </c>
      <c r="D214" s="87">
        <v>1.2952860680069529</v>
      </c>
      <c r="E214" s="88">
        <v>0.25832317080146983</v>
      </c>
      <c r="F214" s="88">
        <v>0</v>
      </c>
      <c r="G214" s="88">
        <v>0</v>
      </c>
      <c r="H214" s="88">
        <v>0</v>
      </c>
      <c r="I214" s="88">
        <v>0</v>
      </c>
      <c r="J214" s="88">
        <v>0</v>
      </c>
      <c r="K214" s="89">
        <v>0.42538833372651164</v>
      </c>
      <c r="L214" s="172">
        <v>1.9789975725349342</v>
      </c>
      <c r="M214" s="90">
        <v>0.24737469656686678</v>
      </c>
    </row>
    <row r="215" spans="1:13" ht="16.8">
      <c r="A215" s="80"/>
      <c r="B215" s="81" t="s">
        <v>261</v>
      </c>
      <c r="D215" s="91">
        <v>0</v>
      </c>
      <c r="E215" s="92">
        <v>0</v>
      </c>
      <c r="F215" s="92">
        <v>0</v>
      </c>
      <c r="G215" s="92">
        <v>0</v>
      </c>
      <c r="H215" s="92">
        <v>0</v>
      </c>
      <c r="I215" s="92">
        <v>0</v>
      </c>
      <c r="J215" s="92">
        <v>0</v>
      </c>
      <c r="K215" s="93">
        <v>0</v>
      </c>
      <c r="L215" s="91">
        <v>0</v>
      </c>
      <c r="M215" s="184">
        <v>0</v>
      </c>
    </row>
    <row r="216" spans="1:13" ht="16.8">
      <c r="A216" s="86">
        <v>26</v>
      </c>
      <c r="B216" s="75" t="s">
        <v>262</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72">
        <v>570.84654496274629</v>
      </c>
      <c r="M216" s="90">
        <v>71.355818120343287</v>
      </c>
    </row>
    <row r="217" spans="1:13" ht="16.8">
      <c r="A217" s="86">
        <v>27</v>
      </c>
      <c r="B217" s="75" t="s">
        <v>312</v>
      </c>
      <c r="D217" s="87">
        <v>0</v>
      </c>
      <c r="E217" s="88">
        <v>-0.74723548170331355</v>
      </c>
      <c r="F217" s="88">
        <v>-13.787280588025247</v>
      </c>
      <c r="G217" s="88">
        <v>0</v>
      </c>
      <c r="H217" s="88">
        <v>0</v>
      </c>
      <c r="I217" s="88">
        <v>0</v>
      </c>
      <c r="J217" s="88">
        <v>0</v>
      </c>
      <c r="K217" s="88">
        <v>0</v>
      </c>
      <c r="L217" s="172">
        <v>-14.534516069728561</v>
      </c>
      <c r="M217" s="90">
        <v>-1.8168145087160701</v>
      </c>
    </row>
    <row r="218" spans="1:13" ht="16.8">
      <c r="A218" s="86">
        <v>28</v>
      </c>
      <c r="B218" s="75" t="s">
        <v>264</v>
      </c>
      <c r="D218" s="96">
        <v>66.893712056086201</v>
      </c>
      <c r="E218" s="88">
        <v>66.68195609549845</v>
      </c>
      <c r="F218" s="88">
        <v>55.039338409943433</v>
      </c>
      <c r="G218" s="88">
        <v>72.79260504510404</v>
      </c>
      <c r="H218" s="88">
        <v>73.599926978535336</v>
      </c>
      <c r="I218" s="88">
        <v>72.682590016069625</v>
      </c>
      <c r="J218" s="88">
        <v>74.76721766777959</v>
      </c>
      <c r="K218" s="88">
        <v>73.854682624001015</v>
      </c>
      <c r="L218" s="172">
        <v>556.31202889301778</v>
      </c>
      <c r="M218" s="90">
        <v>69.539003611627223</v>
      </c>
    </row>
    <row r="219" spans="1:13" ht="16.8">
      <c r="A219" s="86">
        <v>29</v>
      </c>
      <c r="B219" s="75" t="s">
        <v>265</v>
      </c>
      <c r="D219" s="96">
        <v>0</v>
      </c>
      <c r="E219" s="88">
        <v>0</v>
      </c>
      <c r="F219" s="88">
        <v>0</v>
      </c>
      <c r="G219" s="88">
        <v>0</v>
      </c>
      <c r="H219" s="88">
        <v>0</v>
      </c>
      <c r="I219" s="88">
        <v>0</v>
      </c>
      <c r="J219" s="88">
        <v>0</v>
      </c>
      <c r="K219" s="88">
        <v>0</v>
      </c>
      <c r="L219" s="172">
        <v>0</v>
      </c>
      <c r="M219" s="90">
        <v>0</v>
      </c>
    </row>
    <row r="220" spans="1:13" ht="16.8">
      <c r="A220" s="86">
        <v>30</v>
      </c>
      <c r="B220" s="75" t="s">
        <v>277</v>
      </c>
      <c r="D220" s="96">
        <v>94.224999999999994</v>
      </c>
      <c r="E220" s="88">
        <v>87.484999999999999</v>
      </c>
      <c r="F220" s="88">
        <v>79.322999999999993</v>
      </c>
      <c r="G220" s="88">
        <v>58.722999999999999</v>
      </c>
      <c r="H220" s="88">
        <v>3.3000000000000002E-2</v>
      </c>
      <c r="I220" s="88">
        <v>3.3000000000000002E-2</v>
      </c>
      <c r="J220" s="88">
        <v>0</v>
      </c>
      <c r="K220" s="88">
        <v>0</v>
      </c>
      <c r="L220" s="172">
        <v>319.822</v>
      </c>
      <c r="M220" s="90">
        <v>39.97775</v>
      </c>
    </row>
    <row r="221" spans="1:13" ht="16.8">
      <c r="A221" s="86">
        <v>31</v>
      </c>
      <c r="B221" s="75" t="s">
        <v>266</v>
      </c>
      <c r="D221" s="96">
        <v>0</v>
      </c>
      <c r="E221" s="88">
        <v>0</v>
      </c>
      <c r="F221" s="88">
        <v>0</v>
      </c>
      <c r="G221" s="88">
        <v>0</v>
      </c>
      <c r="H221" s="88">
        <v>0</v>
      </c>
      <c r="I221" s="88">
        <v>0</v>
      </c>
      <c r="J221" s="88">
        <v>0</v>
      </c>
      <c r="K221" s="88">
        <v>0</v>
      </c>
      <c r="L221" s="172">
        <v>0</v>
      </c>
      <c r="M221" s="90">
        <v>0</v>
      </c>
    </row>
    <row r="222" spans="1:13" ht="16.8">
      <c r="A222" s="86">
        <v>32</v>
      </c>
      <c r="B222" s="75" t="s">
        <v>267</v>
      </c>
      <c r="D222" s="96">
        <v>161.1187120560862</v>
      </c>
      <c r="E222" s="88">
        <v>154.16695609549845</v>
      </c>
      <c r="F222" s="88">
        <v>134.36233840994342</v>
      </c>
      <c r="G222" s="88">
        <v>131.51560504510405</v>
      </c>
      <c r="H222" s="88">
        <v>73.632926978535338</v>
      </c>
      <c r="I222" s="88">
        <v>72.715590016069626</v>
      </c>
      <c r="J222" s="88">
        <v>74.76721766777959</v>
      </c>
      <c r="K222" s="88">
        <v>73.854682624001015</v>
      </c>
      <c r="L222" s="172">
        <v>876.13402889301778</v>
      </c>
      <c r="M222" s="90">
        <v>109.51675361162722</v>
      </c>
    </row>
    <row r="223" spans="1:13" ht="16.8">
      <c r="A223" s="80"/>
      <c r="B223" s="81" t="s">
        <v>268</v>
      </c>
      <c r="D223" s="91">
        <v>0</v>
      </c>
      <c r="E223" s="92">
        <v>0</v>
      </c>
      <c r="F223" s="92">
        <v>0</v>
      </c>
      <c r="G223" s="92">
        <v>0</v>
      </c>
      <c r="H223" s="92">
        <v>0</v>
      </c>
      <c r="I223" s="92">
        <v>0</v>
      </c>
      <c r="J223" s="92">
        <v>0</v>
      </c>
      <c r="K223" s="93">
        <v>0</v>
      </c>
      <c r="L223" s="91">
        <v>0</v>
      </c>
      <c r="M223" s="184">
        <v>0</v>
      </c>
    </row>
    <row r="224" spans="1:13" ht="16.8">
      <c r="A224" s="86">
        <v>33</v>
      </c>
      <c r="B224" s="75" t="s">
        <v>268</v>
      </c>
      <c r="D224" s="87">
        <v>56.072237526593305</v>
      </c>
      <c r="E224" s="88">
        <v>65.879521568407782</v>
      </c>
      <c r="F224" s="88">
        <v>67.650824291300381</v>
      </c>
      <c r="G224" s="88">
        <v>71.653542758445468</v>
      </c>
      <c r="H224" s="88">
        <v>72.504852690916707</v>
      </c>
      <c r="I224" s="88">
        <v>71.641157721995995</v>
      </c>
      <c r="J224" s="88">
        <v>73.786951437896022</v>
      </c>
      <c r="K224" s="89">
        <v>73.363944740522044</v>
      </c>
      <c r="L224" s="172">
        <v>552.55303273607774</v>
      </c>
      <c r="M224" s="90">
        <v>69.069129092009717</v>
      </c>
    </row>
    <row r="225" spans="1:13" ht="16.8">
      <c r="A225" s="86">
        <v>34</v>
      </c>
      <c r="B225" s="75" t="s">
        <v>269</v>
      </c>
      <c r="D225" s="87">
        <v>66.796735883512227</v>
      </c>
      <c r="E225" s="88">
        <v>66.783174975622529</v>
      </c>
      <c r="F225" s="88">
        <v>68.182623498776877</v>
      </c>
      <c r="G225" s="88">
        <v>72.15443075945754</v>
      </c>
      <c r="H225" s="88">
        <v>72.971424921021438</v>
      </c>
      <c r="I225" s="88">
        <v>72.068903992562696</v>
      </c>
      <c r="J225" s="88">
        <v>74.172338586378103</v>
      </c>
      <c r="K225" s="89">
        <v>73.280139063951196</v>
      </c>
      <c r="L225" s="172">
        <v>566.40977168128256</v>
      </c>
      <c r="M225" s="90">
        <v>70.80122146016032</v>
      </c>
    </row>
    <row r="226" spans="1:13" ht="16.8">
      <c r="A226" s="80"/>
      <c r="B226" s="81" t="s">
        <v>270</v>
      </c>
      <c r="D226" s="91">
        <v>0</v>
      </c>
      <c r="E226" s="92">
        <v>0</v>
      </c>
      <c r="F226" s="92">
        <v>0</v>
      </c>
      <c r="G226" s="92">
        <v>0</v>
      </c>
      <c r="H226" s="92">
        <v>0</v>
      </c>
      <c r="I226" s="92">
        <v>0</v>
      </c>
      <c r="J226" s="92">
        <v>0</v>
      </c>
      <c r="K226" s="93">
        <v>0</v>
      </c>
      <c r="L226" s="91">
        <v>0</v>
      </c>
      <c r="M226" s="184">
        <v>0</v>
      </c>
    </row>
    <row r="227" spans="1:13" ht="16.8">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72">
        <v>570.84654496274629</v>
      </c>
      <c r="M227" s="90">
        <v>71.355818120343287</v>
      </c>
    </row>
    <row r="228" spans="1:13" ht="16.8">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72">
        <v>566.40977168128256</v>
      </c>
      <c r="M228" s="90">
        <v>70.80122146016032</v>
      </c>
    </row>
    <row r="229" spans="1:13" ht="16.8">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72">
        <v>552.55303273607774</v>
      </c>
      <c r="M229" s="90">
        <v>69.069129092009717</v>
      </c>
    </row>
    <row r="230" spans="1:13" ht="16.8">
      <c r="A230" s="86">
        <v>38</v>
      </c>
      <c r="B230" s="98">
        <v>42825</v>
      </c>
      <c r="D230" s="96">
        <v>0</v>
      </c>
      <c r="E230" s="88">
        <v>0</v>
      </c>
      <c r="F230" s="88">
        <v>0</v>
      </c>
      <c r="G230" s="88">
        <v>0</v>
      </c>
      <c r="H230" s="88">
        <v>0</v>
      </c>
      <c r="I230" s="88">
        <v>0</v>
      </c>
      <c r="J230" s="88">
        <v>0</v>
      </c>
      <c r="K230" s="88">
        <v>0</v>
      </c>
      <c r="L230" s="172">
        <v>0</v>
      </c>
      <c r="M230" s="90">
        <v>0</v>
      </c>
    </row>
    <row r="231" spans="1:13" ht="16.8">
      <c r="A231" s="86">
        <v>39</v>
      </c>
      <c r="B231" s="98">
        <v>43190</v>
      </c>
      <c r="D231" s="96">
        <v>0</v>
      </c>
      <c r="E231" s="88">
        <v>0</v>
      </c>
      <c r="F231" s="88">
        <v>0</v>
      </c>
      <c r="G231" s="88">
        <v>0</v>
      </c>
      <c r="H231" s="88">
        <v>0</v>
      </c>
      <c r="I231" s="88">
        <v>0</v>
      </c>
      <c r="J231" s="88">
        <v>0</v>
      </c>
      <c r="K231" s="88">
        <v>0</v>
      </c>
      <c r="L231" s="172">
        <v>0</v>
      </c>
      <c r="M231" s="90">
        <v>0</v>
      </c>
    </row>
    <row r="232" spans="1:13" ht="16.8">
      <c r="A232" s="86">
        <v>40</v>
      </c>
      <c r="B232" s="98">
        <v>43555</v>
      </c>
      <c r="D232" s="96">
        <v>0</v>
      </c>
      <c r="E232" s="88">
        <v>0</v>
      </c>
      <c r="F232" s="88">
        <v>0</v>
      </c>
      <c r="G232" s="88">
        <v>0</v>
      </c>
      <c r="H232" s="88">
        <v>0</v>
      </c>
      <c r="I232" s="88">
        <v>0</v>
      </c>
      <c r="J232" s="88">
        <v>0</v>
      </c>
      <c r="K232" s="88">
        <v>0</v>
      </c>
      <c r="L232" s="172">
        <v>0</v>
      </c>
      <c r="M232" s="90">
        <v>0</v>
      </c>
    </row>
    <row r="233" spans="1:13" ht="16.8">
      <c r="A233" s="86">
        <v>41</v>
      </c>
      <c r="B233" s="98">
        <v>43921</v>
      </c>
      <c r="D233" s="96">
        <v>0</v>
      </c>
      <c r="E233" s="88">
        <v>0</v>
      </c>
      <c r="F233" s="88">
        <v>0</v>
      </c>
      <c r="G233" s="88">
        <v>0</v>
      </c>
      <c r="H233" s="88">
        <v>0</v>
      </c>
      <c r="I233" s="88">
        <v>0</v>
      </c>
      <c r="J233" s="88">
        <v>0</v>
      </c>
      <c r="K233" s="88">
        <v>0</v>
      </c>
      <c r="L233" s="172">
        <v>0</v>
      </c>
      <c r="M233" s="90">
        <v>0</v>
      </c>
    </row>
    <row r="234" spans="1:13" ht="17.399999999999999" thickBot="1">
      <c r="A234" s="103">
        <v>42</v>
      </c>
      <c r="B234" s="211">
        <v>44286</v>
      </c>
      <c r="D234" s="214">
        <v>0</v>
      </c>
      <c r="E234" s="106">
        <v>0</v>
      </c>
      <c r="F234" s="106">
        <v>0</v>
      </c>
      <c r="G234" s="106">
        <v>0</v>
      </c>
      <c r="H234" s="106">
        <v>0</v>
      </c>
      <c r="I234" s="106">
        <v>0</v>
      </c>
      <c r="J234" s="106">
        <v>0</v>
      </c>
      <c r="K234" s="106">
        <v>0</v>
      </c>
      <c r="L234" s="215">
        <v>0</v>
      </c>
      <c r="M234" s="108">
        <v>0</v>
      </c>
    </row>
    <row r="235" spans="1:13" ht="16.8">
      <c r="A235" s="80"/>
      <c r="B235" s="81" t="s">
        <v>313</v>
      </c>
      <c r="D235" s="91">
        <v>0</v>
      </c>
      <c r="E235" s="92">
        <v>0</v>
      </c>
      <c r="F235" s="92">
        <v>0</v>
      </c>
      <c r="G235" s="92">
        <v>0</v>
      </c>
      <c r="H235" s="92">
        <v>0</v>
      </c>
      <c r="I235" s="97">
        <v>0</v>
      </c>
      <c r="J235" s="92">
        <v>0</v>
      </c>
      <c r="K235" s="93">
        <v>0</v>
      </c>
      <c r="L235" s="95">
        <v>0</v>
      </c>
      <c r="M235" s="184">
        <v>0</v>
      </c>
    </row>
    <row r="236" spans="1:13" ht="16.8">
      <c r="A236" s="86">
        <v>43</v>
      </c>
      <c r="B236" s="98">
        <v>41729</v>
      </c>
      <c r="D236" s="96">
        <v>0</v>
      </c>
      <c r="E236" s="88">
        <v>0</v>
      </c>
      <c r="F236" s="88">
        <v>0</v>
      </c>
      <c r="G236" s="88">
        <v>0</v>
      </c>
      <c r="H236" s="88">
        <v>0</v>
      </c>
      <c r="I236" s="88">
        <v>0</v>
      </c>
      <c r="J236" s="88">
        <v>0</v>
      </c>
      <c r="K236" s="89">
        <v>0</v>
      </c>
      <c r="L236" s="90">
        <v>0</v>
      </c>
      <c r="M236" s="90">
        <v>0</v>
      </c>
    </row>
    <row r="237" spans="1:13" ht="16.8">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8">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8">
      <c r="A239" s="86">
        <v>46</v>
      </c>
      <c r="B239" s="98">
        <v>42825</v>
      </c>
      <c r="D239" s="96">
        <v>0</v>
      </c>
      <c r="E239" s="88">
        <v>0</v>
      </c>
      <c r="F239" s="88">
        <v>0</v>
      </c>
      <c r="G239" s="88">
        <v>0</v>
      </c>
      <c r="H239" s="88">
        <v>0</v>
      </c>
      <c r="I239" s="88">
        <v>0</v>
      </c>
      <c r="J239" s="88">
        <v>0</v>
      </c>
      <c r="K239" s="89">
        <v>0</v>
      </c>
      <c r="L239" s="90">
        <v>0</v>
      </c>
      <c r="M239" s="90">
        <v>0</v>
      </c>
    </row>
    <row r="240" spans="1:13" ht="16.8">
      <c r="A240" s="86">
        <v>47</v>
      </c>
      <c r="B240" s="98">
        <v>43190</v>
      </c>
      <c r="D240" s="96">
        <v>0</v>
      </c>
      <c r="E240" s="88">
        <v>0</v>
      </c>
      <c r="F240" s="88">
        <v>0</v>
      </c>
      <c r="G240" s="88">
        <v>0</v>
      </c>
      <c r="H240" s="88">
        <v>0</v>
      </c>
      <c r="I240" s="88">
        <v>0</v>
      </c>
      <c r="J240" s="88">
        <v>0</v>
      </c>
      <c r="K240" s="89">
        <v>0</v>
      </c>
      <c r="L240" s="90">
        <v>0</v>
      </c>
      <c r="M240" s="90">
        <v>0</v>
      </c>
    </row>
    <row r="241" spans="1:13" ht="16.8">
      <c r="A241" s="86">
        <v>48</v>
      </c>
      <c r="B241" s="98">
        <v>43555</v>
      </c>
      <c r="D241" s="96">
        <v>0</v>
      </c>
      <c r="E241" s="88">
        <v>0</v>
      </c>
      <c r="F241" s="88">
        <v>0</v>
      </c>
      <c r="G241" s="88">
        <v>0</v>
      </c>
      <c r="H241" s="88">
        <v>0</v>
      </c>
      <c r="I241" s="88">
        <v>0</v>
      </c>
      <c r="J241" s="88">
        <v>0</v>
      </c>
      <c r="K241" s="89">
        <v>0</v>
      </c>
      <c r="L241" s="90">
        <v>0</v>
      </c>
      <c r="M241" s="90">
        <v>0</v>
      </c>
    </row>
    <row r="242" spans="1:13" ht="16.8">
      <c r="A242" s="86">
        <v>49</v>
      </c>
      <c r="B242" s="98">
        <v>43921</v>
      </c>
      <c r="D242" s="96">
        <v>0</v>
      </c>
      <c r="E242" s="88">
        <v>0</v>
      </c>
      <c r="F242" s="88">
        <v>0</v>
      </c>
      <c r="G242" s="88">
        <v>0</v>
      </c>
      <c r="H242" s="88">
        <v>0</v>
      </c>
      <c r="I242" s="88">
        <v>0</v>
      </c>
      <c r="J242" s="88">
        <v>0</v>
      </c>
      <c r="K242" s="89">
        <v>0</v>
      </c>
      <c r="L242" s="90">
        <v>0</v>
      </c>
      <c r="M242" s="90">
        <v>0</v>
      </c>
    </row>
    <row r="243" spans="1:13" ht="16.8">
      <c r="A243" s="86">
        <v>50</v>
      </c>
      <c r="B243" s="98">
        <v>44286</v>
      </c>
      <c r="D243" s="96">
        <v>0</v>
      </c>
      <c r="E243" s="88">
        <v>0</v>
      </c>
      <c r="F243" s="88">
        <v>0</v>
      </c>
      <c r="G243" s="88">
        <v>0</v>
      </c>
      <c r="H243" s="88">
        <v>0</v>
      </c>
      <c r="I243" s="88">
        <v>0</v>
      </c>
      <c r="J243" s="88">
        <v>0</v>
      </c>
      <c r="K243" s="89">
        <v>0</v>
      </c>
      <c r="L243" s="90">
        <v>0</v>
      </c>
      <c r="M243" s="90">
        <v>0</v>
      </c>
    </row>
    <row r="244" spans="1:13" ht="16.8">
      <c r="A244" s="80"/>
      <c r="B244" s="81" t="s">
        <v>314</v>
      </c>
      <c r="D244" s="91">
        <v>0</v>
      </c>
      <c r="E244" s="92">
        <v>0</v>
      </c>
      <c r="F244" s="92">
        <v>0</v>
      </c>
      <c r="G244" s="92">
        <v>0</v>
      </c>
      <c r="H244" s="92">
        <v>0</v>
      </c>
      <c r="I244" s="97">
        <v>0</v>
      </c>
      <c r="J244" s="92">
        <v>0</v>
      </c>
      <c r="K244" s="93">
        <v>0</v>
      </c>
      <c r="L244" s="91">
        <v>0</v>
      </c>
      <c r="M244" s="184">
        <v>0</v>
      </c>
    </row>
    <row r="245" spans="1:13" ht="16.8">
      <c r="A245" s="86">
        <v>51</v>
      </c>
      <c r="B245" s="75" t="s">
        <v>273</v>
      </c>
      <c r="D245" s="87">
        <v>57.462170773674174</v>
      </c>
      <c r="E245" s="88">
        <v>70.841207841777774</v>
      </c>
      <c r="F245" s="88">
        <v>84.474822797446251</v>
      </c>
      <c r="G245" s="88">
        <v>94.95774254064375</v>
      </c>
      <c r="H245" s="88">
        <v>102.26112147976723</v>
      </c>
      <c r="I245" s="88">
        <v>105.33259531784574</v>
      </c>
      <c r="J245" s="88">
        <v>105.15385002150558</v>
      </c>
      <c r="K245" s="89">
        <v>103.71666256985654</v>
      </c>
      <c r="L245" s="90">
        <v>724.20017334251713</v>
      </c>
      <c r="M245" s="90">
        <v>90.525021667814642</v>
      </c>
    </row>
    <row r="246" spans="1:13" ht="16.8">
      <c r="A246" s="86">
        <v>52</v>
      </c>
      <c r="B246" s="75" t="s">
        <v>26</v>
      </c>
      <c r="D246" s="216">
        <v>0.625</v>
      </c>
      <c r="E246" s="217">
        <v>0.625</v>
      </c>
      <c r="F246" s="217">
        <v>0.625</v>
      </c>
      <c r="G246" s="217">
        <v>0.625</v>
      </c>
      <c r="H246" s="217">
        <v>0.625</v>
      </c>
      <c r="I246" s="217">
        <v>0.625</v>
      </c>
      <c r="J246" s="217">
        <v>0.625</v>
      </c>
      <c r="K246" s="218">
        <v>0.625</v>
      </c>
      <c r="L246" s="219">
        <v>0.625</v>
      </c>
      <c r="M246" s="219">
        <v>0.625</v>
      </c>
    </row>
    <row r="247" spans="1:13" ht="16.8">
      <c r="A247" s="86">
        <v>53</v>
      </c>
      <c r="B247" s="75" t="s">
        <v>274</v>
      </c>
      <c r="D247" s="87">
        <v>21.548314040127813</v>
      </c>
      <c r="E247" s="88">
        <v>26.565452940666667</v>
      </c>
      <c r="F247" s="88">
        <v>31.678058549042344</v>
      </c>
      <c r="G247" s="88">
        <v>35.60915345274141</v>
      </c>
      <c r="H247" s="88">
        <v>38.347920554912712</v>
      </c>
      <c r="I247" s="88">
        <v>39.499723244192154</v>
      </c>
      <c r="J247" s="88">
        <v>39.432693758064588</v>
      </c>
      <c r="K247" s="89">
        <v>38.893748463696198</v>
      </c>
      <c r="L247" s="90">
        <v>271.57506500344391</v>
      </c>
      <c r="M247" s="90">
        <v>33.946883125430489</v>
      </c>
    </row>
    <row r="248" spans="1:13" ht="16.8">
      <c r="A248" s="86">
        <v>54</v>
      </c>
      <c r="B248" s="75" t="s">
        <v>275</v>
      </c>
      <c r="D248" s="87">
        <v>1.0486846166195538</v>
      </c>
      <c r="E248" s="88">
        <v>1.2043005333102221</v>
      </c>
      <c r="F248" s="88">
        <v>1.3463174883342994</v>
      </c>
      <c r="G248" s="88">
        <v>1.5133890217415096</v>
      </c>
      <c r="H248" s="88">
        <v>1.6297866235837901</v>
      </c>
      <c r="I248" s="88">
        <v>1.6787382378781663</v>
      </c>
      <c r="J248" s="88">
        <v>1.675889484717745</v>
      </c>
      <c r="K248" s="89">
        <v>1.6529843097070887</v>
      </c>
      <c r="L248" s="90">
        <v>11.750090315892374</v>
      </c>
      <c r="M248" s="90">
        <v>1.4687612894865467</v>
      </c>
    </row>
    <row r="249" spans="1:13" ht="17.399999999999999" thickBot="1">
      <c r="A249" s="103">
        <v>55</v>
      </c>
      <c r="B249" s="104" t="s">
        <v>276</v>
      </c>
      <c r="D249" s="105">
        <v>1.465285354728691</v>
      </c>
      <c r="E249" s="106">
        <v>1.806450799965333</v>
      </c>
      <c r="F249" s="106">
        <v>2.1541079813348798</v>
      </c>
      <c r="G249" s="106">
        <v>2.4214224347864159</v>
      </c>
      <c r="H249" s="106">
        <v>2.6076585977340647</v>
      </c>
      <c r="I249" s="106">
        <v>2.6859811806050669</v>
      </c>
      <c r="J249" s="106">
        <v>2.6814231755483924</v>
      </c>
      <c r="K249" s="107">
        <v>2.6447748955313424</v>
      </c>
      <c r="L249" s="108">
        <v>18.467104420234186</v>
      </c>
      <c r="M249" s="108">
        <v>2.3083880525292733</v>
      </c>
    </row>
    <row r="254" spans="1:13">
      <c r="B254" t="s">
        <v>315</v>
      </c>
      <c r="D254" s="173">
        <v>87.492150365450755</v>
      </c>
    </row>
    <row r="255" spans="1:13">
      <c r="B255" t="s">
        <v>316</v>
      </c>
      <c r="D255" s="173">
        <v>-2.9550550399825672</v>
      </c>
    </row>
  </sheetData>
  <pageMargins left="0.7" right="0.7" top="0.75" bottom="0.75" header="0.3" footer="0.3"/>
  <pageSetup paperSize="9" orientation="portrait"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41.109375" bestFit="1" customWidth="1"/>
    <col min="4" max="12" width="10.6640625" customWidth="1"/>
    <col min="14" max="14" width="7.5546875" customWidth="1"/>
  </cols>
  <sheetData>
    <row r="1" spans="1:11" ht="13.8" thickBot="1"/>
    <row r="2" spans="1:11" ht="63" thickBot="1">
      <c r="A2" s="38" t="s">
        <v>411</v>
      </c>
      <c r="C2" s="1" t="s">
        <v>384</v>
      </c>
      <c r="D2" s="2" t="s">
        <v>40</v>
      </c>
      <c r="E2" s="47" t="s">
        <v>41</v>
      </c>
      <c r="G2" s="112" t="s">
        <v>362</v>
      </c>
      <c r="H2" s="113" t="str">
        <f>RPI!$B$1</f>
        <v>Updated Oct 2019</v>
      </c>
      <c r="J2" s="224" t="s">
        <v>398</v>
      </c>
      <c r="K2">
        <f>1-0.4436</f>
        <v>0.55640000000000001</v>
      </c>
    </row>
    <row r="3" spans="1:11" ht="15.6" thickBot="1">
      <c r="C3" s="3" t="s">
        <v>42</v>
      </c>
      <c r="D3" s="62">
        <f>'GT workings 14-15'!V15/1000</f>
        <v>0.25229385799299364</v>
      </c>
      <c r="E3" s="63">
        <f>'GT workings 14-15'!L15/1000</f>
        <v>0.20357287402364305</v>
      </c>
    </row>
    <row r="4" spans="1:11" ht="15.6" thickBot="1">
      <c r="C4" s="3" t="s">
        <v>43</v>
      </c>
      <c r="D4" s="62">
        <f>'GT workings 14-15'!V16/1000</f>
        <v>1.1283043918706692</v>
      </c>
      <c r="E4" s="63">
        <f>'GT workings 14-15'!L16/1000</f>
        <v>0.89423407500752217</v>
      </c>
    </row>
    <row r="5" spans="1:11" ht="15.6" thickBot="1">
      <c r="C5" s="4" t="s">
        <v>44</v>
      </c>
      <c r="D5" s="64">
        <f>'GT workings 14-15'!V20/1000</f>
        <v>0</v>
      </c>
      <c r="E5" s="63">
        <f>'GT workings 14-15'!L20/1000</f>
        <v>0</v>
      </c>
    </row>
    <row r="6" spans="1:11" ht="15.6" thickBot="1">
      <c r="C6" s="3" t="s">
        <v>408</v>
      </c>
      <c r="D6" s="62">
        <f>'GT workings 14-15'!V21/1000</f>
        <v>0</v>
      </c>
      <c r="E6" s="63">
        <f>'GT workings 14-15'!L21/1000</f>
        <v>0</v>
      </c>
    </row>
    <row r="7" spans="1:11" ht="15.6" thickBot="1">
      <c r="C7" s="4" t="s">
        <v>46</v>
      </c>
      <c r="D7" s="64">
        <f>'GT workings 14-15'!V17/1000</f>
        <v>0.7704305528603258</v>
      </c>
      <c r="E7" s="63">
        <f>'GT workings 14-15'!L17/1000</f>
        <v>0.60703868961485508</v>
      </c>
    </row>
    <row r="8" spans="1:11" ht="16.2" thickBot="1">
      <c r="C8" s="6" t="s">
        <v>48</v>
      </c>
      <c r="D8" s="65">
        <f>SUM(D3:D7)</f>
        <v>2.1510288027239888</v>
      </c>
      <c r="E8" s="66">
        <f>SUM(E3:E7)</f>
        <v>1.7048456386460202</v>
      </c>
    </row>
    <row r="9" spans="1:11" ht="15.6" thickBot="1">
      <c r="C9" s="4" t="s">
        <v>52</v>
      </c>
      <c r="D9" s="64">
        <f>'GT workings 14-15'!V26/1000</f>
        <v>1.1150810844209129</v>
      </c>
      <c r="E9" s="63">
        <f>'GT workings 14-15'!L26/1000</f>
        <v>0.88225987635099723</v>
      </c>
    </row>
    <row r="10" spans="1:11" ht="15.6" thickBot="1">
      <c r="C10" s="3"/>
      <c r="D10" s="62"/>
      <c r="E10" s="63"/>
    </row>
    <row r="11" spans="1:11" ht="15.6" thickBot="1">
      <c r="C11" s="4" t="s">
        <v>49</v>
      </c>
      <c r="D11" s="64">
        <f>'GT workings 14-15'!V8/1000</f>
        <v>0.1866416825678523</v>
      </c>
      <c r="E11" s="63">
        <f>'GT workings 14-15'!L8/1000</f>
        <v>0.15032504731952542</v>
      </c>
    </row>
    <row r="12" spans="1:11" ht="15.6" thickBot="1">
      <c r="C12" s="3" t="s">
        <v>44</v>
      </c>
      <c r="D12" s="62">
        <f>'GT workings 14-15'!V12/1000</f>
        <v>6.1025994652696959E-2</v>
      </c>
      <c r="E12" s="63">
        <f>'GT workings 14-15'!L12/1000</f>
        <v>4.8782496753377314E-2</v>
      </c>
    </row>
    <row r="13" spans="1:11" ht="15.6" thickBot="1">
      <c r="C13" s="4" t="s">
        <v>45</v>
      </c>
      <c r="D13" s="64">
        <f>'GT workings 14-15'!V13/1000</f>
        <v>0.10816867050646548</v>
      </c>
      <c r="E13" s="63">
        <f>'GT workings 14-15'!L13/1000</f>
        <v>8.5269852497723217E-2</v>
      </c>
    </row>
    <row r="14" spans="1:11" ht="15.6" thickBot="1">
      <c r="C14" s="3" t="s">
        <v>46</v>
      </c>
      <c r="D14" s="62">
        <f>'GT workings 14-15'!V7/1000</f>
        <v>0.3878734949068352</v>
      </c>
      <c r="E14" s="63">
        <f>'GT workings 14-15'!L7/1000</f>
        <v>0.30674480978356433</v>
      </c>
    </row>
    <row r="15" spans="1:11" ht="16.2" thickBot="1">
      <c r="C15" s="5" t="s">
        <v>50</v>
      </c>
      <c r="D15" s="67">
        <f>SUM(D11:D14)</f>
        <v>0.74370984263384998</v>
      </c>
      <c r="E15" s="66">
        <f>SUM(E11:E14)</f>
        <v>0.59112220635419033</v>
      </c>
    </row>
    <row r="16" spans="1:11" ht="15.6" thickBot="1">
      <c r="C16" s="3"/>
      <c r="D16" s="62"/>
      <c r="E16" s="63"/>
    </row>
    <row r="17" spans="1:38" ht="16.2" thickBot="1">
      <c r="C17" s="5" t="s">
        <v>51</v>
      </c>
      <c r="D17" s="67">
        <f>D15+D8</f>
        <v>2.8947386453578385</v>
      </c>
      <c r="E17" s="66">
        <f>E15+E8</f>
        <v>2.2959678450002103</v>
      </c>
    </row>
    <row r="18" spans="1:38" ht="16.2" thickBot="1">
      <c r="C18" s="6"/>
      <c r="D18" s="65"/>
      <c r="E18" s="66"/>
    </row>
    <row r="19" spans="1:38" ht="16.2" thickBot="1">
      <c r="C19" s="5" t="s">
        <v>53</v>
      </c>
      <c r="D19" s="67">
        <f>'GT workings 14-15'!N163/1000</f>
        <v>5.3050164815467582</v>
      </c>
      <c r="E19" s="66">
        <f>'GT workings 14-15'!D160/1000</f>
        <v>4.6150603281741756</v>
      </c>
    </row>
    <row r="20" spans="1:38" ht="16.2" thickBot="1">
      <c r="C20" s="6" t="s">
        <v>54</v>
      </c>
      <c r="D20" s="65">
        <f>'GT workings 14-15'!U164/1000</f>
        <v>6.8842092276385092</v>
      </c>
      <c r="E20" s="66">
        <f>'GT workings 14-15'!K161/1000</f>
        <v>4.9103566204412195</v>
      </c>
    </row>
    <row r="24" spans="1:38" ht="13.8" thickBot="1">
      <c r="A24" s="38" t="s">
        <v>399</v>
      </c>
    </row>
    <row r="25" spans="1:38" ht="12.75" customHeight="1" thickBot="1">
      <c r="C25" s="7" t="s">
        <v>58</v>
      </c>
      <c r="D25" s="8" t="s">
        <v>59</v>
      </c>
      <c r="E25" s="8" t="s">
        <v>60</v>
      </c>
      <c r="F25" s="8" t="s">
        <v>61</v>
      </c>
      <c r="G25" s="8" t="s">
        <v>62</v>
      </c>
      <c r="H25" s="8" t="s">
        <v>63</v>
      </c>
      <c r="I25" s="8" t="s">
        <v>64</v>
      </c>
      <c r="J25" s="8" t="s">
        <v>65</v>
      </c>
      <c r="K25" s="8" t="s">
        <v>66</v>
      </c>
      <c r="L25" s="8" t="s">
        <v>67</v>
      </c>
      <c r="S25" s="7" t="s">
        <v>58</v>
      </c>
      <c r="T25" s="8" t="s">
        <v>59</v>
      </c>
      <c r="U25" s="8" t="s">
        <v>60</v>
      </c>
      <c r="V25" s="8" t="s">
        <v>61</v>
      </c>
      <c r="W25" s="8" t="s">
        <v>62</v>
      </c>
      <c r="X25" s="8" t="s">
        <v>63</v>
      </c>
      <c r="Y25" s="8" t="s">
        <v>64</v>
      </c>
      <c r="Z25" s="8" t="s">
        <v>65</v>
      </c>
      <c r="AA25" s="8" t="s">
        <v>66</v>
      </c>
      <c r="AB25" s="8" t="s">
        <v>67</v>
      </c>
      <c r="AD25" s="164" t="s">
        <v>59</v>
      </c>
      <c r="AE25" s="164" t="s">
        <v>60</v>
      </c>
      <c r="AF25" s="164" t="s">
        <v>61</v>
      </c>
      <c r="AG25" s="164" t="s">
        <v>62</v>
      </c>
      <c r="AH25" s="164" t="s">
        <v>63</v>
      </c>
      <c r="AI25" s="164" t="s">
        <v>64</v>
      </c>
      <c r="AJ25" s="164" t="s">
        <v>65</v>
      </c>
      <c r="AK25" s="164" t="s">
        <v>66</v>
      </c>
      <c r="AL25" s="164" t="s">
        <v>345</v>
      </c>
    </row>
    <row r="26" spans="1:38" ht="12.75" customHeight="1">
      <c r="C26" s="9"/>
      <c r="D26" s="49"/>
      <c r="E26" s="49"/>
      <c r="F26" s="49"/>
      <c r="G26" s="49"/>
      <c r="H26" s="49"/>
      <c r="I26" s="49"/>
      <c r="J26" s="49"/>
      <c r="K26" s="49"/>
      <c r="L26" s="49"/>
      <c r="S26" s="9"/>
      <c r="T26" s="344"/>
      <c r="U26" s="344"/>
      <c r="V26" s="344"/>
      <c r="W26" s="344"/>
      <c r="X26" s="344"/>
      <c r="Y26" s="344"/>
      <c r="Z26" s="344"/>
      <c r="AA26" s="344"/>
      <c r="AB26" s="344"/>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338</v>
      </c>
      <c r="C27" s="10" t="s">
        <v>414</v>
      </c>
      <c r="D27" s="42">
        <f>'GT workings 14-15'!D15</f>
        <v>25.459307795372435</v>
      </c>
      <c r="E27" s="42">
        <f>'GT workings 14-15'!E15</f>
        <v>14.41280752104567</v>
      </c>
      <c r="F27" s="42">
        <f>'GT workings 14-15'!F15</f>
        <v>9.6173202079823099</v>
      </c>
      <c r="G27" s="42">
        <f>'GT workings 14-15'!G15</f>
        <v>60.446777499796859</v>
      </c>
      <c r="H27" s="42">
        <f>'GT workings 14-15'!H15</f>
        <v>84.880198528547851</v>
      </c>
      <c r="I27" s="42">
        <f>'GT workings 14-15'!I15</f>
        <v>8.5249336835233791</v>
      </c>
      <c r="J27" s="42">
        <f>'GT workings 14-15'!J15</f>
        <v>0.23152878737450566</v>
      </c>
      <c r="K27" s="42">
        <f>'GT workings 14-15'!K15</f>
        <v>0</v>
      </c>
      <c r="L27" s="50">
        <f t="shared" ref="L27:L38" si="1">SUM(D27:K27)</f>
        <v>203.57287402364304</v>
      </c>
      <c r="S27" s="10" t="s">
        <v>431</v>
      </c>
      <c r="T27" s="335">
        <v>112</v>
      </c>
      <c r="U27" s="335">
        <v>98</v>
      </c>
      <c r="V27" s="335">
        <v>107</v>
      </c>
      <c r="W27" s="335">
        <v>137</v>
      </c>
      <c r="X27" s="335">
        <v>166</v>
      </c>
      <c r="Y27" s="335">
        <v>85</v>
      </c>
      <c r="Z27" s="335">
        <v>72</v>
      </c>
      <c r="AA27" s="335">
        <v>71</v>
      </c>
      <c r="AB27" s="336">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416</v>
      </c>
      <c r="D28" s="42">
        <f>'GT workings 14-15'!D16</f>
        <v>97.132518315217595</v>
      </c>
      <c r="E28" s="42">
        <f>'GT workings 14-15'!E16</f>
        <v>109.87971241227922</v>
      </c>
      <c r="F28" s="42">
        <f>'GT workings 14-15'!F16</f>
        <v>114.43672637584547</v>
      </c>
      <c r="G28" s="42">
        <f>'GT workings 14-15'!G16</f>
        <v>123.96977718673423</v>
      </c>
      <c r="H28" s="42">
        <f>'GT workings 14-15'!H16</f>
        <v>138.27838395379189</v>
      </c>
      <c r="I28" s="42">
        <f>'GT workings 14-15'!I16</f>
        <v>117.50342084599842</v>
      </c>
      <c r="J28" s="42">
        <f>'GT workings 14-15'!J16</f>
        <v>101.87556011564801</v>
      </c>
      <c r="K28" s="42">
        <f>'GT workings 14-15'!K16</f>
        <v>91.157975802007329</v>
      </c>
      <c r="L28" s="50">
        <f t="shared" si="1"/>
        <v>894.23407500752216</v>
      </c>
      <c r="S28" s="10"/>
      <c r="T28" s="335"/>
      <c r="U28" s="335"/>
      <c r="V28" s="335"/>
      <c r="W28" s="335"/>
      <c r="X28" s="335"/>
      <c r="Y28" s="335"/>
      <c r="Z28" s="335"/>
      <c r="AA28" s="335"/>
      <c r="AB28" s="336"/>
      <c r="AD28" s="42"/>
      <c r="AE28" s="42"/>
      <c r="AF28" s="42"/>
      <c r="AG28" s="42"/>
      <c r="AH28" s="42"/>
      <c r="AI28" s="42"/>
      <c r="AJ28" s="42"/>
      <c r="AK28" s="42"/>
      <c r="AL28" s="42"/>
    </row>
    <row r="29" spans="1:38" ht="12.75" customHeight="1">
      <c r="C29" s="11" t="s">
        <v>396</v>
      </c>
      <c r="D29" s="43">
        <f>'GT workings 14-15'!D17</f>
        <v>64.482672010544718</v>
      </c>
      <c r="E29" s="43">
        <f>'GT workings 14-15'!E17</f>
        <v>65.237874215180156</v>
      </c>
      <c r="F29" s="43">
        <f>'GT workings 14-15'!F17</f>
        <v>70.772894725011071</v>
      </c>
      <c r="G29" s="43">
        <f>'GT workings 14-15'!G17</f>
        <v>79.368338266410362</v>
      </c>
      <c r="H29" s="43">
        <f>'GT workings 14-15'!H17</f>
        <v>84.317479134504765</v>
      </c>
      <c r="I29" s="43">
        <f>'GT workings 14-15'!I17</f>
        <v>84.641346358196444</v>
      </c>
      <c r="J29" s="43">
        <f>'GT workings 14-15'!J17</f>
        <v>80.728014781566515</v>
      </c>
      <c r="K29" s="43">
        <f>'GT workings 14-15'!K17</f>
        <v>77.490070123441129</v>
      </c>
      <c r="L29" s="45">
        <f t="shared" si="1"/>
        <v>607.03868961485512</v>
      </c>
      <c r="S29" s="11" t="s">
        <v>417</v>
      </c>
      <c r="T29" s="337">
        <v>90</v>
      </c>
      <c r="U29" s="337">
        <v>89</v>
      </c>
      <c r="V29" s="337">
        <v>92</v>
      </c>
      <c r="W29" s="337">
        <v>92</v>
      </c>
      <c r="X29" s="337">
        <v>94</v>
      </c>
      <c r="Y29" s="337">
        <v>95</v>
      </c>
      <c r="Z29" s="337">
        <v>96</v>
      </c>
      <c r="AA29" s="337">
        <v>96</v>
      </c>
      <c r="AB29" s="338">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71</v>
      </c>
      <c r="D30" s="50">
        <f>SUM(D27:D29)</f>
        <v>187.07449812113475</v>
      </c>
      <c r="E30" s="50">
        <f t="shared" ref="E30:K30" si="2">SUM(E27:E29)</f>
        <v>189.53039414850502</v>
      </c>
      <c r="F30" s="50">
        <f t="shared" si="2"/>
        <v>194.82694130883885</v>
      </c>
      <c r="G30" s="50">
        <f t="shared" si="2"/>
        <v>263.78489295294145</v>
      </c>
      <c r="H30" s="50">
        <f t="shared" si="2"/>
        <v>307.4760616168445</v>
      </c>
      <c r="I30" s="50">
        <f t="shared" si="2"/>
        <v>210.66970088771825</v>
      </c>
      <c r="J30" s="50">
        <f t="shared" si="2"/>
        <v>182.83510368458903</v>
      </c>
      <c r="K30" s="50">
        <f t="shared" si="2"/>
        <v>168.64804592544846</v>
      </c>
      <c r="L30" s="50">
        <f t="shared" si="1"/>
        <v>1704.8456386460205</v>
      </c>
      <c r="S30" s="12" t="s">
        <v>390</v>
      </c>
      <c r="T30" s="336">
        <v>201</v>
      </c>
      <c r="U30" s="336">
        <v>187</v>
      </c>
      <c r="V30" s="336">
        <v>198</v>
      </c>
      <c r="W30" s="336">
        <v>229</v>
      </c>
      <c r="X30" s="336">
        <v>260</v>
      </c>
      <c r="Y30" s="336">
        <v>179</v>
      </c>
      <c r="Z30" s="336">
        <v>167</v>
      </c>
      <c r="AA30" s="336">
        <v>166</v>
      </c>
      <c r="AB30" s="339">
        <v>1588</v>
      </c>
      <c r="AD30" s="50">
        <f t="shared" si="0"/>
        <v>-13.925501878865248</v>
      </c>
      <c r="AE30" s="50">
        <f t="shared" si="0"/>
        <v>2.5303941485050245</v>
      </c>
      <c r="AF30" s="50">
        <f t="shared" si="0"/>
        <v>-3.1730586911611454</v>
      </c>
      <c r="AG30" s="50">
        <f t="shared" si="0"/>
        <v>34.784892952941448</v>
      </c>
      <c r="AH30" s="50">
        <f t="shared" si="0"/>
        <v>47.476061616844504</v>
      </c>
      <c r="AI30" s="50">
        <f t="shared" si="0"/>
        <v>31.66970088771825</v>
      </c>
      <c r="AJ30" s="50">
        <f t="shared" si="0"/>
        <v>15.835103684589029</v>
      </c>
      <c r="AK30" s="50">
        <f t="shared" si="0"/>
        <v>2.6480459254484572</v>
      </c>
      <c r="AL30" s="50">
        <f t="shared" si="0"/>
        <v>116.84563864602046</v>
      </c>
    </row>
    <row r="31" spans="1:38" ht="12.75" customHeight="1">
      <c r="A31" t="s">
        <v>346</v>
      </c>
      <c r="C31" s="10" t="s">
        <v>74</v>
      </c>
      <c r="D31" s="42">
        <f>'GT workings 14-15'!D38</f>
        <v>25.459307795372435</v>
      </c>
      <c r="E31" s="42">
        <f>'GT workings 14-15'!E38</f>
        <v>14.41280752104567</v>
      </c>
      <c r="F31" s="42">
        <f>'GT workings 14-15'!F38</f>
        <v>9.6173202079823099</v>
      </c>
      <c r="G31" s="42">
        <f>'GT workings 14-15'!G38</f>
        <v>60.446777499796859</v>
      </c>
      <c r="H31" s="42">
        <f>'GT workings 14-15'!H38</f>
        <v>84.880198528547851</v>
      </c>
      <c r="I31" s="42">
        <f>'GT workings 14-15'!I38</f>
        <v>8.5249336835233791</v>
      </c>
      <c r="J31" s="42">
        <f>'GT workings 14-15'!J38</f>
        <v>0.23152878737450566</v>
      </c>
      <c r="K31" s="42">
        <f>'GT workings 14-15'!K38</f>
        <v>0</v>
      </c>
      <c r="L31" s="50">
        <f t="shared" si="1"/>
        <v>203.57287402364304</v>
      </c>
      <c r="S31" s="10" t="s">
        <v>431</v>
      </c>
      <c r="T31" s="335">
        <v>112</v>
      </c>
      <c r="U31" s="335">
        <v>98</v>
      </c>
      <c r="V31" s="335">
        <v>107</v>
      </c>
      <c r="W31" s="335">
        <v>137</v>
      </c>
      <c r="X31" s="335">
        <v>166</v>
      </c>
      <c r="Y31" s="335">
        <v>85</v>
      </c>
      <c r="Z31" s="335">
        <v>72</v>
      </c>
      <c r="AA31" s="335">
        <v>71</v>
      </c>
      <c r="AB31" s="336">
        <v>846</v>
      </c>
      <c r="AD31" s="42">
        <f t="shared" si="0"/>
        <v>-86.540692204627561</v>
      </c>
      <c r="AE31" s="42">
        <f t="shared" si="0"/>
        <v>-83.587192478954336</v>
      </c>
      <c r="AF31" s="42">
        <f t="shared" si="0"/>
        <v>-97.382679792017683</v>
      </c>
      <c r="AG31" s="42">
        <f t="shared" si="0"/>
        <v>-76.553222500203134</v>
      </c>
      <c r="AH31" s="42">
        <f t="shared" si="0"/>
        <v>-81.119801471452149</v>
      </c>
      <c r="AI31" s="42">
        <f t="shared" si="0"/>
        <v>-76.475066316476614</v>
      </c>
      <c r="AJ31" s="42">
        <f t="shared" si="0"/>
        <v>-71.768471212625499</v>
      </c>
      <c r="AK31" s="42">
        <f t="shared" si="0"/>
        <v>-71</v>
      </c>
      <c r="AL31" s="42">
        <f t="shared" si="0"/>
        <v>-642.42712597635693</v>
      </c>
    </row>
    <row r="32" spans="1:38" ht="12.75" customHeight="1">
      <c r="C32" s="10" t="s">
        <v>75</v>
      </c>
      <c r="D32" s="42">
        <f>'GT workings 14-15'!D39</f>
        <v>97.132518315217595</v>
      </c>
      <c r="E32" s="42">
        <f>'GT workings 14-15'!E39</f>
        <v>109.87971241227922</v>
      </c>
      <c r="F32" s="42">
        <f>'GT workings 14-15'!F39</f>
        <v>114.43672637584547</v>
      </c>
      <c r="G32" s="42">
        <f>'GT workings 14-15'!G39</f>
        <v>123.96977718673423</v>
      </c>
      <c r="H32" s="42">
        <f>'GT workings 14-15'!H39</f>
        <v>138.27838395379189</v>
      </c>
      <c r="I32" s="42">
        <f>'GT workings 14-15'!I39</f>
        <v>117.50342084599842</v>
      </c>
      <c r="J32" s="42">
        <f>'GT workings 14-15'!J39</f>
        <v>101.87556011564801</v>
      </c>
      <c r="K32" s="42">
        <f>'GT workings 14-15'!K39</f>
        <v>91.157975802007329</v>
      </c>
      <c r="L32" s="50">
        <f t="shared" si="1"/>
        <v>894.23407500752216</v>
      </c>
      <c r="S32" s="10"/>
      <c r="T32" s="335"/>
      <c r="U32" s="335"/>
      <c r="V32" s="335"/>
      <c r="W32" s="335"/>
      <c r="X32" s="335"/>
      <c r="Y32" s="335"/>
      <c r="Z32" s="335"/>
      <c r="AA32" s="335"/>
      <c r="AB32" s="336"/>
      <c r="AD32" s="42"/>
      <c r="AE32" s="42"/>
      <c r="AF32" s="42"/>
      <c r="AG32" s="42"/>
      <c r="AH32" s="42"/>
      <c r="AI32" s="42"/>
      <c r="AJ32" s="42"/>
      <c r="AK32" s="42"/>
      <c r="AL32" s="42"/>
    </row>
    <row r="33" spans="1:39" ht="12.75" customHeight="1">
      <c r="C33" s="11" t="s">
        <v>387</v>
      </c>
      <c r="D33" s="43">
        <f>'GT workings 14-15'!D40</f>
        <v>64.482672010544718</v>
      </c>
      <c r="E33" s="43">
        <f>'GT workings 14-15'!E40</f>
        <v>65.237874215180156</v>
      </c>
      <c r="F33" s="43">
        <f>'GT workings 14-15'!F40</f>
        <v>70.772894725011071</v>
      </c>
      <c r="G33" s="43">
        <f>'GT workings 14-15'!G40</f>
        <v>79.368338266410362</v>
      </c>
      <c r="H33" s="43">
        <f>'GT workings 14-15'!H40</f>
        <v>84.317479134504765</v>
      </c>
      <c r="I33" s="43">
        <f>'GT workings 14-15'!I40</f>
        <v>84.641346358196444</v>
      </c>
      <c r="J33" s="43">
        <f>'GT workings 14-15'!J40</f>
        <v>80.728014781566515</v>
      </c>
      <c r="K33" s="43">
        <f>'GT workings 14-15'!K40</f>
        <v>77.490070123441129</v>
      </c>
      <c r="L33" s="45">
        <f t="shared" si="1"/>
        <v>607.03868961485512</v>
      </c>
      <c r="S33" s="11" t="s">
        <v>417</v>
      </c>
      <c r="T33" s="337">
        <v>90</v>
      </c>
      <c r="U33" s="337">
        <v>89</v>
      </c>
      <c r="V33" s="337">
        <v>92</v>
      </c>
      <c r="W33" s="337">
        <v>92</v>
      </c>
      <c r="X33" s="337">
        <v>94</v>
      </c>
      <c r="Y33" s="337">
        <v>95</v>
      </c>
      <c r="Z33" s="337">
        <v>96</v>
      </c>
      <c r="AA33" s="337">
        <v>96</v>
      </c>
      <c r="AB33" s="338">
        <v>743</v>
      </c>
      <c r="AD33" s="43">
        <f t="shared" ref="AD33:AL35" si="3">D33-T33</f>
        <v>-25.517327989455282</v>
      </c>
      <c r="AE33" s="43">
        <f t="shared" si="3"/>
        <v>-23.762125784819844</v>
      </c>
      <c r="AF33" s="43">
        <f t="shared" si="3"/>
        <v>-21.227105274988929</v>
      </c>
      <c r="AG33" s="43">
        <f t="shared" si="3"/>
        <v>-12.631661733589638</v>
      </c>
      <c r="AH33" s="43">
        <f t="shared" si="3"/>
        <v>-9.6825208654952348</v>
      </c>
      <c r="AI33" s="43">
        <f t="shared" si="3"/>
        <v>-10.358653641803556</v>
      </c>
      <c r="AJ33" s="43">
        <f t="shared" si="3"/>
        <v>-15.271985218433485</v>
      </c>
      <c r="AK33" s="43">
        <f t="shared" si="3"/>
        <v>-18.509929876558871</v>
      </c>
      <c r="AL33" s="43">
        <f t="shared" si="3"/>
        <v>-135.96131038514488</v>
      </c>
    </row>
    <row r="34" spans="1:39" ht="12.75" customHeight="1">
      <c r="C34" s="12" t="s">
        <v>77</v>
      </c>
      <c r="D34" s="50">
        <f t="shared" ref="D34:K34" si="4">SUM(D31:D33)</f>
        <v>187.07449812113475</v>
      </c>
      <c r="E34" s="50">
        <f t="shared" si="4"/>
        <v>189.53039414850502</v>
      </c>
      <c r="F34" s="50">
        <f t="shared" si="4"/>
        <v>194.82694130883885</v>
      </c>
      <c r="G34" s="50">
        <f t="shared" si="4"/>
        <v>263.78489295294145</v>
      </c>
      <c r="H34" s="50">
        <f t="shared" si="4"/>
        <v>307.4760616168445</v>
      </c>
      <c r="I34" s="50">
        <f t="shared" si="4"/>
        <v>210.66970088771825</v>
      </c>
      <c r="J34" s="50">
        <f t="shared" si="4"/>
        <v>182.83510368458903</v>
      </c>
      <c r="K34" s="50">
        <f t="shared" si="4"/>
        <v>168.64804592544846</v>
      </c>
      <c r="L34" s="50">
        <f t="shared" si="1"/>
        <v>1704.8456386460205</v>
      </c>
      <c r="S34" s="12" t="s">
        <v>390</v>
      </c>
      <c r="T34" s="336">
        <v>201</v>
      </c>
      <c r="U34" s="336">
        <v>187</v>
      </c>
      <c r="V34" s="336">
        <v>198</v>
      </c>
      <c r="W34" s="336">
        <v>229</v>
      </c>
      <c r="X34" s="336">
        <v>260</v>
      </c>
      <c r="Y34" s="336">
        <v>179</v>
      </c>
      <c r="Z34" s="336">
        <v>167</v>
      </c>
      <c r="AA34" s="336">
        <v>166</v>
      </c>
      <c r="AB34" s="339">
        <v>1588</v>
      </c>
      <c r="AD34" s="50">
        <f t="shared" si="3"/>
        <v>-13.925501878865248</v>
      </c>
      <c r="AE34" s="50">
        <f t="shared" si="3"/>
        <v>2.5303941485050245</v>
      </c>
      <c r="AF34" s="50">
        <f t="shared" si="3"/>
        <v>-3.1730586911611454</v>
      </c>
      <c r="AG34" s="50">
        <f t="shared" si="3"/>
        <v>34.784892952941448</v>
      </c>
      <c r="AH34" s="50">
        <f t="shared" si="3"/>
        <v>47.476061616844504</v>
      </c>
      <c r="AI34" s="50">
        <f t="shared" si="3"/>
        <v>31.66970088771825</v>
      </c>
      <c r="AJ34" s="50">
        <f t="shared" si="3"/>
        <v>15.835103684589029</v>
      </c>
      <c r="AK34" s="50">
        <f t="shared" si="3"/>
        <v>2.6480459254484572</v>
      </c>
      <c r="AL34" s="50">
        <f t="shared" si="3"/>
        <v>116.84563864602046</v>
      </c>
    </row>
    <row r="35" spans="1:39" ht="12.75" customHeight="1">
      <c r="A35" t="s">
        <v>233</v>
      </c>
      <c r="C35" s="10" t="s">
        <v>418</v>
      </c>
      <c r="D35" s="42">
        <f>D27-(D27-D31)*$K$2</f>
        <v>25.459307795372435</v>
      </c>
      <c r="E35" s="42">
        <f t="shared" ref="E35:K35" si="5">E27-(E27-E31)*$K$2</f>
        <v>14.41280752104567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203.57287402364304</v>
      </c>
      <c r="S35" s="10" t="s">
        <v>431</v>
      </c>
      <c r="T35" s="335">
        <v>112</v>
      </c>
      <c r="U35" s="335">
        <v>98</v>
      </c>
      <c r="V35" s="335">
        <v>107</v>
      </c>
      <c r="W35" s="335">
        <v>137</v>
      </c>
      <c r="X35" s="335">
        <v>166</v>
      </c>
      <c r="Y35" s="335">
        <v>85</v>
      </c>
      <c r="Z35" s="335">
        <v>72</v>
      </c>
      <c r="AA35" s="335">
        <v>71</v>
      </c>
      <c r="AB35" s="336">
        <v>846</v>
      </c>
      <c r="AD35" s="42">
        <f t="shared" si="3"/>
        <v>-86.540692204627561</v>
      </c>
      <c r="AE35" s="42">
        <f t="shared" si="3"/>
        <v>-83.587192478954336</v>
      </c>
      <c r="AF35" s="42">
        <f t="shared" si="3"/>
        <v>-97.382679792017683</v>
      </c>
      <c r="AG35" s="42">
        <f t="shared" si="3"/>
        <v>-76.553222500203134</v>
      </c>
      <c r="AH35" s="42">
        <f t="shared" si="3"/>
        <v>-81.119801471452149</v>
      </c>
      <c r="AI35" s="42">
        <f t="shared" si="3"/>
        <v>-76.475066316476614</v>
      </c>
      <c r="AJ35" s="42">
        <f t="shared" si="3"/>
        <v>-71.768471212625499</v>
      </c>
      <c r="AK35" s="42">
        <f t="shared" si="3"/>
        <v>-71</v>
      </c>
      <c r="AL35" s="42">
        <f t="shared" si="3"/>
        <v>-642.42712597635693</v>
      </c>
    </row>
    <row r="36" spans="1:39" ht="12.75" customHeight="1">
      <c r="C36" s="10" t="s">
        <v>419</v>
      </c>
      <c r="D36" s="42">
        <f t="shared" ref="D36:K38" si="6">D28-(D28-D32)*$K$2</f>
        <v>97.132518315217595</v>
      </c>
      <c r="E36" s="42">
        <f t="shared" si="6"/>
        <v>109.87971241227922</v>
      </c>
      <c r="F36" s="42">
        <f t="shared" si="6"/>
        <v>114.43672637584547</v>
      </c>
      <c r="G36" s="42">
        <f t="shared" si="6"/>
        <v>123.96977718673423</v>
      </c>
      <c r="H36" s="42">
        <f t="shared" si="6"/>
        <v>138.27838395379189</v>
      </c>
      <c r="I36" s="42">
        <f t="shared" si="6"/>
        <v>117.50342084599842</v>
      </c>
      <c r="J36" s="42">
        <f t="shared" si="6"/>
        <v>101.87556011564801</v>
      </c>
      <c r="K36" s="42">
        <f t="shared" si="6"/>
        <v>91.157975802007329</v>
      </c>
      <c r="L36" s="50">
        <f t="shared" si="1"/>
        <v>894.23407500752216</v>
      </c>
      <c r="S36" s="10"/>
      <c r="T36" s="335"/>
      <c r="U36" s="335"/>
      <c r="V36" s="335"/>
      <c r="W36" s="335"/>
      <c r="X36" s="335"/>
      <c r="Y36" s="335"/>
      <c r="Z36" s="335"/>
      <c r="AA36" s="335"/>
      <c r="AB36" s="336"/>
      <c r="AD36" s="42"/>
      <c r="AE36" s="42"/>
      <c r="AF36" s="42"/>
      <c r="AG36" s="42"/>
      <c r="AH36" s="42"/>
      <c r="AI36" s="42"/>
      <c r="AJ36" s="42"/>
      <c r="AK36" s="42"/>
      <c r="AL36" s="42"/>
    </row>
    <row r="37" spans="1:39" ht="12.75" customHeight="1">
      <c r="C37" s="11" t="s">
        <v>389</v>
      </c>
      <c r="D37" s="43">
        <f t="shared" si="6"/>
        <v>64.482672010544718</v>
      </c>
      <c r="E37" s="43">
        <f t="shared" si="6"/>
        <v>65.237874215180156</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607.03868961485512</v>
      </c>
      <c r="S37" s="11" t="s">
        <v>417</v>
      </c>
      <c r="T37" s="337">
        <v>90</v>
      </c>
      <c r="U37" s="337">
        <v>89</v>
      </c>
      <c r="V37" s="337">
        <v>92</v>
      </c>
      <c r="W37" s="337">
        <v>92</v>
      </c>
      <c r="X37" s="337">
        <v>94</v>
      </c>
      <c r="Y37" s="337">
        <v>95</v>
      </c>
      <c r="Z37" s="337">
        <v>96</v>
      </c>
      <c r="AA37" s="337">
        <v>96</v>
      </c>
      <c r="AB37" s="338">
        <v>743</v>
      </c>
      <c r="AD37" s="43">
        <f t="shared" ref="AD37:AL38" si="7">D37-T37</f>
        <v>-25.517327989455282</v>
      </c>
      <c r="AE37" s="43">
        <f t="shared" si="7"/>
        <v>-23.762125784819844</v>
      </c>
      <c r="AF37" s="43">
        <f t="shared" si="7"/>
        <v>-21.227105274988929</v>
      </c>
      <c r="AG37" s="43">
        <f t="shared" si="7"/>
        <v>-12.631661733589638</v>
      </c>
      <c r="AH37" s="43">
        <f t="shared" si="7"/>
        <v>-9.6825208654952348</v>
      </c>
      <c r="AI37" s="43">
        <f t="shared" si="7"/>
        <v>-10.358653641803556</v>
      </c>
      <c r="AJ37" s="43">
        <f t="shared" si="7"/>
        <v>-15.271985218433485</v>
      </c>
      <c r="AK37" s="43">
        <f t="shared" si="7"/>
        <v>-18.509929876558871</v>
      </c>
      <c r="AL37" s="43">
        <f t="shared" si="7"/>
        <v>-135.96131038514488</v>
      </c>
    </row>
    <row r="38" spans="1:39" ht="12.75" customHeight="1">
      <c r="C38" s="12" t="s">
        <v>78</v>
      </c>
      <c r="D38" s="50">
        <f t="shared" si="6"/>
        <v>187.07449812113475</v>
      </c>
      <c r="E38" s="50">
        <f t="shared" si="6"/>
        <v>189.53039414850502</v>
      </c>
      <c r="F38" s="50">
        <f t="shared" si="6"/>
        <v>194.82694130883885</v>
      </c>
      <c r="G38" s="50">
        <f t="shared" si="6"/>
        <v>263.78489295294145</v>
      </c>
      <c r="H38" s="50">
        <f t="shared" si="6"/>
        <v>307.4760616168445</v>
      </c>
      <c r="I38" s="50">
        <f t="shared" si="6"/>
        <v>210.66970088771825</v>
      </c>
      <c r="J38" s="50">
        <f t="shared" si="6"/>
        <v>182.83510368458903</v>
      </c>
      <c r="K38" s="50">
        <f t="shared" si="6"/>
        <v>168.64804592544846</v>
      </c>
      <c r="L38" s="50">
        <f t="shared" si="1"/>
        <v>1704.8456386460205</v>
      </c>
      <c r="S38" s="12" t="s">
        <v>390</v>
      </c>
      <c r="T38" s="336">
        <v>201</v>
      </c>
      <c r="U38" s="336">
        <v>187</v>
      </c>
      <c r="V38" s="336">
        <v>198</v>
      </c>
      <c r="W38" s="336">
        <v>229</v>
      </c>
      <c r="X38" s="336">
        <v>260</v>
      </c>
      <c r="Y38" s="336">
        <v>179</v>
      </c>
      <c r="Z38" s="336">
        <v>167</v>
      </c>
      <c r="AA38" s="336">
        <v>166</v>
      </c>
      <c r="AB38" s="339">
        <v>1588</v>
      </c>
      <c r="AD38" s="50">
        <f t="shared" si="7"/>
        <v>-13.925501878865248</v>
      </c>
      <c r="AE38" s="50">
        <f t="shared" si="7"/>
        <v>2.5303941485050245</v>
      </c>
      <c r="AF38" s="50">
        <f t="shared" si="7"/>
        <v>-3.1730586911611454</v>
      </c>
      <c r="AG38" s="50">
        <f t="shared" si="7"/>
        <v>34.784892952941448</v>
      </c>
      <c r="AH38" s="50">
        <f t="shared" si="7"/>
        <v>47.476061616844504</v>
      </c>
      <c r="AI38" s="50">
        <f t="shared" si="7"/>
        <v>31.66970088771825</v>
      </c>
      <c r="AJ38" s="50">
        <f t="shared" si="7"/>
        <v>15.835103684589029</v>
      </c>
      <c r="AK38" s="50">
        <f t="shared" si="7"/>
        <v>2.6480459254484572</v>
      </c>
      <c r="AL38" s="50">
        <f t="shared" si="7"/>
        <v>116.84563864602046</v>
      </c>
    </row>
    <row r="39" spans="1:39" ht="12.75" customHeight="1">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'GT workings 14-15'!D120</f>
        <v>66.598521331123962</v>
      </c>
      <c r="E40" s="43">
        <f>'GT workings 14-15'!E120</f>
        <v>67.472820316867796</v>
      </c>
      <c r="F40" s="43">
        <f>'GT workings 14-15'!F120</f>
        <v>69.358391105946623</v>
      </c>
      <c r="G40" s="43">
        <f>'GT workings 14-15'!G120</f>
        <v>93.907421891247139</v>
      </c>
      <c r="H40" s="43">
        <f>'GT workings 14-15'!H120</f>
        <v>109.4614779355966</v>
      </c>
      <c r="I40" s="43">
        <f>'GT workings 14-15'!I120</f>
        <v>74.998413516027682</v>
      </c>
      <c r="J40" s="43">
        <f>'GT workings 14-15'!J120</f>
        <v>65.089296911713689</v>
      </c>
      <c r="K40" s="43">
        <f>'GT workings 14-15'!K120</f>
        <v>60.03870434945965</v>
      </c>
      <c r="L40" s="45">
        <f>SUM(D40:K40)</f>
        <v>606.92504735798309</v>
      </c>
      <c r="S40" s="11" t="s">
        <v>79</v>
      </c>
      <c r="T40" s="337">
        <v>95</v>
      </c>
      <c r="U40" s="337">
        <v>88</v>
      </c>
      <c r="V40" s="337">
        <v>93</v>
      </c>
      <c r="W40" s="337">
        <v>108</v>
      </c>
      <c r="X40" s="337">
        <v>122</v>
      </c>
      <c r="Y40" s="337">
        <v>84</v>
      </c>
      <c r="Z40" s="337">
        <v>79</v>
      </c>
      <c r="AA40" s="337">
        <v>78</v>
      </c>
      <c r="AB40" s="338">
        <v>747</v>
      </c>
      <c r="AD40" s="43">
        <f t="shared" ref="AD40:AL42" si="8">D40-T40</f>
        <v>-28.401478668876038</v>
      </c>
      <c r="AE40" s="43">
        <f t="shared" si="8"/>
        <v>-20.527179683132204</v>
      </c>
      <c r="AF40" s="43">
        <f t="shared" si="8"/>
        <v>-23.641608894053377</v>
      </c>
      <c r="AG40" s="43">
        <f t="shared" si="8"/>
        <v>-14.092578108752861</v>
      </c>
      <c r="AH40" s="43">
        <f t="shared" si="8"/>
        <v>-12.538522064403395</v>
      </c>
      <c r="AI40" s="43">
        <f t="shared" si="8"/>
        <v>-9.0015864839723179</v>
      </c>
      <c r="AJ40" s="43">
        <f t="shared" si="8"/>
        <v>-13.910703088286311</v>
      </c>
      <c r="AK40" s="43">
        <f t="shared" si="8"/>
        <v>-17.96129565054035</v>
      </c>
      <c r="AL40" s="43">
        <f t="shared" si="8"/>
        <v>-140.07495264201691</v>
      </c>
    </row>
    <row r="41" spans="1:39" ht="12.75" customHeight="1">
      <c r="C41" s="10" t="s">
        <v>80</v>
      </c>
      <c r="D41" s="42">
        <f>'GT workings 14-15'!D121</f>
        <v>120.47597679001079</v>
      </c>
      <c r="E41" s="42">
        <f>'GT workings 14-15'!E121</f>
        <v>122.05757383163726</v>
      </c>
      <c r="F41" s="42">
        <f>'GT workings 14-15'!F121</f>
        <v>125.46855020289223</v>
      </c>
      <c r="G41" s="42">
        <f>'GT workings 14-15'!G121</f>
        <v>169.87747106169431</v>
      </c>
      <c r="H41" s="42">
        <f>'GT workings 14-15'!H121</f>
        <v>198.01458368124784</v>
      </c>
      <c r="I41" s="42">
        <f>'GT workings 14-15'!I121</f>
        <v>135.67128737169054</v>
      </c>
      <c r="J41" s="42">
        <f>'GT workings 14-15'!J121</f>
        <v>117.74580677287534</v>
      </c>
      <c r="K41" s="42">
        <f>'GT workings 14-15'!K121</f>
        <v>108.60934157598881</v>
      </c>
      <c r="L41" s="50">
        <f>SUM(D41:K41)</f>
        <v>1097.920591288037</v>
      </c>
      <c r="S41" s="10" t="s">
        <v>80</v>
      </c>
      <c r="T41" s="335">
        <v>107</v>
      </c>
      <c r="U41" s="335">
        <v>99</v>
      </c>
      <c r="V41" s="335">
        <v>105</v>
      </c>
      <c r="W41" s="335">
        <v>121</v>
      </c>
      <c r="X41" s="335">
        <v>138</v>
      </c>
      <c r="Y41" s="335">
        <v>95</v>
      </c>
      <c r="Z41" s="335">
        <v>89</v>
      </c>
      <c r="AA41" s="335">
        <v>88</v>
      </c>
      <c r="AB41" s="336">
        <v>842</v>
      </c>
      <c r="AD41" s="42">
        <f t="shared" si="8"/>
        <v>13.47597679001079</v>
      </c>
      <c r="AE41" s="42">
        <f t="shared" si="8"/>
        <v>23.057573831637256</v>
      </c>
      <c r="AF41" s="42">
        <f t="shared" si="8"/>
        <v>20.468550202892231</v>
      </c>
      <c r="AG41" s="42">
        <f t="shared" si="8"/>
        <v>48.877471061694308</v>
      </c>
      <c r="AH41" s="42">
        <f t="shared" si="8"/>
        <v>60.014583681247842</v>
      </c>
      <c r="AI41" s="42">
        <f t="shared" si="8"/>
        <v>40.671287371690539</v>
      </c>
      <c r="AJ41" s="42">
        <f t="shared" si="8"/>
        <v>28.745806772875341</v>
      </c>
      <c r="AK41" s="42">
        <f t="shared" si="8"/>
        <v>20.609341575988807</v>
      </c>
      <c r="AL41" s="42">
        <f t="shared" si="8"/>
        <v>255.92059128803703</v>
      </c>
    </row>
    <row r="42" spans="1:39" ht="12.75" customHeight="1">
      <c r="C42" s="39" t="s">
        <v>420</v>
      </c>
      <c r="D42" s="45">
        <f>D41+D40</f>
        <v>187.07449812113475</v>
      </c>
      <c r="E42" s="45">
        <f t="shared" ref="E42:L42" si="9">E41+E40</f>
        <v>189.53039414850505</v>
      </c>
      <c r="F42" s="45">
        <f t="shared" si="9"/>
        <v>194.82694130883885</v>
      </c>
      <c r="G42" s="45">
        <f t="shared" si="9"/>
        <v>263.78489295294145</v>
      </c>
      <c r="H42" s="45">
        <f t="shared" si="9"/>
        <v>307.47606161684445</v>
      </c>
      <c r="I42" s="45">
        <f t="shared" si="9"/>
        <v>210.66970088771822</v>
      </c>
      <c r="J42" s="45">
        <f t="shared" si="9"/>
        <v>182.83510368458903</v>
      </c>
      <c r="K42" s="45">
        <f t="shared" si="9"/>
        <v>168.64804592544846</v>
      </c>
      <c r="L42" s="45">
        <f t="shared" si="9"/>
        <v>1704.8456386460202</v>
      </c>
      <c r="S42" s="39" t="s">
        <v>432</v>
      </c>
      <c r="T42" s="338">
        <v>201</v>
      </c>
      <c r="U42" s="338">
        <v>187</v>
      </c>
      <c r="V42" s="338">
        <v>198</v>
      </c>
      <c r="W42" s="338">
        <v>229</v>
      </c>
      <c r="X42" s="338">
        <v>260</v>
      </c>
      <c r="Y42" s="338">
        <v>179</v>
      </c>
      <c r="Z42" s="338">
        <v>167</v>
      </c>
      <c r="AA42" s="338">
        <v>166</v>
      </c>
      <c r="AB42" s="340">
        <v>1588</v>
      </c>
      <c r="AD42" s="45">
        <f t="shared" si="8"/>
        <v>-13.925501878865248</v>
      </c>
      <c r="AE42" s="45">
        <f t="shared" si="8"/>
        <v>2.530394148505053</v>
      </c>
      <c r="AF42" s="45">
        <f t="shared" si="8"/>
        <v>-3.1730586911611454</v>
      </c>
      <c r="AG42" s="45">
        <f t="shared" si="8"/>
        <v>34.784892952941448</v>
      </c>
      <c r="AH42" s="45">
        <f t="shared" si="8"/>
        <v>47.476061616844447</v>
      </c>
      <c r="AI42" s="45">
        <f t="shared" si="8"/>
        <v>31.669700887718221</v>
      </c>
      <c r="AJ42" s="45">
        <f t="shared" si="8"/>
        <v>15.835103684589029</v>
      </c>
      <c r="AK42" s="45">
        <f t="shared" si="8"/>
        <v>2.6480459254484572</v>
      </c>
      <c r="AL42" s="45">
        <f t="shared" si="8"/>
        <v>116.84563864602023</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'GT workings 14-15'!D122</f>
        <v>0</v>
      </c>
      <c r="E44" s="43">
        <f>'GT workings 14-15'!E122</f>
        <v>0</v>
      </c>
      <c r="F44" s="43">
        <f>'GT workings 14-15'!F122</f>
        <v>0</v>
      </c>
      <c r="G44" s="43">
        <f>'GT workings 14-15'!G122</f>
        <v>0</v>
      </c>
      <c r="H44" s="43">
        <f>'GT workings 14-15'!H122</f>
        <v>0</v>
      </c>
      <c r="I44" s="43">
        <f>'GT workings 14-15'!I122</f>
        <v>0</v>
      </c>
      <c r="J44" s="43">
        <f>'GT workings 14-15'!J122</f>
        <v>0</v>
      </c>
      <c r="K44" s="43">
        <f>'GT workings 14-15'!K122</f>
        <v>0</v>
      </c>
      <c r="L44" s="45">
        <f>SUM(D44:K44)</f>
        <v>0</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2">
        <f>'GT workings 14-15'!D123</f>
        <v>0</v>
      </c>
      <c r="E45" s="42">
        <f>'GT workings 14-15'!E123</f>
        <v>0</v>
      </c>
      <c r="F45" s="42">
        <f>'GT workings 14-15'!F123</f>
        <v>0</v>
      </c>
      <c r="G45" s="42">
        <f>'GT workings 14-15'!G123</f>
        <v>0</v>
      </c>
      <c r="H45" s="42">
        <f>'GT workings 14-15'!H123</f>
        <v>0</v>
      </c>
      <c r="I45" s="42">
        <f>'GT workings 14-15'!I123</f>
        <v>0</v>
      </c>
      <c r="J45" s="42">
        <f>'GT workings 14-15'!J123</f>
        <v>0</v>
      </c>
      <c r="K45" s="42">
        <f>'GT workings 14-15'!K123</f>
        <v>0</v>
      </c>
      <c r="L45" s="50">
        <f>SUM(D45:K45)</f>
        <v>0</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D45+D44</f>
        <v>0</v>
      </c>
      <c r="E46" s="45">
        <f t="shared" ref="E46:L46" si="10">E45+E44</f>
        <v>0</v>
      </c>
      <c r="F46" s="45">
        <f t="shared" si="10"/>
        <v>0</v>
      </c>
      <c r="G46" s="45">
        <f t="shared" si="10"/>
        <v>0</v>
      </c>
      <c r="H46" s="45">
        <f t="shared" si="10"/>
        <v>0</v>
      </c>
      <c r="I46" s="45">
        <f t="shared" si="10"/>
        <v>0</v>
      </c>
      <c r="J46" s="45">
        <f t="shared" si="10"/>
        <v>0</v>
      </c>
      <c r="K46" s="45">
        <f t="shared" si="10"/>
        <v>0</v>
      </c>
      <c r="L46" s="45">
        <f t="shared" si="10"/>
        <v>0</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48"/>
      <c r="D47" s="51"/>
      <c r="E47" s="51"/>
      <c r="F47" s="51"/>
      <c r="G47" s="51"/>
      <c r="H47" s="51"/>
      <c r="I47" s="51"/>
      <c r="J47" s="51"/>
      <c r="K47" s="51"/>
      <c r="L47" s="51"/>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D41+D45</f>
        <v>120.47597679001079</v>
      </c>
      <c r="E48" s="44">
        <f t="shared" ref="E48:L48" si="11">E41+E45</f>
        <v>122.05757383163726</v>
      </c>
      <c r="F48" s="44">
        <f t="shared" si="11"/>
        <v>125.46855020289223</v>
      </c>
      <c r="G48" s="44">
        <f t="shared" si="11"/>
        <v>169.87747106169431</v>
      </c>
      <c r="H48" s="44">
        <f t="shared" si="11"/>
        <v>198.01458368124784</v>
      </c>
      <c r="I48" s="44">
        <f t="shared" si="11"/>
        <v>135.67128737169054</v>
      </c>
      <c r="J48" s="44">
        <f t="shared" si="11"/>
        <v>117.74580677287534</v>
      </c>
      <c r="K48" s="44">
        <f t="shared" si="11"/>
        <v>108.60934157598881</v>
      </c>
      <c r="L48" s="44">
        <f t="shared" si="11"/>
        <v>1097.920591288037</v>
      </c>
      <c r="M48" s="109"/>
      <c r="N48" s="109"/>
      <c r="S48" s="23" t="s">
        <v>423</v>
      </c>
      <c r="T48" s="342">
        <v>156</v>
      </c>
      <c r="U48" s="342">
        <v>193</v>
      </c>
      <c r="V48" s="342">
        <v>300</v>
      </c>
      <c r="W48" s="342">
        <v>405</v>
      </c>
      <c r="X48" s="342">
        <v>527</v>
      </c>
      <c r="Y48" s="342">
        <v>468</v>
      </c>
      <c r="Z48" s="342">
        <v>514</v>
      </c>
      <c r="AA48" s="342">
        <v>552</v>
      </c>
      <c r="AB48" s="343">
        <v>3114</v>
      </c>
      <c r="AC48" s="109" t="e">
        <f>#REF!+#REF!</f>
        <v>#REF!</v>
      </c>
      <c r="AD48" s="44">
        <f t="shared" si="0"/>
        <v>-35.52402320998921</v>
      </c>
      <c r="AE48" s="44">
        <f t="shared" si="0"/>
        <v>-70.942426168362744</v>
      </c>
      <c r="AF48" s="44">
        <f t="shared" si="0"/>
        <v>-174.53144979710777</v>
      </c>
      <c r="AG48" s="44">
        <f t="shared" si="0"/>
        <v>-235.12252893830569</v>
      </c>
      <c r="AH48" s="44">
        <f t="shared" si="0"/>
        <v>-328.98541631875219</v>
      </c>
      <c r="AI48" s="44">
        <f t="shared" si="0"/>
        <v>-332.32871262830946</v>
      </c>
      <c r="AJ48" s="44">
        <f t="shared" si="0"/>
        <v>-396.25419322712469</v>
      </c>
      <c r="AK48" s="44">
        <f t="shared" si="0"/>
        <v>-443.39065842401118</v>
      </c>
      <c r="AL48" s="44">
        <f t="shared" si="0"/>
        <v>-2016.079408711963</v>
      </c>
      <c r="AM48" s="109" t="e">
        <f>#REF!+#REF!</f>
        <v>#REF!</v>
      </c>
    </row>
    <row r="50" spans="1:14" ht="13.8" thickBot="1">
      <c r="M50" s="109"/>
    </row>
    <row r="51" spans="1:14" ht="13.8" thickBot="1">
      <c r="C51" s="7" t="s">
        <v>58</v>
      </c>
      <c r="D51" s="8" t="s">
        <v>59</v>
      </c>
      <c r="E51" s="8" t="s">
        <v>60</v>
      </c>
      <c r="F51" s="8" t="s">
        <v>61</v>
      </c>
      <c r="G51" s="8" t="s">
        <v>62</v>
      </c>
      <c r="H51" s="8" t="s">
        <v>63</v>
      </c>
      <c r="I51" s="8" t="s">
        <v>64</v>
      </c>
      <c r="J51" s="8" t="s">
        <v>65</v>
      </c>
      <c r="K51" s="8" t="s">
        <v>66</v>
      </c>
    </row>
    <row r="52" spans="1:14">
      <c r="C52" s="22" t="s">
        <v>91</v>
      </c>
      <c r="D52" s="41">
        <f>'GT workings 14-15'!D134</f>
        <v>4562.0597731988728</v>
      </c>
      <c r="E52" s="41">
        <f>D56</f>
        <v>4637.9750030713067</v>
      </c>
      <c r="F52" s="41">
        <f t="shared" ref="F52:K52" si="12">E56</f>
        <v>4636.5668537921092</v>
      </c>
      <c r="G52" s="41">
        <f t="shared" si="12"/>
        <v>4680.4089354421913</v>
      </c>
      <c r="H52" s="41">
        <f t="shared" si="12"/>
        <v>4804.9471384632889</v>
      </c>
      <c r="I52" s="41">
        <f t="shared" si="12"/>
        <v>4914.0407639452478</v>
      </c>
      <c r="J52" s="41">
        <f t="shared" si="12"/>
        <v>4907.9522093142295</v>
      </c>
      <c r="K52" s="41">
        <f t="shared" si="12"/>
        <v>4862.1655791794101</v>
      </c>
    </row>
    <row r="53" spans="1:14">
      <c r="C53" s="10" t="s">
        <v>86</v>
      </c>
      <c r="D53" s="42">
        <f>'GT workings 14-15'!D135</f>
        <v>222.12656840966687</v>
      </c>
      <c r="E53" s="42">
        <f>'GT workings 14-15'!E135</f>
        <v>148.06659958282847</v>
      </c>
      <c r="F53" s="42">
        <f>'GT workings 14-15'!F135</f>
        <v>194.93446375185869</v>
      </c>
      <c r="G53" s="42">
        <f>'GT workings 14-15'!G135</f>
        <v>278.28972645527188</v>
      </c>
      <c r="H53" s="42">
        <f>'GT workings 14-15'!H135</f>
        <v>267.35662941971634</v>
      </c>
      <c r="I53" s="42">
        <f>'GT workings 14-15'!I135</f>
        <v>156.44297209842156</v>
      </c>
      <c r="J53" s="42">
        <f>'GT workings 14-15'!J135</f>
        <v>118.5486714458289</v>
      </c>
      <c r="K53" s="42">
        <f>'GT workings 14-15'!K135</f>
        <v>108.60158359588414</v>
      </c>
    </row>
    <row r="54" spans="1:14">
      <c r="C54" s="11" t="s">
        <v>92</v>
      </c>
      <c r="D54" s="42">
        <f>'GT workings 14-15'!D166</f>
        <v>-146.2113385372329</v>
      </c>
      <c r="E54" s="42">
        <f>'GT workings 14-15'!E166</f>
        <v>-144.85340732479523</v>
      </c>
      <c r="F54" s="42">
        <f>'GT workings 14-15'!F166</f>
        <v>-143.75882243451281</v>
      </c>
      <c r="G54" s="42">
        <f>'GT workings 14-15'!G166</f>
        <v>-143.62994616195877</v>
      </c>
      <c r="H54" s="42">
        <f>'GT workings 14-15'!H166</f>
        <v>-144.36654415261827</v>
      </c>
      <c r="I54" s="42">
        <f>'GT workings 14-15'!I166</f>
        <v>-144.23491526205311</v>
      </c>
      <c r="J54" s="42">
        <f>'GT workings 14-15'!J166</f>
        <v>-143.02394501567159</v>
      </c>
      <c r="K54" s="42">
        <f>'GT workings 14-15'!K166</f>
        <v>-141.36922321253945</v>
      </c>
    </row>
    <row r="55" spans="1:14">
      <c r="C55" s="10" t="s">
        <v>93</v>
      </c>
      <c r="D55" s="42">
        <f>'GT workings 14-15'!D167</f>
        <v>0</v>
      </c>
      <c r="E55" s="42">
        <f>'GT workings 14-15'!E167</f>
        <v>-4.621341537230153</v>
      </c>
      <c r="F55" s="42">
        <f>'GT workings 14-15'!F167</f>
        <v>-7.3335596672642103</v>
      </c>
      <c r="G55" s="42">
        <f>'GT workings 14-15'!G167</f>
        <v>-10.121577272215045</v>
      </c>
      <c r="H55" s="42">
        <f>'GT workings 14-15'!H167</f>
        <v>-13.89645978513926</v>
      </c>
      <c r="I55" s="42">
        <f>'GT workings 14-15'!I167</f>
        <v>-18.296611467386889</v>
      </c>
      <c r="J55" s="42">
        <f>'GT workings 14-15'!J167</f>
        <v>-21.311356564977686</v>
      </c>
      <c r="K55" s="42">
        <f>'GT workings 14-15'!K167</f>
        <v>-23.92775764926148</v>
      </c>
      <c r="N55" s="132" t="s">
        <v>301</v>
      </c>
    </row>
    <row r="56" spans="1:14" ht="13.8" thickBot="1">
      <c r="C56" s="23" t="s">
        <v>94</v>
      </c>
      <c r="D56" s="44">
        <f>SUM(D52:D55)</f>
        <v>4637.9750030713067</v>
      </c>
      <c r="E56" s="44">
        <f t="shared" ref="E56:K56" si="13">SUM(E52:E55)</f>
        <v>4636.5668537921092</v>
      </c>
      <c r="F56" s="44">
        <f t="shared" si="13"/>
        <v>4680.4089354421913</v>
      </c>
      <c r="G56" s="44">
        <f t="shared" si="13"/>
        <v>4804.9471384632889</v>
      </c>
      <c r="H56" s="44">
        <f t="shared" si="13"/>
        <v>4914.0407639452478</v>
      </c>
      <c r="I56" s="44">
        <f t="shared" si="13"/>
        <v>4907.9522093142295</v>
      </c>
      <c r="J56" s="44">
        <f t="shared" si="13"/>
        <v>4862.1655791794101</v>
      </c>
      <c r="K56" s="44">
        <f t="shared" si="13"/>
        <v>4805.4701819134934</v>
      </c>
      <c r="N56" s="133">
        <f>(K56/D56)^(1/7)-1</f>
        <v>5.0810135106555965E-3</v>
      </c>
    </row>
    <row r="58" spans="1:14">
      <c r="D58" s="53">
        <f>D56-D65-D66</f>
        <v>0</v>
      </c>
      <c r="E58" s="53">
        <f t="shared" ref="E58:K58" si="14">E56-E65-E66</f>
        <v>-1.5916157281026244E-12</v>
      </c>
      <c r="F58" s="53">
        <f t="shared" si="14"/>
        <v>-1.6484591469634324E-12</v>
      </c>
      <c r="G58" s="53">
        <f t="shared" si="14"/>
        <v>-1.8758328224066645E-12</v>
      </c>
      <c r="H58" s="53">
        <f t="shared" si="14"/>
        <v>-2.2453150450019166E-12</v>
      </c>
      <c r="I58" s="53">
        <f t="shared" si="14"/>
        <v>-1.8545165403338615E-12</v>
      </c>
      <c r="J58" s="53">
        <f t="shared" si="14"/>
        <v>-1.4155343563970746E-13</v>
      </c>
      <c r="K58" s="53">
        <f t="shared" si="14"/>
        <v>0</v>
      </c>
    </row>
    <row r="59" spans="1:14" ht="13.8" thickBot="1">
      <c r="A59" s="38" t="s">
        <v>401</v>
      </c>
    </row>
    <row r="60" spans="1:14" ht="13.8" thickBot="1">
      <c r="C60" s="7" t="s">
        <v>58</v>
      </c>
      <c r="D60" s="8" t="s">
        <v>59</v>
      </c>
      <c r="E60" s="8" t="s">
        <v>60</v>
      </c>
      <c r="F60" s="8" t="s">
        <v>61</v>
      </c>
      <c r="G60" s="8" t="s">
        <v>62</v>
      </c>
      <c r="H60" s="8" t="s">
        <v>63</v>
      </c>
      <c r="I60" s="8" t="s">
        <v>64</v>
      </c>
      <c r="J60" s="8" t="s">
        <v>65</v>
      </c>
      <c r="K60" s="8" t="s">
        <v>66</v>
      </c>
    </row>
    <row r="61" spans="1:14">
      <c r="C61" s="22" t="s">
        <v>91</v>
      </c>
      <c r="D61" s="41">
        <f>'GT workings 14-15'!D58</f>
        <v>4014.3985484751774</v>
      </c>
      <c r="E61" s="41">
        <f>'GT workings 14-15'!E58</f>
        <v>4322.4888336102549</v>
      </c>
      <c r="F61" s="41">
        <f>'GT workings 14-15'!F58</f>
        <v>4304.3651263721986</v>
      </c>
      <c r="G61" s="41">
        <f>'GT workings 14-15'!G58</f>
        <v>4288.918065572916</v>
      </c>
      <c r="H61" s="41">
        <f>'GT workings 14-15'!H58</f>
        <v>4329.1249980114317</v>
      </c>
      <c r="I61" s="41">
        <f>'GT workings 14-15'!I58</f>
        <v>4844.6909602266769</v>
      </c>
      <c r="J61" s="41">
        <f>'GT workings 14-15'!J58</f>
        <v>4887.1727666073957</v>
      </c>
      <c r="K61" s="41">
        <f>'GT workings 14-15'!K58</f>
        <v>4861.354956526352</v>
      </c>
    </row>
    <row r="62" spans="1:14">
      <c r="C62" s="10" t="s">
        <v>85</v>
      </c>
      <c r="D62" s="42">
        <f>'GT workings 14-15'!D59</f>
        <v>238.90848777994489</v>
      </c>
      <c r="E62" s="42">
        <f>'GT workings 14-15'!E59</f>
        <v>1.5889649604528906</v>
      </c>
      <c r="F62" s="42">
        <f>'GT workings 14-15'!F59</f>
        <v>1.9371656435515117</v>
      </c>
      <c r="G62" s="42">
        <f>'GT workings 14-15'!G59</f>
        <v>14.654700839030934</v>
      </c>
      <c r="H62" s="42">
        <f>'GT workings 14-15'!H59</f>
        <v>475.82214045185901</v>
      </c>
      <c r="I62" s="42">
        <f>'GT workings 14-15'!I59</f>
        <v>69.349803718573156</v>
      </c>
      <c r="J62" s="42">
        <f>'GT workings 14-15'!J59</f>
        <v>20.779442706835688</v>
      </c>
      <c r="K62" s="42">
        <f>'GT workings 14-15'!K59</f>
        <v>0.81062265305823133</v>
      </c>
    </row>
    <row r="63" spans="1:14">
      <c r="C63" s="11" t="s">
        <v>86</v>
      </c>
      <c r="D63" s="43">
        <f>'GT workings 14-15'!D61</f>
        <v>207.96036917535687</v>
      </c>
      <c r="E63" s="43">
        <f>'GT workings 14-15'!E61</f>
        <v>122.04981585153259</v>
      </c>
      <c r="F63" s="43">
        <f>'GT workings 14-15'!F61</f>
        <v>125.46079222278756</v>
      </c>
      <c r="G63" s="43">
        <f>'GT workings 14-15'!G61</f>
        <v>169.86971308158965</v>
      </c>
      <c r="H63" s="43">
        <f>'GT workings 14-15'!H61</f>
        <v>198.00682570114319</v>
      </c>
      <c r="I63" s="43">
        <f>'GT workings 14-15'!I61</f>
        <v>135.66352939158588</v>
      </c>
      <c r="J63" s="43">
        <f>'GT workings 14-15'!J61</f>
        <v>117.73804879277067</v>
      </c>
      <c r="K63" s="43">
        <f>'GT workings 14-15'!K61</f>
        <v>108.60158359588414</v>
      </c>
    </row>
    <row r="64" spans="1:14">
      <c r="C64" s="10" t="s">
        <v>87</v>
      </c>
      <c r="D64" s="42">
        <f>'GT workings 14-15'!D62</f>
        <v>-138.77857182022461</v>
      </c>
      <c r="E64" s="42">
        <f>'GT workings 14-15'!E62</f>
        <v>-141.76248805004252</v>
      </c>
      <c r="F64" s="42">
        <f>'GT workings 14-15'!F62</f>
        <v>-142.84501866562204</v>
      </c>
      <c r="G64" s="42">
        <f>'GT workings 14-15'!G62</f>
        <v>-144.31748148210471</v>
      </c>
      <c r="H64" s="42">
        <f>'GT workings 14-15'!H62</f>
        <v>-158.26300393775753</v>
      </c>
      <c r="I64" s="42">
        <f>'GT workings 14-15'!I62</f>
        <v>-162.53152672944</v>
      </c>
      <c r="J64" s="42">
        <f>'GT workings 14-15'!J62</f>
        <v>-164.33530158064929</v>
      </c>
      <c r="K64" s="42">
        <f>'GT workings 14-15'!K62</f>
        <v>-165.29698086180093</v>
      </c>
    </row>
    <row r="65" spans="1:14">
      <c r="C65" s="39" t="s">
        <v>94</v>
      </c>
      <c r="D65" s="45">
        <f>SUM(D61:D64)</f>
        <v>4322.4888336102549</v>
      </c>
      <c r="E65" s="45">
        <f t="shared" ref="E65:K65" si="15">SUM(E61:E64)</f>
        <v>4304.3651263721986</v>
      </c>
      <c r="F65" s="45">
        <f t="shared" si="15"/>
        <v>4288.918065572916</v>
      </c>
      <c r="G65" s="45">
        <f t="shared" si="15"/>
        <v>4329.1249980114317</v>
      </c>
      <c r="H65" s="45">
        <f t="shared" si="15"/>
        <v>4844.6909602266769</v>
      </c>
      <c r="I65" s="45">
        <f t="shared" si="15"/>
        <v>4887.1727666073957</v>
      </c>
      <c r="J65" s="45">
        <f t="shared" si="15"/>
        <v>4861.354956526352</v>
      </c>
      <c r="K65" s="45">
        <f t="shared" si="15"/>
        <v>4805.4701819134934</v>
      </c>
    </row>
    <row r="66" spans="1:14">
      <c r="C66" s="10" t="s">
        <v>89</v>
      </c>
      <c r="D66" s="42">
        <f>'GT workings 14-15'!D132</f>
        <v>315.48616946105216</v>
      </c>
      <c r="E66" s="42">
        <f>'GT workings 14-15'!E132</f>
        <v>332.20172741991223</v>
      </c>
      <c r="F66" s="42">
        <f>'GT workings 14-15'!F132</f>
        <v>391.49086986927688</v>
      </c>
      <c r="G66" s="42">
        <f>'GT workings 14-15'!G132</f>
        <v>475.82214045185907</v>
      </c>
      <c r="H66" s="42">
        <f>'GT workings 14-15'!H132</f>
        <v>69.349803718573156</v>
      </c>
      <c r="I66" s="42">
        <f>'GT workings 14-15'!I132</f>
        <v>20.779442706835688</v>
      </c>
      <c r="J66" s="42">
        <f>'GT workings 14-15'!J132</f>
        <v>0.81062265305823133</v>
      </c>
      <c r="K66" s="42">
        <f>'GT workings 14-15'!K132</f>
        <v>0</v>
      </c>
    </row>
    <row r="67" spans="1:14">
      <c r="C67" s="48"/>
      <c r="D67" s="230"/>
      <c r="E67" s="230"/>
      <c r="F67" s="230"/>
      <c r="G67" s="230"/>
      <c r="H67" s="230"/>
      <c r="I67" s="230"/>
      <c r="J67" s="230"/>
      <c r="K67" s="230"/>
    </row>
    <row r="68" spans="1:14" ht="13.8" thickBot="1">
      <c r="A68" s="38"/>
    </row>
    <row r="69" spans="1:14" ht="13.8" thickBot="1">
      <c r="C69" s="7" t="s">
        <v>58</v>
      </c>
      <c r="D69" s="8" t="s">
        <v>59</v>
      </c>
      <c r="E69" s="8" t="s">
        <v>60</v>
      </c>
      <c r="F69" s="8" t="s">
        <v>61</v>
      </c>
      <c r="G69" s="8" t="s">
        <v>62</v>
      </c>
      <c r="H69" s="8" t="s">
        <v>63</v>
      </c>
      <c r="I69" s="8" t="s">
        <v>64</v>
      </c>
      <c r="J69" s="8" t="s">
        <v>65</v>
      </c>
      <c r="K69" s="8" t="s">
        <v>66</v>
      </c>
    </row>
    <row r="70" spans="1:14">
      <c r="C70" s="10" t="s">
        <v>79</v>
      </c>
      <c r="D70" s="42">
        <f>'GT workings 14-15'!D74</f>
        <v>66.598521331123962</v>
      </c>
      <c r="E70" s="42">
        <f>'GT workings 14-15'!E74</f>
        <v>67.472820316867796</v>
      </c>
      <c r="F70" s="42">
        <f>'GT workings 14-15'!F74</f>
        <v>69.358391105946623</v>
      </c>
      <c r="G70" s="42">
        <f>'GT workings 14-15'!G74</f>
        <v>93.907421891247139</v>
      </c>
      <c r="H70" s="42">
        <f>'GT workings 14-15'!H74</f>
        <v>109.4614779355966</v>
      </c>
      <c r="I70" s="42">
        <f>'GT workings 14-15'!I74</f>
        <v>74.998413516027682</v>
      </c>
      <c r="J70" s="42">
        <f>'GT workings 14-15'!J74</f>
        <v>65.089296911713689</v>
      </c>
      <c r="K70" s="42">
        <f>'GT workings 14-15'!K74</f>
        <v>60.03870434945965</v>
      </c>
    </row>
    <row r="71" spans="1:14">
      <c r="C71" s="11" t="s">
        <v>98</v>
      </c>
      <c r="D71" s="43">
        <f>'GT workings 14-15'!D75</f>
        <v>110.11544616012048</v>
      </c>
      <c r="E71" s="43">
        <f>'GT workings 14-15'!E75</f>
        <v>110.29121834911521</v>
      </c>
      <c r="F71" s="43">
        <f>'GT workings 14-15'!F75</f>
        <v>110.32860169190292</v>
      </c>
      <c r="G71" s="43">
        <f>'GT workings 14-15'!G75</f>
        <v>110.3596633646699</v>
      </c>
      <c r="H71" s="43">
        <f>'GT workings 14-15'!H75</f>
        <v>110.27343835902431</v>
      </c>
      <c r="I71" s="43">
        <f>'GT workings 14-15'!I75</f>
        <v>110.27662588032852</v>
      </c>
      <c r="J71" s="43">
        <f>'GT workings 14-15'!J75</f>
        <v>110.30420904525512</v>
      </c>
      <c r="K71" s="43">
        <f>'GT workings 14-15'!K75</f>
        <v>110.31067350058066</v>
      </c>
    </row>
    <row r="72" spans="1:14">
      <c r="C72" s="10" t="s">
        <v>99</v>
      </c>
      <c r="D72" s="42">
        <f>'GT workings 14-15'!D144</f>
        <v>40.732299345663577</v>
      </c>
      <c r="E72" s="42">
        <f>'GT workings 14-15'!E144</f>
        <v>41.140781327652903</v>
      </c>
      <c r="F72" s="42">
        <f>'GT workings 14-15'!F144</f>
        <v>41.67150939635426</v>
      </c>
      <c r="G72" s="42">
        <f>'GT workings 14-15'!G144</f>
        <v>42.325456818061298</v>
      </c>
      <c r="H72" s="42">
        <f>'GT workings 14-15'!H144</f>
        <v>42.803639439468029</v>
      </c>
      <c r="I72" s="42">
        <f>'GT workings 14-15'!I144</f>
        <v>43.407117550561296</v>
      </c>
      <c r="J72" s="42">
        <f>'GT workings 14-15'!J144</f>
        <v>44.136997829014888</v>
      </c>
      <c r="K72" s="42">
        <f>'GT workings 14-15'!K144</f>
        <v>44.694435369650833</v>
      </c>
    </row>
    <row r="73" spans="1:14">
      <c r="C73" s="11" t="s">
        <v>100</v>
      </c>
      <c r="D73" s="43">
        <f>'GT workings 14-15'!D78</f>
        <v>0</v>
      </c>
      <c r="E73" s="43">
        <f>'GT workings 14-15'!E78</f>
        <v>0</v>
      </c>
      <c r="F73" s="43">
        <f>'GT workings 14-15'!F78</f>
        <v>0</v>
      </c>
      <c r="G73" s="43">
        <f>'GT workings 14-15'!G78</f>
        <v>0</v>
      </c>
      <c r="H73" s="43">
        <f>'GT workings 14-15'!H78</f>
        <v>0</v>
      </c>
      <c r="I73" s="43">
        <f>'GT workings 14-15'!I78</f>
        <v>0</v>
      </c>
      <c r="J73" s="43">
        <f>'GT workings 14-15'!J78</f>
        <v>0</v>
      </c>
      <c r="K73" s="43">
        <f>'GT workings 14-15'!K78</f>
        <v>0</v>
      </c>
    </row>
    <row r="74" spans="1:14">
      <c r="C74" s="10" t="s">
        <v>101</v>
      </c>
      <c r="D74" s="42">
        <f>'GT workings 14-15'!D79</f>
        <v>-1.1295718210052885</v>
      </c>
      <c r="E74" s="42">
        <f>'GT workings 14-15'!E79</f>
        <v>-1.1444007312827333</v>
      </c>
      <c r="F74" s="42">
        <f>'GT workings 14-15'!F79</f>
        <v>-1.1763817360750841</v>
      </c>
      <c r="G74" s="42">
        <f>'GT workings 14-15'!G79</f>
        <v>-1.5927557463957547</v>
      </c>
      <c r="H74" s="42">
        <f>'GT workings 14-15'!H79</f>
        <v>-1.8565667598967899</v>
      </c>
      <c r="I74" s="42">
        <f>'GT workings 14-15'!I79</f>
        <v>-1.2720416735170972</v>
      </c>
      <c r="J74" s="42">
        <f>'GT workings 14-15'!J79</f>
        <v>-1.1039739947823479</v>
      </c>
      <c r="K74" s="42">
        <f>'GT workings 14-15'!K79</f>
        <v>-1.018311326547777</v>
      </c>
    </row>
    <row r="75" spans="1:14">
      <c r="C75" s="11" t="s">
        <v>102</v>
      </c>
      <c r="D75" s="43">
        <f>'GT workings 14-15'!D81</f>
        <v>12.800278243856701</v>
      </c>
      <c r="E75" s="43">
        <f>'GT workings 14-15'!E81</f>
        <v>15.054324216531636</v>
      </c>
      <c r="F75" s="43">
        <f>'GT workings 14-15'!F81</f>
        <v>17.032860332844653</v>
      </c>
      <c r="G75" s="43">
        <f>'GT workings 14-15'!G81</f>
        <v>22.194517253047266</v>
      </c>
      <c r="H75" s="43">
        <f>'GT workings 14-15'!H81</f>
        <v>29.655351467366433</v>
      </c>
      <c r="I75" s="43">
        <f>'GT workings 14-15'!I81</f>
        <v>23.016967980453597</v>
      </c>
      <c r="J75" s="43">
        <f>'GT workings 14-15'!J81</f>
        <v>25.066153648397243</v>
      </c>
      <c r="K75" s="43">
        <f>'GT workings 14-15'!K81</f>
        <v>28.598257225944689</v>
      </c>
    </row>
    <row r="76" spans="1:14">
      <c r="C76" s="10" t="s">
        <v>103</v>
      </c>
      <c r="D76" s="42">
        <f>'GT workings 14-15'!D76+'GT workings 14-15'!D77</f>
        <v>322.41074657744252</v>
      </c>
      <c r="E76" s="42">
        <f>'GT workings 14-15'!E76+'GT workings 14-15'!E77</f>
        <v>321.38799876166934</v>
      </c>
      <c r="F76" s="42">
        <f>'GT workings 14-15'!F76+'GT workings 14-15'!F77</f>
        <v>321.77793171716723</v>
      </c>
      <c r="G76" s="42">
        <f>'GT workings 14-15'!G76+'GT workings 14-15'!G77</f>
        <v>324.01195788369955</v>
      </c>
      <c r="H76" s="42">
        <f>'GT workings 14-15'!H76+'GT workings 14-15'!H77</f>
        <v>359.12082406397963</v>
      </c>
      <c r="I76" s="42">
        <f>'GT workings 14-15'!I76+'GT workings 14-15'!I77</f>
        <v>366.57352249843927</v>
      </c>
      <c r="J76" s="42">
        <f>'GT workings 14-15'!J76+'GT workings 14-15'!J77</f>
        <v>367.72165324793878</v>
      </c>
      <c r="K76" s="42">
        <f>'GT workings 14-15'!K76+'GT workings 14-15'!K77</f>
        <v>366.5712285470965</v>
      </c>
    </row>
    <row r="77" spans="1:14">
      <c r="C77" s="11" t="s">
        <v>104</v>
      </c>
      <c r="D77" s="43">
        <f>'GT workings 14-15'!D152</f>
        <v>-8.6936499147533706</v>
      </c>
      <c r="E77" s="43">
        <f>'GT workings 14-15'!E152</f>
        <v>-7.9448199124261123</v>
      </c>
      <c r="F77" s="43">
        <f>'GT workings 14-15'!F152</f>
        <v>-7.6720932545878835</v>
      </c>
      <c r="G77" s="43">
        <f>'GT workings 14-15'!G152</f>
        <v>-7.2744293354864418</v>
      </c>
      <c r="H77" s="43">
        <f>'GT workings 14-15'!H152</f>
        <v>11.949257770032748</v>
      </c>
      <c r="I77" s="43">
        <f>'GT workings 14-15'!I152</f>
        <v>12.600101280448639</v>
      </c>
      <c r="J77" s="43">
        <f>'GT workings 14-15'!J152</f>
        <v>13.279283767471746</v>
      </c>
      <c r="K77" s="43">
        <f>'GT workings 14-15'!K152</f>
        <v>13.988039305682264</v>
      </c>
    </row>
    <row r="78" spans="1:14">
      <c r="C78" s="12" t="s">
        <v>105</v>
      </c>
      <c r="D78" s="50">
        <f>SUM(D70:D77)</f>
        <v>542.83406992244863</v>
      </c>
      <c r="E78" s="50">
        <f t="shared" ref="E78:K78" si="16">SUM(E70:E77)</f>
        <v>546.25792232812796</v>
      </c>
      <c r="F78" s="50">
        <f t="shared" si="16"/>
        <v>551.3208192535526</v>
      </c>
      <c r="G78" s="50">
        <f t="shared" si="16"/>
        <v>583.93183212884298</v>
      </c>
      <c r="H78" s="50">
        <f t="shared" si="16"/>
        <v>661.40742227557098</v>
      </c>
      <c r="I78" s="50">
        <f t="shared" si="16"/>
        <v>629.60070703274187</v>
      </c>
      <c r="J78" s="50">
        <f t="shared" si="16"/>
        <v>624.49362045500902</v>
      </c>
      <c r="K78" s="50">
        <f t="shared" si="16"/>
        <v>623.18302697186675</v>
      </c>
    </row>
    <row r="79" spans="1:14">
      <c r="C79" s="11" t="s">
        <v>106</v>
      </c>
      <c r="D79" s="43">
        <f>'GT workings 14-15'!D88</f>
        <v>3.5</v>
      </c>
      <c r="E79" s="43">
        <f>'GT workings 14-15'!E88</f>
        <v>2.9</v>
      </c>
      <c r="F79" s="43">
        <f>'GT workings 14-15'!F88</f>
        <v>3</v>
      </c>
      <c r="G79" s="43">
        <f>'GT workings 14-15'!G88</f>
        <v>3.1</v>
      </c>
      <c r="H79" s="43">
        <f>'GT workings 14-15'!H88</f>
        <v>3</v>
      </c>
      <c r="I79" s="43">
        <f>'GT workings 14-15'!I88</f>
        <v>3</v>
      </c>
      <c r="J79" s="43">
        <f>'GT workings 14-15'!J88</f>
        <v>3</v>
      </c>
      <c r="K79" s="43">
        <f>'GT workings 14-15'!K88</f>
        <v>3</v>
      </c>
      <c r="N79" s="132" t="s">
        <v>301</v>
      </c>
    </row>
    <row r="80" spans="1:14" ht="13.8" thickBot="1">
      <c r="A80" s="38"/>
      <c r="C80" s="13" t="s">
        <v>107</v>
      </c>
      <c r="D80" s="52">
        <f>D78+D79</f>
        <v>546.33406992244863</v>
      </c>
      <c r="E80" s="52">
        <f t="shared" ref="E80:K80" si="17">E78+E79</f>
        <v>549.15792232812794</v>
      </c>
      <c r="F80" s="52">
        <f t="shared" si="17"/>
        <v>554.3208192535526</v>
      </c>
      <c r="G80" s="52">
        <f t="shared" si="17"/>
        <v>587.03183212884301</v>
      </c>
      <c r="H80" s="52">
        <f t="shared" si="17"/>
        <v>664.40742227557098</v>
      </c>
      <c r="I80" s="52">
        <f t="shared" si="17"/>
        <v>632.60070703274187</v>
      </c>
      <c r="J80" s="52">
        <f t="shared" si="17"/>
        <v>627.49362045500902</v>
      </c>
      <c r="K80" s="52">
        <f t="shared" si="17"/>
        <v>626.18302697186675</v>
      </c>
      <c r="N80" s="133">
        <f>(K80/D80)^(1/7)-1</f>
        <v>1.9678557491512372E-2</v>
      </c>
    </row>
    <row r="82" spans="3:14" ht="13.8" thickBot="1">
      <c r="D82" s="109">
        <f>'GT workings 14-15'!D89-D80</f>
        <v>-4.1479285301220443</v>
      </c>
      <c r="E82" s="109">
        <f>'GT workings 14-15'!E89-E80</f>
        <v>4.3294004033148212</v>
      </c>
      <c r="F82" s="109">
        <f>'GT workings 14-15'!F89-F80</f>
        <v>-3.3557360409391777</v>
      </c>
      <c r="G82" s="109">
        <f>'GT workings 14-15'!G89-G80</f>
        <v>-3.3619029076573952</v>
      </c>
      <c r="H82" s="109">
        <f>'GT workings 14-15'!H89-H80</f>
        <v>-2.7882274421116335</v>
      </c>
      <c r="I82" s="109">
        <f>'GT workings 14-15'!I89-I80</f>
        <v>-2.7307473963296616</v>
      </c>
      <c r="J82" s="109">
        <f>'GT workings 14-15'!J89-J80</f>
        <v>-2.7691512207817368</v>
      </c>
      <c r="K82" s="109">
        <f>'GT workings 14-15'!K89-K80</f>
        <v>-2.8448971268992409</v>
      </c>
    </row>
    <row r="83" spans="3:14" ht="13.8" thickBot="1">
      <c r="C83" s="14" t="s">
        <v>58</v>
      </c>
      <c r="D83" s="15" t="s">
        <v>59</v>
      </c>
      <c r="E83" s="15" t="s">
        <v>60</v>
      </c>
      <c r="F83" s="15" t="s">
        <v>61</v>
      </c>
      <c r="G83" s="15" t="s">
        <v>62</v>
      </c>
      <c r="H83" s="15" t="s">
        <v>63</v>
      </c>
      <c r="I83" s="15" t="s">
        <v>64</v>
      </c>
      <c r="J83" s="15" t="s">
        <v>65</v>
      </c>
      <c r="K83" s="15" t="s">
        <v>66</v>
      </c>
      <c r="L83" s="15" t="s">
        <v>118</v>
      </c>
    </row>
    <row r="84" spans="3:14">
      <c r="C84" s="124"/>
      <c r="D84" s="125"/>
      <c r="E84" s="125"/>
      <c r="F84" s="125"/>
      <c r="G84" s="125"/>
      <c r="H84" s="125"/>
      <c r="I84" s="125"/>
      <c r="J84" s="125"/>
      <c r="K84" s="125"/>
      <c r="L84" s="125"/>
    </row>
    <row r="85" spans="3:14">
      <c r="C85" s="17" t="s">
        <v>42</v>
      </c>
      <c r="D85" s="126">
        <f>'GT workings 14-15'!D15</f>
        <v>25.459307795372435</v>
      </c>
      <c r="E85" s="126">
        <f>'GT workings 14-15'!E15</f>
        <v>14.41280752104567</v>
      </c>
      <c r="F85" s="126">
        <f>'GT workings 14-15'!F15</f>
        <v>9.6173202079823099</v>
      </c>
      <c r="G85" s="126">
        <f>'GT workings 14-15'!G15</f>
        <v>60.446777499796859</v>
      </c>
      <c r="H85" s="126">
        <f>'GT workings 14-15'!H15</f>
        <v>84.880198528547851</v>
      </c>
      <c r="I85" s="126">
        <f>'GT workings 14-15'!I15</f>
        <v>8.5249336835233791</v>
      </c>
      <c r="J85" s="126">
        <f>'GT workings 14-15'!J15</f>
        <v>0.23152878737450566</v>
      </c>
      <c r="K85" s="126">
        <f>'GT workings 14-15'!K15</f>
        <v>0</v>
      </c>
      <c r="L85" s="126">
        <f>SUM(D85:K85)</f>
        <v>203.57287402364304</v>
      </c>
      <c r="M85" s="53">
        <f t="shared" ref="M85:M99" si="18">E3</f>
        <v>0.20357287402364305</v>
      </c>
      <c r="N85" s="53" t="b">
        <f>M85=L85/1000</f>
        <v>1</v>
      </c>
    </row>
    <row r="86" spans="3:14">
      <c r="C86" s="17" t="s">
        <v>43</v>
      </c>
      <c r="D86" s="126">
        <f>'GT workings 14-15'!D16</f>
        <v>97.132518315217595</v>
      </c>
      <c r="E86" s="126">
        <f>'GT workings 14-15'!E16</f>
        <v>109.87971241227922</v>
      </c>
      <c r="F86" s="126">
        <f>'GT workings 14-15'!F16</f>
        <v>114.43672637584547</v>
      </c>
      <c r="G86" s="126">
        <f>'GT workings 14-15'!G16</f>
        <v>123.96977718673423</v>
      </c>
      <c r="H86" s="126">
        <f>'GT workings 14-15'!H16</f>
        <v>138.27838395379189</v>
      </c>
      <c r="I86" s="126">
        <f>'GT workings 14-15'!I16</f>
        <v>117.50342084599842</v>
      </c>
      <c r="J86" s="126">
        <f>'GT workings 14-15'!J16</f>
        <v>101.87556011564801</v>
      </c>
      <c r="K86" s="126">
        <f>'GT workings 14-15'!K16</f>
        <v>91.157975802007329</v>
      </c>
      <c r="L86" s="126">
        <f>SUM(D86:K86)</f>
        <v>894.23407500752216</v>
      </c>
      <c r="M86" s="53">
        <f t="shared" si="18"/>
        <v>0.89423407500752217</v>
      </c>
      <c r="N86" s="53" t="b">
        <f>M86=L86/1000</f>
        <v>1</v>
      </c>
    </row>
    <row r="87" spans="3:14">
      <c r="C87" s="18" t="s">
        <v>44</v>
      </c>
      <c r="D87" s="128">
        <f>'GT workings 14-15'!D20</f>
        <v>0</v>
      </c>
      <c r="E87" s="128">
        <f>'GT workings 14-15'!E20</f>
        <v>0</v>
      </c>
      <c r="F87" s="128">
        <f>'GT workings 14-15'!F20</f>
        <v>0</v>
      </c>
      <c r="G87" s="128">
        <f>'GT workings 14-15'!G20</f>
        <v>0</v>
      </c>
      <c r="H87" s="128">
        <f>'GT workings 14-15'!H20</f>
        <v>0</v>
      </c>
      <c r="I87" s="128">
        <f>'GT workings 14-15'!I20</f>
        <v>0</v>
      </c>
      <c r="J87" s="128">
        <f>'GT workings 14-15'!J20</f>
        <v>0</v>
      </c>
      <c r="K87" s="128">
        <f>'GT workings 14-15'!K20</f>
        <v>0</v>
      </c>
      <c r="L87" s="128">
        <f t="shared" ref="L87:L99" si="19">SUM(D87:K87)</f>
        <v>0</v>
      </c>
      <c r="M87" s="53">
        <f t="shared" si="18"/>
        <v>0</v>
      </c>
      <c r="N87" s="53" t="b">
        <f t="shared" ref="N87:N99" si="20">M87=L87/1000</f>
        <v>1</v>
      </c>
    </row>
    <row r="88" spans="3:14">
      <c r="C88" s="17" t="s">
        <v>408</v>
      </c>
      <c r="D88" s="126">
        <f>'GT workings 14-15'!D21</f>
        <v>0</v>
      </c>
      <c r="E88" s="126">
        <f>'GT workings 14-15'!E21</f>
        <v>0</v>
      </c>
      <c r="F88" s="126">
        <f>'GT workings 14-15'!F21</f>
        <v>0</v>
      </c>
      <c r="G88" s="126">
        <f>'GT workings 14-15'!G21</f>
        <v>0</v>
      </c>
      <c r="H88" s="126">
        <f>'GT workings 14-15'!H21</f>
        <v>0</v>
      </c>
      <c r="I88" s="126">
        <f>'GT workings 14-15'!I21</f>
        <v>0</v>
      </c>
      <c r="J88" s="126">
        <f>'GT workings 14-15'!J21</f>
        <v>0</v>
      </c>
      <c r="K88" s="126">
        <f>'GT workings 14-15'!K21</f>
        <v>0</v>
      </c>
      <c r="L88" s="126">
        <f t="shared" si="19"/>
        <v>0</v>
      </c>
      <c r="M88" s="53">
        <f t="shared" si="18"/>
        <v>0</v>
      </c>
      <c r="N88" s="53" t="b">
        <f t="shared" si="20"/>
        <v>1</v>
      </c>
    </row>
    <row r="89" spans="3:14">
      <c r="C89" s="18" t="s">
        <v>46</v>
      </c>
      <c r="D89" s="127">
        <f>'GT workings 14-15'!D17</f>
        <v>64.482672010544718</v>
      </c>
      <c r="E89" s="127">
        <f>'GT workings 14-15'!E17</f>
        <v>65.237874215180156</v>
      </c>
      <c r="F89" s="127">
        <f>'GT workings 14-15'!F17</f>
        <v>70.772894725011071</v>
      </c>
      <c r="G89" s="127">
        <f>'GT workings 14-15'!G17</f>
        <v>79.368338266410362</v>
      </c>
      <c r="H89" s="127">
        <f>'GT workings 14-15'!H17</f>
        <v>84.317479134504765</v>
      </c>
      <c r="I89" s="127">
        <f>'GT workings 14-15'!I17</f>
        <v>84.641346358196444</v>
      </c>
      <c r="J89" s="127">
        <f>'GT workings 14-15'!J17</f>
        <v>80.728014781566515</v>
      </c>
      <c r="K89" s="127">
        <f>'GT workings 14-15'!K17</f>
        <v>77.490070123441129</v>
      </c>
      <c r="L89" s="127">
        <f t="shared" si="19"/>
        <v>607.03868961485512</v>
      </c>
      <c r="M89" s="53">
        <f t="shared" si="18"/>
        <v>0.60703868961485508</v>
      </c>
      <c r="N89" s="53" t="b">
        <f t="shared" si="20"/>
        <v>1</v>
      </c>
    </row>
    <row r="90" spans="3:14">
      <c r="C90" s="19" t="s">
        <v>48</v>
      </c>
      <c r="D90" s="129">
        <f t="shared" ref="D90" si="21">SUM(D85:D89)</f>
        <v>187.07449812113475</v>
      </c>
      <c r="E90" s="129">
        <f t="shared" ref="E90:K90" si="22">SUM(E85:E89)</f>
        <v>189.53039414850502</v>
      </c>
      <c r="F90" s="129">
        <f t="shared" si="22"/>
        <v>194.82694130883885</v>
      </c>
      <c r="G90" s="129">
        <f t="shared" si="22"/>
        <v>263.78489295294145</v>
      </c>
      <c r="H90" s="129">
        <f t="shared" si="22"/>
        <v>307.4760616168445</v>
      </c>
      <c r="I90" s="129">
        <f t="shared" si="22"/>
        <v>210.66970088771825</v>
      </c>
      <c r="J90" s="129">
        <f t="shared" si="22"/>
        <v>182.83510368458903</v>
      </c>
      <c r="K90" s="129">
        <f t="shared" si="22"/>
        <v>168.64804592544846</v>
      </c>
      <c r="L90" s="129">
        <f t="shared" si="19"/>
        <v>1704.8456386460205</v>
      </c>
      <c r="M90" s="53">
        <f t="shared" si="18"/>
        <v>1.7048456386460202</v>
      </c>
      <c r="N90" s="53" t="b">
        <f t="shared" si="20"/>
        <v>1</v>
      </c>
    </row>
    <row r="91" spans="3:14">
      <c r="C91" s="18" t="s">
        <v>52</v>
      </c>
      <c r="D91" s="128">
        <f>'GT workings 14-15'!D26</f>
        <v>110.11544616012048</v>
      </c>
      <c r="E91" s="128">
        <f>'GT workings 14-15'!E26</f>
        <v>110.29121834911521</v>
      </c>
      <c r="F91" s="128">
        <f>'GT workings 14-15'!F26</f>
        <v>110.32860169190292</v>
      </c>
      <c r="G91" s="128">
        <f>'GT workings 14-15'!G26</f>
        <v>110.3596633646699</v>
      </c>
      <c r="H91" s="128">
        <f>'GT workings 14-15'!H26</f>
        <v>110.27343835902431</v>
      </c>
      <c r="I91" s="128">
        <f>'GT workings 14-15'!I26</f>
        <v>110.27662588032852</v>
      </c>
      <c r="J91" s="128">
        <f>'GT workings 14-15'!J26</f>
        <v>110.30420904525512</v>
      </c>
      <c r="K91" s="128">
        <f>'GT workings 14-15'!K26</f>
        <v>110.31067350058066</v>
      </c>
      <c r="L91" s="128">
        <f t="shared" si="19"/>
        <v>882.25987635099727</v>
      </c>
      <c r="M91" s="53">
        <f t="shared" si="18"/>
        <v>0.88225987635099723</v>
      </c>
      <c r="N91" s="53" t="b">
        <f t="shared" si="20"/>
        <v>1</v>
      </c>
    </row>
    <row r="92" spans="3:14">
      <c r="C92" s="17"/>
      <c r="D92" s="126"/>
      <c r="E92" s="126"/>
      <c r="F92" s="126"/>
      <c r="G92" s="126"/>
      <c r="H92" s="126"/>
      <c r="I92" s="126"/>
      <c r="J92" s="126"/>
      <c r="K92" s="126"/>
      <c r="L92" s="126"/>
      <c r="M92" s="53">
        <f t="shared" si="18"/>
        <v>0</v>
      </c>
      <c r="N92" s="53" t="b">
        <f t="shared" si="20"/>
        <v>1</v>
      </c>
    </row>
    <row r="93" spans="3:14">
      <c r="C93" s="18" t="s">
        <v>49</v>
      </c>
      <c r="D93" s="127">
        <f>'GT workings 14-15'!D8</f>
        <v>33.734064323833628</v>
      </c>
      <c r="E93" s="127">
        <f>'GT workings 14-15'!E8</f>
        <v>27.39346022326454</v>
      </c>
      <c r="F93" s="127">
        <f>'GT workings 14-15'!F8</f>
        <v>18.58964637976759</v>
      </c>
      <c r="G93" s="127">
        <f>'GT workings 14-15'!G8</f>
        <v>15.690053681814245</v>
      </c>
      <c r="H93" s="127">
        <f>'GT workings 14-15'!H8</f>
        <v>14.117331818843784</v>
      </c>
      <c r="I93" s="127">
        <f>'GT workings 14-15'!I8</f>
        <v>12.8424465294623</v>
      </c>
      <c r="J93" s="127">
        <f>'GT workings 14-15'!J8</f>
        <v>15.120708694627556</v>
      </c>
      <c r="K93" s="127">
        <f>'GT workings 14-15'!K8</f>
        <v>12.837335667911791</v>
      </c>
      <c r="L93" s="127">
        <f t="shared" si="19"/>
        <v>150.32504731952542</v>
      </c>
      <c r="M93" s="53">
        <f t="shared" si="18"/>
        <v>0.15032504731952542</v>
      </c>
      <c r="N93" s="53" t="b">
        <f t="shared" si="20"/>
        <v>1</v>
      </c>
    </row>
    <row r="94" spans="3:14">
      <c r="C94" s="17" t="s">
        <v>44</v>
      </c>
      <c r="D94" s="126">
        <f>'GT workings 14-15'!D12</f>
        <v>7.1559568178343396</v>
      </c>
      <c r="E94" s="126">
        <f>'GT workings 14-15'!E12</f>
        <v>4.9583696669587889</v>
      </c>
      <c r="F94" s="126">
        <f>'GT workings 14-15'!F12</f>
        <v>6.5268703309989426</v>
      </c>
      <c r="G94" s="126">
        <f>'GT workings 14-15'!G12</f>
        <v>8.9978253214108026</v>
      </c>
      <c r="H94" s="126">
        <f>'GT workings 14-15'!H12</f>
        <v>8.0555897404504044</v>
      </c>
      <c r="I94" s="126">
        <f>'GT workings 14-15'!I12</f>
        <v>5.1722575344308828</v>
      </c>
      <c r="J94" s="126">
        <f>'GT workings 14-15'!J12</f>
        <v>4.1277105565726</v>
      </c>
      <c r="K94" s="126">
        <f>'GT workings 14-15'!K12</f>
        <v>3.7879167847205548</v>
      </c>
      <c r="L94" s="126">
        <f t="shared" si="19"/>
        <v>48.782496753377316</v>
      </c>
      <c r="M94" s="53">
        <f t="shared" si="18"/>
        <v>4.8782496753377314E-2</v>
      </c>
      <c r="N94" s="53" t="b">
        <f t="shared" si="20"/>
        <v>1</v>
      </c>
    </row>
    <row r="95" spans="3:14">
      <c r="C95" s="18" t="s">
        <v>45</v>
      </c>
      <c r="D95" s="127">
        <f>'GT workings 14-15'!D13</f>
        <v>6.3163703255204871</v>
      </c>
      <c r="E95" s="127">
        <f>'GT workings 14-15'!E13</f>
        <v>7.5041818587940385</v>
      </c>
      <c r="F95" s="127">
        <f>'GT workings 14-15'!F13</f>
        <v>11.666765702990109</v>
      </c>
      <c r="G95" s="127">
        <f>'GT workings 14-15'!G13</f>
        <v>14.771156922046991</v>
      </c>
      <c r="H95" s="127">
        <f>'GT workings 14-15'!H13</f>
        <v>13.45775622663338</v>
      </c>
      <c r="I95" s="127">
        <f>'GT workings 14-15'!I13</f>
        <v>11.373748646385858</v>
      </c>
      <c r="J95" s="127">
        <f>'GT workings 14-15'!J13</f>
        <v>9.8338467639554441</v>
      </c>
      <c r="K95" s="127">
        <f>'GT workings 14-15'!K13</f>
        <v>10.346026051396899</v>
      </c>
      <c r="L95" s="127">
        <f t="shared" si="19"/>
        <v>85.269852497723221</v>
      </c>
      <c r="M95" s="53">
        <f t="shared" si="18"/>
        <v>8.5269852497723217E-2</v>
      </c>
      <c r="N95" s="53" t="b">
        <f t="shared" si="20"/>
        <v>1</v>
      </c>
    </row>
    <row r="96" spans="3:14">
      <c r="C96" s="17" t="s">
        <v>46</v>
      </c>
      <c r="D96" s="126">
        <f>'GT workings 14-15'!D7</f>
        <v>37.780581733294433</v>
      </c>
      <c r="E96" s="126">
        <f>'GT workings 14-15'!E7</f>
        <v>38.765251453029641</v>
      </c>
      <c r="F96" s="126">
        <f>'GT workings 14-15'!F7</f>
        <v>38.935734544913359</v>
      </c>
      <c r="G96" s="126">
        <f>'GT workings 14-15'!G7</f>
        <v>37.194366497168517</v>
      </c>
      <c r="H96" s="126">
        <f>'GT workings 14-15'!H7</f>
        <v>37.663363739263652</v>
      </c>
      <c r="I96" s="126">
        <f>'GT workings 14-15'!I7</f>
        <v>38.166072267177746</v>
      </c>
      <c r="J96" s="126">
        <f>'GT workings 14-15'!J7</f>
        <v>38.821758225100261</v>
      </c>
      <c r="K96" s="126">
        <f>'GT workings 14-15'!K7</f>
        <v>39.417681323616755</v>
      </c>
      <c r="L96" s="126">
        <f t="shared" si="19"/>
        <v>306.74480978356434</v>
      </c>
      <c r="M96" s="53">
        <f t="shared" si="18"/>
        <v>0.30674480978356433</v>
      </c>
      <c r="N96" s="53" t="b">
        <f t="shared" si="20"/>
        <v>1</v>
      </c>
    </row>
    <row r="97" spans="1:14">
      <c r="C97" s="123" t="s">
        <v>50</v>
      </c>
      <c r="D97" s="130">
        <f t="shared" ref="D97:K97" si="23">SUM(D93:D96)</f>
        <v>84.986973200482879</v>
      </c>
      <c r="E97" s="130">
        <f t="shared" si="23"/>
        <v>78.621263202047004</v>
      </c>
      <c r="F97" s="130">
        <f t="shared" si="23"/>
        <v>75.719016958669997</v>
      </c>
      <c r="G97" s="130">
        <f t="shared" si="23"/>
        <v>76.653402422440564</v>
      </c>
      <c r="H97" s="130">
        <f t="shared" si="23"/>
        <v>73.294041525191219</v>
      </c>
      <c r="I97" s="130">
        <f t="shared" si="23"/>
        <v>67.554524977456794</v>
      </c>
      <c r="J97" s="130">
        <f t="shared" si="23"/>
        <v>67.904024240255865</v>
      </c>
      <c r="K97" s="130">
        <f t="shared" si="23"/>
        <v>66.388959827646005</v>
      </c>
      <c r="L97" s="130">
        <f t="shared" si="19"/>
        <v>591.12220635419044</v>
      </c>
      <c r="M97" s="53">
        <f t="shared" si="18"/>
        <v>0.59112220635419033</v>
      </c>
      <c r="N97" s="53" t="b">
        <f t="shared" si="20"/>
        <v>1</v>
      </c>
    </row>
    <row r="98" spans="1:14">
      <c r="C98" s="17"/>
      <c r="D98" s="126"/>
      <c r="E98" s="126"/>
      <c r="F98" s="126"/>
      <c r="G98" s="126"/>
      <c r="H98" s="126"/>
      <c r="I98" s="126"/>
      <c r="J98" s="126"/>
      <c r="K98" s="126"/>
      <c r="L98" s="126"/>
      <c r="M98" s="53">
        <f t="shared" si="18"/>
        <v>0</v>
      </c>
      <c r="N98" s="53" t="b">
        <f t="shared" si="20"/>
        <v>1</v>
      </c>
    </row>
    <row r="99" spans="1:14" ht="13.8" thickBot="1">
      <c r="C99" s="23" t="s">
        <v>51</v>
      </c>
      <c r="D99" s="131">
        <f t="shared" ref="D99:K99" si="24">D97+D90</f>
        <v>272.06147132161766</v>
      </c>
      <c r="E99" s="131">
        <f t="shared" si="24"/>
        <v>268.151657350552</v>
      </c>
      <c r="F99" s="131">
        <f t="shared" si="24"/>
        <v>270.54595826750887</v>
      </c>
      <c r="G99" s="131">
        <f t="shared" si="24"/>
        <v>340.43829537538204</v>
      </c>
      <c r="H99" s="131">
        <f t="shared" si="24"/>
        <v>380.77010314203574</v>
      </c>
      <c r="I99" s="131">
        <f t="shared" si="24"/>
        <v>278.22422586517507</v>
      </c>
      <c r="J99" s="131">
        <f t="shared" si="24"/>
        <v>250.73912792484489</v>
      </c>
      <c r="K99" s="131">
        <f t="shared" si="24"/>
        <v>235.03700575309446</v>
      </c>
      <c r="L99" s="131">
        <f t="shared" si="19"/>
        <v>2295.9678450002107</v>
      </c>
      <c r="M99" s="53">
        <f t="shared" si="18"/>
        <v>2.2959678450002103</v>
      </c>
      <c r="N99" s="53" t="b">
        <f t="shared" si="20"/>
        <v>1</v>
      </c>
    </row>
    <row r="100" spans="1:14">
      <c r="C100" s="39"/>
      <c r="D100" s="203"/>
      <c r="E100" s="203"/>
      <c r="F100" s="203"/>
      <c r="G100" s="203"/>
      <c r="H100" s="203"/>
      <c r="I100" s="203"/>
      <c r="J100" s="203"/>
      <c r="K100" s="203"/>
      <c r="L100" s="203"/>
      <c r="M100" s="53"/>
      <c r="N100" s="53"/>
    </row>
    <row r="101" spans="1:14">
      <c r="A101" s="38" t="s">
        <v>409</v>
      </c>
    </row>
    <row r="102" spans="1:14" ht="13.8" thickBot="1">
      <c r="C102" s="38" t="s">
        <v>140</v>
      </c>
    </row>
    <row r="103" spans="1:14" ht="13.8" thickBot="1">
      <c r="C103" s="7" t="s">
        <v>58</v>
      </c>
      <c r="D103" s="8" t="s">
        <v>59</v>
      </c>
      <c r="E103" s="8" t="s">
        <v>60</v>
      </c>
      <c r="F103" s="8" t="s">
        <v>61</v>
      </c>
      <c r="G103" s="8" t="s">
        <v>62</v>
      </c>
      <c r="H103" s="8" t="s">
        <v>63</v>
      </c>
      <c r="I103" s="8" t="s">
        <v>64</v>
      </c>
      <c r="J103" s="8" t="s">
        <v>65</v>
      </c>
      <c r="K103" s="8" t="s">
        <v>66</v>
      </c>
    </row>
    <row r="104" spans="1:14">
      <c r="C104" s="22" t="s">
        <v>91</v>
      </c>
      <c r="D104" s="175">
        <f>'GT workings 14-15'!D134+'GT workings 14-15'!D155</f>
        <v>4615.060328174176</v>
      </c>
      <c r="E104" s="175">
        <f>'GT workings 14-15'!E134+'GT workings 14-15'!E155</f>
        <v>4709.2605065569023</v>
      </c>
      <c r="F104" s="175">
        <f>'GT workings 14-15'!F134+'GT workings 14-15'!F155</f>
        <v>4722.5931062242662</v>
      </c>
      <c r="G104" s="175">
        <f>'GT workings 14-15'!G134+'GT workings 14-15'!G155</f>
        <v>4777.4587601828289</v>
      </c>
      <c r="H104" s="175">
        <f>'GT workings 14-15'!H134+'GT workings 14-15'!H155</f>
        <v>4910.4111034216676</v>
      </c>
      <c r="I104" s="175">
        <f>'GT workings 14-15'!I134+'GT workings 14-15'!I155</f>
        <v>5024.0138435020826</v>
      </c>
      <c r="J104" s="175">
        <f>'GT workings 14-15'!J134+'GT workings 14-15'!J155</f>
        <v>5017.6867142505644</v>
      </c>
      <c r="K104" s="175">
        <f>'GT workings 14-15'!K134+'GT workings 14-15'!K155</f>
        <v>4969.8361309066077</v>
      </c>
    </row>
    <row r="105" spans="1:14">
      <c r="C105" s="10" t="s">
        <v>86</v>
      </c>
      <c r="D105" s="176">
        <f>'GT workings 14-15'!D135+'GT workings 14-15'!D156</f>
        <v>250.95655141080221</v>
      </c>
      <c r="E105" s="176">
        <f>'GT workings 14-15'!E135+'GT workings 14-15'!E156</f>
        <v>177.47095202039407</v>
      </c>
      <c r="F105" s="176">
        <f>'GT workings 14-15'!F135+'GT workings 14-15'!F156</f>
        <v>223.25337609440126</v>
      </c>
      <c r="G105" s="176">
        <f>'GT workings 14-15'!G135+'GT workings 14-15'!G156</f>
        <v>306.95809896126462</v>
      </c>
      <c r="H105" s="176">
        <f>'GT workings 14-15'!H135+'GT workings 14-15'!H156</f>
        <v>294.76860095013785</v>
      </c>
      <c r="I105" s="176">
        <f>'GT workings 14-15'!I135+'GT workings 14-15'!I156</f>
        <v>181.70836443999042</v>
      </c>
      <c r="J105" s="176">
        <f>'GT workings 14-15'!J135+'GT workings 14-15'!J156</f>
        <v>143.94477651168461</v>
      </c>
      <c r="K105" s="176">
        <f>'GT workings 14-15'!K135+'GT workings 14-15'!K156</f>
        <v>133.43105457142374</v>
      </c>
    </row>
    <row r="106" spans="1:14">
      <c r="C106" s="11" t="s">
        <v>87</v>
      </c>
      <c r="D106" s="177">
        <f>'GT workings 14-15'!D136+'GT workings 14-15'!D157</f>
        <v>-156.75637302807576</v>
      </c>
      <c r="E106" s="177">
        <f>'GT workings 14-15'!E136+'GT workings 14-15'!E157</f>
        <v>-164.13835235303043</v>
      </c>
      <c r="F106" s="177">
        <f>'GT workings 14-15'!F136+'GT workings 14-15'!F157</f>
        <v>-168.3877221358384</v>
      </c>
      <c r="G106" s="177">
        <f>'GT workings 14-15'!G136+'GT workings 14-15'!G157</f>
        <v>-174.00575572242653</v>
      </c>
      <c r="H106" s="177">
        <f>'GT workings 14-15'!H136+'GT workings 14-15'!H157</f>
        <v>-181.1658608697235</v>
      </c>
      <c r="I106" s="177">
        <f>'GT workings 14-15'!I136+'GT workings 14-15'!I157</f>
        <v>-188.03549369150866</v>
      </c>
      <c r="J106" s="177">
        <f>'GT workings 14-15'!J136+'GT workings 14-15'!J157</f>
        <v>-191.79535985564132</v>
      </c>
      <c r="K106" s="177">
        <f>'GT workings 14-15'!K136+'GT workings 14-15'!K157</f>
        <v>-192.9105650368127</v>
      </c>
    </row>
    <row r="107" spans="1:14" ht="13.8" thickBot="1">
      <c r="C107" s="13" t="s">
        <v>94</v>
      </c>
      <c r="D107" s="178">
        <f>'GT workings 14-15'!D137+'GT workings 14-15'!D158</f>
        <v>4709.2605065569023</v>
      </c>
      <c r="E107" s="178">
        <f>'GT workings 14-15'!E137+'GT workings 14-15'!E158</f>
        <v>4722.5931062242662</v>
      </c>
      <c r="F107" s="178">
        <f>'GT workings 14-15'!F137+'GT workings 14-15'!F158</f>
        <v>4777.4587601828289</v>
      </c>
      <c r="G107" s="178">
        <f>'GT workings 14-15'!G137+'GT workings 14-15'!G158</f>
        <v>4910.4111034216676</v>
      </c>
      <c r="H107" s="178">
        <f>'GT workings 14-15'!H137+'GT workings 14-15'!H158</f>
        <v>5024.0138435020826</v>
      </c>
      <c r="I107" s="178">
        <f>'GT workings 14-15'!I137+'GT workings 14-15'!I158</f>
        <v>5017.6867142505644</v>
      </c>
      <c r="J107" s="178">
        <f>'GT workings 14-15'!J137+'GT workings 14-15'!J158</f>
        <v>4969.8361309066077</v>
      </c>
      <c r="K107" s="178">
        <f>'GT workings 14-15'!K137+'GT workings 14-15'!K158</f>
        <v>4910.3566204412191</v>
      </c>
    </row>
    <row r="109" spans="1:14" ht="13.8" thickBot="1"/>
    <row r="110" spans="1:14" ht="13.8" thickBot="1">
      <c r="C110" s="7" t="s">
        <v>58</v>
      </c>
      <c r="D110" s="8" t="s">
        <v>59</v>
      </c>
      <c r="E110" s="8" t="s">
        <v>60</v>
      </c>
      <c r="F110" s="8" t="s">
        <v>61</v>
      </c>
      <c r="G110" s="8" t="s">
        <v>62</v>
      </c>
      <c r="H110" s="8" t="s">
        <v>63</v>
      </c>
      <c r="I110" s="8" t="s">
        <v>64</v>
      </c>
      <c r="J110" s="8" t="s">
        <v>65</v>
      </c>
      <c r="K110" s="8" t="s">
        <v>66</v>
      </c>
    </row>
    <row r="111" spans="1:14">
      <c r="C111" s="11" t="s">
        <v>142</v>
      </c>
      <c r="D111" s="171">
        <f>'GT workings 14-15'!D118</f>
        <v>94.224999999999994</v>
      </c>
      <c r="E111" s="171">
        <f>'GT workings 14-15'!E118</f>
        <v>87.484999999999999</v>
      </c>
      <c r="F111" s="171">
        <f>'GT workings 14-15'!F118</f>
        <v>79.322999999999993</v>
      </c>
      <c r="G111" s="171">
        <f>'GT workings 14-15'!G118</f>
        <v>58.722999999999999</v>
      </c>
      <c r="H111" s="171">
        <f>'GT workings 14-15'!H118</f>
        <v>3.3000000000000002E-2</v>
      </c>
      <c r="I111" s="171">
        <f>'GT workings 14-15'!I118</f>
        <v>3.3000000000000002E-2</v>
      </c>
      <c r="J111" s="171">
        <f>'GT workings 14-15'!J118</f>
        <v>0</v>
      </c>
      <c r="K111" s="171">
        <f>'GT workings 14-15'!K118</f>
        <v>0</v>
      </c>
    </row>
    <row r="112" spans="1:14" ht="13.8" thickBot="1">
      <c r="C112" s="40" t="s">
        <v>143</v>
      </c>
      <c r="D112" s="174">
        <f>'GT workings 14-15'!D173</f>
        <v>14.16619923431</v>
      </c>
      <c r="E112" s="174">
        <f>'GT workings 14-15'!E173</f>
        <v>26.016783731295874</v>
      </c>
      <c r="F112" s="174">
        <f>'GT workings 14-15'!F173</f>
        <v>69.473671529071126</v>
      </c>
      <c r="G112" s="174">
        <f>'GT workings 14-15'!G173</f>
        <v>108.4200133736822</v>
      </c>
      <c r="H112" s="174">
        <f>'GT workings 14-15'!H173</f>
        <v>69.349803718573156</v>
      </c>
      <c r="I112" s="174">
        <f>'GT workings 14-15'!I173</f>
        <v>20.779442706835688</v>
      </c>
      <c r="J112" s="174">
        <f>'GT workings 14-15'!J173</f>
        <v>0.81062265305823133</v>
      </c>
      <c r="K112" s="174">
        <f>'GT workings 14-15'!K173</f>
        <v>0</v>
      </c>
    </row>
    <row r="115" spans="1:14" ht="13.8" thickBot="1">
      <c r="C115" s="38" t="s">
        <v>122</v>
      </c>
    </row>
    <row r="116" spans="1:14" ht="13.8" thickBot="1">
      <c r="C116" s="7" t="s">
        <v>58</v>
      </c>
      <c r="D116" s="8" t="s">
        <v>59</v>
      </c>
      <c r="E116" s="8" t="s">
        <v>60</v>
      </c>
      <c r="F116" s="8" t="s">
        <v>61</v>
      </c>
      <c r="G116" s="8" t="s">
        <v>62</v>
      </c>
      <c r="H116" s="8" t="s">
        <v>63</v>
      </c>
      <c r="I116" s="8" t="s">
        <v>64</v>
      </c>
      <c r="J116" s="8" t="s">
        <v>65</v>
      </c>
      <c r="K116" s="8" t="s">
        <v>66</v>
      </c>
    </row>
    <row r="117" spans="1:14">
      <c r="C117" s="22" t="s">
        <v>91</v>
      </c>
      <c r="D117" s="41">
        <f>'GT workings 14-15'!D155</f>
        <v>53.000554975302876</v>
      </c>
      <c r="E117" s="41">
        <f>'GT workings 14-15'!E155</f>
        <v>71.285503485595356</v>
      </c>
      <c r="F117" s="41">
        <f>'GT workings 14-15'!F155</f>
        <v>86.0262524321559</v>
      </c>
      <c r="G117" s="41">
        <f>'GT workings 14-15'!G155</f>
        <v>97.049824740637092</v>
      </c>
      <c r="H117" s="41">
        <f>'GT workings 14-15'!H155</f>
        <v>105.46396495837715</v>
      </c>
      <c r="I117" s="41">
        <f>'GT workings 14-15'!I155</f>
        <v>109.97307955683269</v>
      </c>
      <c r="J117" s="41">
        <f>'GT workings 14-15'!J155</f>
        <v>109.73450493633288</v>
      </c>
      <c r="K117" s="41">
        <f>'GT workings 14-15'!K155</f>
        <v>107.67055172719654</v>
      </c>
    </row>
    <row r="118" spans="1:14">
      <c r="C118" s="10" t="s">
        <v>86</v>
      </c>
      <c r="D118" s="42">
        <f>'GT workings 14-15'!D156</f>
        <v>28.829983001135318</v>
      </c>
      <c r="E118" s="42">
        <f>'GT workings 14-15'!E156</f>
        <v>29.404352437565585</v>
      </c>
      <c r="F118" s="42">
        <f>'GT workings 14-15'!F156</f>
        <v>28.318912342542578</v>
      </c>
      <c r="G118" s="42">
        <f>'GT workings 14-15'!G156</f>
        <v>28.668372505992771</v>
      </c>
      <c r="H118" s="42">
        <f>'GT workings 14-15'!H156</f>
        <v>27.411971530421514</v>
      </c>
      <c r="I118" s="42">
        <f>'GT workings 14-15'!I156</f>
        <v>25.265392341568841</v>
      </c>
      <c r="J118" s="42">
        <f>'GT workings 14-15'!J156</f>
        <v>25.396105065855693</v>
      </c>
      <c r="K118" s="42">
        <f>'GT workings 14-15'!K156</f>
        <v>24.829470975539607</v>
      </c>
    </row>
    <row r="119" spans="1:14">
      <c r="C119" s="11" t="s">
        <v>87</v>
      </c>
      <c r="D119" s="43">
        <f>'GT workings 14-15'!D157</f>
        <v>-10.545034490842841</v>
      </c>
      <c r="E119" s="43">
        <f>'GT workings 14-15'!E157</f>
        <v>-14.663603491005031</v>
      </c>
      <c r="F119" s="43">
        <f>'GT workings 14-15'!F157</f>
        <v>-17.295340034061375</v>
      </c>
      <c r="G119" s="43">
        <f>'GT workings 14-15'!G157</f>
        <v>-20.254232288252716</v>
      </c>
      <c r="H119" s="43">
        <f>'GT workings 14-15'!H157</f>
        <v>-22.902856931965967</v>
      </c>
      <c r="I119" s="43">
        <f>'GT workings 14-15'!I157</f>
        <v>-25.50396696206866</v>
      </c>
      <c r="J119" s="43">
        <f>'GT workings 14-15'!J157</f>
        <v>-27.460058274992043</v>
      </c>
      <c r="K119" s="43">
        <f>'GT workings 14-15'!K157</f>
        <v>-27.613584175011756</v>
      </c>
    </row>
    <row r="120" spans="1:14" ht="13.8" thickBot="1">
      <c r="C120" s="13" t="s">
        <v>94</v>
      </c>
      <c r="D120" s="52">
        <f>'GT workings 14-15'!D158</f>
        <v>71.285503485595356</v>
      </c>
      <c r="E120" s="52">
        <f>'GT workings 14-15'!E158</f>
        <v>86.0262524321559</v>
      </c>
      <c r="F120" s="52">
        <f>'GT workings 14-15'!F158</f>
        <v>97.049824740637092</v>
      </c>
      <c r="G120" s="52">
        <f>'GT workings 14-15'!G158</f>
        <v>105.46396495837715</v>
      </c>
      <c r="H120" s="52">
        <f>'GT workings 14-15'!H158</f>
        <v>109.97307955683269</v>
      </c>
      <c r="I120" s="52">
        <f>'GT workings 14-15'!I158</f>
        <v>109.73450493633288</v>
      </c>
      <c r="J120" s="52">
        <f>'GT workings 14-15'!J158</f>
        <v>107.67055172719654</v>
      </c>
      <c r="K120" s="52">
        <f>'GT workings 14-15'!K158</f>
        <v>104.88643852772439</v>
      </c>
    </row>
    <row r="122" spans="1:14">
      <c r="A122" s="38" t="s">
        <v>402</v>
      </c>
    </row>
    <row r="123" spans="1:14" ht="13.8" thickBot="1">
      <c r="C123" s="38" t="s">
        <v>395</v>
      </c>
    </row>
    <row r="124" spans="1:14" ht="13.8" thickBot="1">
      <c r="C124" s="14" t="s">
        <v>58</v>
      </c>
      <c r="D124" s="15" t="s">
        <v>59</v>
      </c>
      <c r="E124" s="15" t="s">
        <v>60</v>
      </c>
      <c r="F124" s="15" t="s">
        <v>61</v>
      </c>
      <c r="G124" s="15" t="s">
        <v>62</v>
      </c>
      <c r="H124" s="15" t="s">
        <v>63</v>
      </c>
      <c r="I124" s="15" t="s">
        <v>64</v>
      </c>
      <c r="J124" s="15" t="s">
        <v>65</v>
      </c>
      <c r="K124" s="15" t="s">
        <v>66</v>
      </c>
      <c r="L124" s="15" t="s">
        <v>118</v>
      </c>
    </row>
    <row r="125" spans="1:14">
      <c r="C125" s="16"/>
      <c r="D125" s="26"/>
      <c r="E125" s="26"/>
      <c r="F125" s="26"/>
      <c r="G125" s="26"/>
      <c r="H125" s="26"/>
      <c r="I125" s="26"/>
      <c r="J125" s="26"/>
      <c r="K125" s="26"/>
      <c r="L125" s="26"/>
    </row>
    <row r="126" spans="1:14">
      <c r="A126" t="s">
        <v>338</v>
      </c>
      <c r="C126" s="17" t="s">
        <v>119</v>
      </c>
      <c r="D126" s="27">
        <f>'GT workings 14-15'!D8+'GT workings 14-15'!D12</f>
        <v>40.890021141667965</v>
      </c>
      <c r="E126" s="27">
        <f>'GT workings 14-15'!E8+'GT workings 14-15'!E12</f>
        <v>32.351829890223328</v>
      </c>
      <c r="F126" s="27">
        <f>'GT workings 14-15'!F8+'GT workings 14-15'!F12</f>
        <v>25.116516710766533</v>
      </c>
      <c r="G126" s="27">
        <f>'GT workings 14-15'!G8+'GT workings 14-15'!G12</f>
        <v>24.687879003225049</v>
      </c>
      <c r="H126" s="27">
        <f>'GT workings 14-15'!H8+'GT workings 14-15'!H12</f>
        <v>22.172921559294188</v>
      </c>
      <c r="I126" s="27">
        <f>'GT workings 14-15'!I8+'GT workings 14-15'!I12</f>
        <v>18.014704063893184</v>
      </c>
      <c r="J126" s="27">
        <f>'GT workings 14-15'!J8+'GT workings 14-15'!J12</f>
        <v>19.248419251200154</v>
      </c>
      <c r="K126" s="27">
        <f>'GT workings 14-15'!K8+'GT workings 14-15'!K12</f>
        <v>16.625252452632346</v>
      </c>
      <c r="L126" s="28">
        <f>SUM(D126:K126)</f>
        <v>199.10754407290273</v>
      </c>
      <c r="N126" s="53" t="b">
        <f>(E11+E12)*1000=L126</f>
        <v>1</v>
      </c>
    </row>
    <row r="127" spans="1:14">
      <c r="C127" s="18" t="s">
        <v>396</v>
      </c>
      <c r="D127" s="29">
        <f>'GT workings 14-15'!D7+'GT workings 14-15'!D13</f>
        <v>44.096952058814921</v>
      </c>
      <c r="E127" s="29">
        <f>'GT workings 14-15'!E7+'GT workings 14-15'!E13</f>
        <v>46.269433311823683</v>
      </c>
      <c r="F127" s="29">
        <f>'GT workings 14-15'!F7+'GT workings 14-15'!F13</f>
        <v>50.602500247903464</v>
      </c>
      <c r="G127" s="29">
        <f>'GT workings 14-15'!G7+'GT workings 14-15'!G13</f>
        <v>51.965523419215508</v>
      </c>
      <c r="H127" s="29">
        <f>'GT workings 14-15'!H7+'GT workings 14-15'!H13</f>
        <v>51.12111996589703</v>
      </c>
      <c r="I127" s="29">
        <f>'GT workings 14-15'!I7+'GT workings 14-15'!I13</f>
        <v>49.539820913563602</v>
      </c>
      <c r="J127" s="29">
        <f>'GT workings 14-15'!J7+'GT workings 14-15'!J13</f>
        <v>48.655604989055703</v>
      </c>
      <c r="K127" s="29">
        <f>'GT workings 14-15'!K7+'GT workings 14-15'!K13</f>
        <v>49.763707375013652</v>
      </c>
      <c r="L127" s="30">
        <f t="shared" ref="L127:L128" si="25">SUM(D127:K127)</f>
        <v>392.01466228128754</v>
      </c>
      <c r="N127" s="53" t="b">
        <f>(E13+E14)*1000=L127</f>
        <v>1</v>
      </c>
    </row>
    <row r="128" spans="1:14">
      <c r="C128" s="19" t="s">
        <v>71</v>
      </c>
      <c r="D128" s="31">
        <f>SUM(D126:D127)</f>
        <v>84.986973200482879</v>
      </c>
      <c r="E128" s="31">
        <f t="shared" ref="E128:K128" si="26">SUM(E126:E127)</f>
        <v>78.621263202047004</v>
      </c>
      <c r="F128" s="31">
        <f t="shared" si="26"/>
        <v>75.719016958669997</v>
      </c>
      <c r="G128" s="31">
        <f t="shared" si="26"/>
        <v>76.653402422440564</v>
      </c>
      <c r="H128" s="31">
        <f t="shared" si="26"/>
        <v>73.294041525191219</v>
      </c>
      <c r="I128" s="31">
        <f t="shared" si="26"/>
        <v>67.554524977456794</v>
      </c>
      <c r="J128" s="31">
        <f t="shared" si="26"/>
        <v>67.904024240255865</v>
      </c>
      <c r="K128" s="31">
        <f t="shared" si="26"/>
        <v>66.388959827646005</v>
      </c>
      <c r="L128" s="28">
        <f t="shared" si="25"/>
        <v>591.12220635419044</v>
      </c>
    </row>
    <row r="129" spans="1:16">
      <c r="A129" t="s">
        <v>346</v>
      </c>
      <c r="C129" s="17" t="s">
        <v>121</v>
      </c>
      <c r="D129" s="27">
        <f>'GT workings 14-15'!D31+'GT workings 14-15'!D35</f>
        <v>40.890021141667965</v>
      </c>
      <c r="E129" s="27">
        <f>'GT workings 14-15'!E31+'GT workings 14-15'!E35</f>
        <v>32.351829890223328</v>
      </c>
      <c r="F129" s="27">
        <f>'GT workings 14-15'!F31+'GT workings 14-15'!F35</f>
        <v>25.116516710766533</v>
      </c>
      <c r="G129" s="27">
        <f>'GT workings 14-15'!G31+'GT workings 14-15'!G35</f>
        <v>24.687879003225049</v>
      </c>
      <c r="H129" s="27">
        <f>'GT workings 14-15'!H31+'GT workings 14-15'!H35</f>
        <v>22.172921559294188</v>
      </c>
      <c r="I129" s="27">
        <f>'GT workings 14-15'!I31+'GT workings 14-15'!I35</f>
        <v>18.014704063893184</v>
      </c>
      <c r="J129" s="27">
        <f>'GT workings 14-15'!J31+'GT workings 14-15'!J35</f>
        <v>19.248419251200154</v>
      </c>
      <c r="K129" s="27">
        <f>'GT workings 14-15'!K31+'GT workings 14-15'!K35</f>
        <v>16.625252452632346</v>
      </c>
      <c r="L129" s="28">
        <f>SUM(D129:K129)</f>
        <v>199.10754407290273</v>
      </c>
      <c r="N129" s="53"/>
      <c r="P129" s="53"/>
    </row>
    <row r="130" spans="1:16">
      <c r="C130" s="18" t="s">
        <v>387</v>
      </c>
      <c r="D130" s="29">
        <f>'GT workings 14-15'!D30+'GT workings 14-15'!D36</f>
        <v>44.096952058814921</v>
      </c>
      <c r="E130" s="29">
        <f>'GT workings 14-15'!E30+'GT workings 14-15'!E36</f>
        <v>46.269433311823683</v>
      </c>
      <c r="F130" s="29">
        <f>'GT workings 14-15'!F30+'GT workings 14-15'!F36</f>
        <v>50.602500247903464</v>
      </c>
      <c r="G130" s="29">
        <f>'GT workings 14-15'!G30+'GT workings 14-15'!G36</f>
        <v>51.965523419215508</v>
      </c>
      <c r="H130" s="29">
        <f>'GT workings 14-15'!H30+'GT workings 14-15'!H36</f>
        <v>51.12111996589703</v>
      </c>
      <c r="I130" s="29">
        <f>'GT workings 14-15'!I30+'GT workings 14-15'!I36</f>
        <v>49.539820913563602</v>
      </c>
      <c r="J130" s="29">
        <f>'GT workings 14-15'!J30+'GT workings 14-15'!J36</f>
        <v>48.655604989055703</v>
      </c>
      <c r="K130" s="29">
        <f>'GT workings 14-15'!K30+'GT workings 14-15'!K36</f>
        <v>49.763707375013652</v>
      </c>
      <c r="L130" s="30">
        <f t="shared" ref="L130:L134" si="27">SUM(D130:K130)</f>
        <v>392.01466228128754</v>
      </c>
      <c r="N130" s="53"/>
      <c r="P130" s="53"/>
    </row>
    <row r="131" spans="1:16">
      <c r="C131" s="19" t="s">
        <v>77</v>
      </c>
      <c r="D131" s="31">
        <f>SUM(D129:D130)</f>
        <v>84.986973200482879</v>
      </c>
      <c r="E131" s="31">
        <f t="shared" ref="E131:K131" si="28">SUM(E129:E130)</f>
        <v>78.621263202047004</v>
      </c>
      <c r="F131" s="31">
        <f t="shared" si="28"/>
        <v>75.719016958669997</v>
      </c>
      <c r="G131" s="31">
        <f t="shared" si="28"/>
        <v>76.653402422440564</v>
      </c>
      <c r="H131" s="31">
        <f t="shared" si="28"/>
        <v>73.294041525191219</v>
      </c>
      <c r="I131" s="31">
        <f t="shared" si="28"/>
        <v>67.554524977456794</v>
      </c>
      <c r="J131" s="31">
        <f t="shared" si="28"/>
        <v>67.904024240255865</v>
      </c>
      <c r="K131" s="31">
        <f t="shared" si="28"/>
        <v>66.388959827646005</v>
      </c>
      <c r="L131" s="28">
        <f t="shared" si="27"/>
        <v>591.12220635419044</v>
      </c>
    </row>
    <row r="132" spans="1:16">
      <c r="A132" t="s">
        <v>233</v>
      </c>
      <c r="C132" s="17" t="s">
        <v>388</v>
      </c>
      <c r="D132" s="42">
        <f>D126-(D126-D129)*$K$2</f>
        <v>40.890021141667965</v>
      </c>
      <c r="E132" s="42">
        <f t="shared" ref="E132:K133" si="29">E126-(E126-E129)*$K$2</f>
        <v>32.351829890223328</v>
      </c>
      <c r="F132" s="42">
        <f t="shared" si="29"/>
        <v>25.116516710766533</v>
      </c>
      <c r="G132" s="42">
        <f t="shared" si="29"/>
        <v>24.687879003225049</v>
      </c>
      <c r="H132" s="42">
        <f t="shared" si="29"/>
        <v>22.172921559294188</v>
      </c>
      <c r="I132" s="42">
        <f t="shared" si="29"/>
        <v>18.014704063893184</v>
      </c>
      <c r="J132" s="42">
        <f t="shared" si="29"/>
        <v>19.248419251200154</v>
      </c>
      <c r="K132" s="42">
        <f t="shared" si="29"/>
        <v>16.625252452632346</v>
      </c>
      <c r="L132" s="28">
        <f>SUM(D132:K132)</f>
        <v>199.10754407290273</v>
      </c>
      <c r="N132" s="53"/>
      <c r="P132" s="53"/>
    </row>
    <row r="133" spans="1:16">
      <c r="C133" s="18" t="s">
        <v>389</v>
      </c>
      <c r="D133" s="43">
        <f>D127-(D127-D130)*$K$2</f>
        <v>44.096952058814921</v>
      </c>
      <c r="E133" s="43">
        <f t="shared" si="29"/>
        <v>46.269433311823683</v>
      </c>
      <c r="F133" s="43">
        <f t="shared" si="29"/>
        <v>50.602500247903464</v>
      </c>
      <c r="G133" s="43">
        <f t="shared" si="29"/>
        <v>51.965523419215508</v>
      </c>
      <c r="H133" s="43">
        <f t="shared" si="29"/>
        <v>51.12111996589703</v>
      </c>
      <c r="I133" s="43">
        <f t="shared" si="29"/>
        <v>49.539820913563602</v>
      </c>
      <c r="J133" s="43">
        <f t="shared" si="29"/>
        <v>48.655604989055703</v>
      </c>
      <c r="K133" s="43">
        <f t="shared" si="29"/>
        <v>49.763707375013652</v>
      </c>
      <c r="L133" s="30">
        <f t="shared" si="27"/>
        <v>392.01466228128754</v>
      </c>
      <c r="N133" s="53"/>
      <c r="P133" s="53"/>
    </row>
    <row r="134" spans="1:16">
      <c r="C134" s="19" t="s">
        <v>78</v>
      </c>
      <c r="D134" s="50">
        <f>SUM(D132:D133)</f>
        <v>84.986973200482879</v>
      </c>
      <c r="E134" s="50">
        <f t="shared" ref="E134:K134" si="30">SUM(E132:E133)</f>
        <v>78.621263202047004</v>
      </c>
      <c r="F134" s="50">
        <f t="shared" si="30"/>
        <v>75.719016958669997</v>
      </c>
      <c r="G134" s="50">
        <f t="shared" si="30"/>
        <v>76.653402422440564</v>
      </c>
      <c r="H134" s="50">
        <f t="shared" si="30"/>
        <v>73.294041525191219</v>
      </c>
      <c r="I134" s="50">
        <f t="shared" si="30"/>
        <v>67.554524977456794</v>
      </c>
      <c r="J134" s="50">
        <f t="shared" si="30"/>
        <v>67.904024240255865</v>
      </c>
      <c r="K134" s="50">
        <f t="shared" si="30"/>
        <v>66.388959827646005</v>
      </c>
      <c r="L134" s="28">
        <f t="shared" si="27"/>
        <v>591.12220635419044</v>
      </c>
    </row>
    <row r="135" spans="1:16">
      <c r="C135" s="20"/>
      <c r="D135" s="32"/>
      <c r="E135" s="32"/>
      <c r="F135" s="32"/>
      <c r="G135" s="32"/>
      <c r="H135" s="32"/>
      <c r="I135" s="32"/>
      <c r="J135" s="32"/>
      <c r="K135" s="32"/>
      <c r="L135" s="33"/>
    </row>
    <row r="136" spans="1:16">
      <c r="C136" s="17" t="s">
        <v>79</v>
      </c>
      <c r="D136" s="27">
        <f>'GT workings 14-15'!D178</f>
        <v>53.201845223502282</v>
      </c>
      <c r="E136" s="27">
        <f>'GT workings 14-15'!E178</f>
        <v>49.216910764481433</v>
      </c>
      <c r="F136" s="27">
        <f>'GT workings 14-15'!F178</f>
        <v>47.400104616127415</v>
      </c>
      <c r="G136" s="27">
        <f>'GT workings 14-15'!G178</f>
        <v>47.985029916447793</v>
      </c>
      <c r="H136" s="27">
        <f>'GT workings 14-15'!H178</f>
        <v>45.882069994769701</v>
      </c>
      <c r="I136" s="27">
        <f>'GT workings 14-15'!I178</f>
        <v>42.289132635887952</v>
      </c>
      <c r="J136" s="27">
        <f>'GT workings 14-15'!J178</f>
        <v>42.507919174400172</v>
      </c>
      <c r="K136" s="27">
        <f>'GT workings 14-15'!K178</f>
        <v>41.559488852106398</v>
      </c>
      <c r="L136" s="28">
        <f t="shared" ref="L136:L138" si="31">SUM(D136:K136)</f>
        <v>370.04250117772312</v>
      </c>
    </row>
    <row r="137" spans="1:16">
      <c r="C137" s="18" t="s">
        <v>80</v>
      </c>
      <c r="D137" s="29">
        <f>'GT workings 14-15'!D177</f>
        <v>31.785127976980597</v>
      </c>
      <c r="E137" s="29">
        <f>'GT workings 14-15'!E177</f>
        <v>29.404352437565585</v>
      </c>
      <c r="F137" s="29">
        <f>'GT workings 14-15'!F177</f>
        <v>28.318912342542578</v>
      </c>
      <c r="G137" s="29">
        <f>'GT workings 14-15'!G177</f>
        <v>28.668372505992771</v>
      </c>
      <c r="H137" s="29">
        <f>'GT workings 14-15'!H177</f>
        <v>27.411971530421514</v>
      </c>
      <c r="I137" s="29">
        <f>'GT workings 14-15'!I177</f>
        <v>25.265392341568841</v>
      </c>
      <c r="J137" s="29">
        <f>'GT workings 14-15'!J177</f>
        <v>25.396105065855693</v>
      </c>
      <c r="K137" s="29">
        <f>'GT workings 14-15'!K177</f>
        <v>24.829470975539607</v>
      </c>
      <c r="L137" s="30">
        <f t="shared" si="31"/>
        <v>221.0797051764672</v>
      </c>
    </row>
    <row r="138" spans="1:16" ht="13.8" thickBot="1">
      <c r="C138" s="21" t="s">
        <v>390</v>
      </c>
      <c r="D138" s="34">
        <f t="shared" ref="D138:K138" si="32">SUM(D136:D137)</f>
        <v>84.986973200482879</v>
      </c>
      <c r="E138" s="34">
        <f t="shared" si="32"/>
        <v>78.621263202047018</v>
      </c>
      <c r="F138" s="34">
        <f t="shared" si="32"/>
        <v>75.719016958669997</v>
      </c>
      <c r="G138" s="34">
        <f t="shared" si="32"/>
        <v>76.653402422440564</v>
      </c>
      <c r="H138" s="34">
        <f t="shared" si="32"/>
        <v>73.294041525191219</v>
      </c>
      <c r="I138" s="34">
        <f t="shared" si="32"/>
        <v>67.554524977456794</v>
      </c>
      <c r="J138" s="34">
        <f t="shared" si="32"/>
        <v>67.904024240255865</v>
      </c>
      <c r="K138" s="34">
        <f t="shared" si="32"/>
        <v>66.388959827646005</v>
      </c>
      <c r="L138" s="35">
        <f t="shared" si="31"/>
        <v>591.12220635419044</v>
      </c>
    </row>
    <row r="140" spans="1:16" ht="13.8" thickBot="1">
      <c r="A140" s="38" t="s">
        <v>410</v>
      </c>
    </row>
    <row r="141" spans="1:16" ht="13.8" thickBot="1">
      <c r="C141" s="7" t="s">
        <v>58</v>
      </c>
      <c r="D141" s="8" t="s">
        <v>59</v>
      </c>
      <c r="E141" s="8" t="s">
        <v>60</v>
      </c>
      <c r="F141" s="8" t="s">
        <v>61</v>
      </c>
      <c r="G141" s="8" t="s">
        <v>62</v>
      </c>
      <c r="H141" s="8" t="s">
        <v>63</v>
      </c>
      <c r="I141" s="8" t="s">
        <v>64</v>
      </c>
      <c r="J141" s="8" t="s">
        <v>65</v>
      </c>
      <c r="K141" s="8" t="s">
        <v>66</v>
      </c>
    </row>
    <row r="142" spans="1:16">
      <c r="C142" s="10" t="s">
        <v>79</v>
      </c>
      <c r="D142" s="42">
        <f>'GT workings 14-15'!D206</f>
        <v>53.201845223502282</v>
      </c>
      <c r="E142" s="42">
        <f>'GT workings 14-15'!E206</f>
        <v>49.216910764481433</v>
      </c>
      <c r="F142" s="42">
        <f>'GT workings 14-15'!F206</f>
        <v>47.400104616127415</v>
      </c>
      <c r="G142" s="42">
        <f>'GT workings 14-15'!G206</f>
        <v>47.985029916447793</v>
      </c>
      <c r="H142" s="42">
        <f>'GT workings 14-15'!H206</f>
        <v>45.882069994769701</v>
      </c>
      <c r="I142" s="42">
        <f>'GT workings 14-15'!I206</f>
        <v>42.289132635887952</v>
      </c>
      <c r="J142" s="42">
        <f>'GT workings 14-15'!J206</f>
        <v>42.507919174400172</v>
      </c>
      <c r="K142" s="42">
        <f>'GT workings 14-15'!K206</f>
        <v>41.559488852106398</v>
      </c>
    </row>
    <row r="143" spans="1:16">
      <c r="C143" s="11" t="s">
        <v>98</v>
      </c>
      <c r="D143" s="43">
        <f>'GT workings 14-15'!D207</f>
        <v>0</v>
      </c>
      <c r="E143" s="43">
        <f>'GT workings 14-15'!E207</f>
        <v>0</v>
      </c>
      <c r="F143" s="43">
        <f>'GT workings 14-15'!F207</f>
        <v>0</v>
      </c>
      <c r="G143" s="43">
        <f>'GT workings 14-15'!G207</f>
        <v>0</v>
      </c>
      <c r="H143" s="43">
        <f>'GT workings 14-15'!H207</f>
        <v>0</v>
      </c>
      <c r="I143" s="43">
        <f>'GT workings 14-15'!I207</f>
        <v>0</v>
      </c>
      <c r="J143" s="43">
        <f>'GT workings 14-15'!J207</f>
        <v>0</v>
      </c>
      <c r="K143" s="43">
        <f>'GT workings 14-15'!K207</f>
        <v>0</v>
      </c>
    </row>
    <row r="144" spans="1:16">
      <c r="C144" s="11" t="s">
        <v>100</v>
      </c>
      <c r="D144" s="43">
        <f>'GT workings 14-15'!D210</f>
        <v>0</v>
      </c>
      <c r="E144" s="43">
        <f>'GT workings 14-15'!E210</f>
        <v>0</v>
      </c>
      <c r="F144" s="43">
        <f>'GT workings 14-15'!F210</f>
        <v>0</v>
      </c>
      <c r="G144" s="43">
        <f>'GT workings 14-15'!G210</f>
        <v>0</v>
      </c>
      <c r="H144" s="43">
        <f>'GT workings 14-15'!H210</f>
        <v>0</v>
      </c>
      <c r="I144" s="43">
        <f>'GT workings 14-15'!I210</f>
        <v>0</v>
      </c>
      <c r="J144" s="43">
        <f>'GT workings 14-15'!J210</f>
        <v>0</v>
      </c>
      <c r="K144" s="43">
        <f>'GT workings 14-15'!K210</f>
        <v>0</v>
      </c>
    </row>
    <row r="145" spans="3:11">
      <c r="C145" s="10" t="s">
        <v>101</v>
      </c>
      <c r="D145" s="42">
        <f>'GT workings 14-15'!D211</f>
        <v>-0.43181154987245485</v>
      </c>
      <c r="E145" s="42">
        <f>'GT workings 14-15'!E211</f>
        <v>-0.39947195996305995</v>
      </c>
      <c r="F145" s="42">
        <f>'GT workings 14-15'!F211</f>
        <v>-0.34734317043598018</v>
      </c>
      <c r="G145" s="42">
        <f>'GT workings 14-15'!G211</f>
        <v>-0.3193206524905472</v>
      </c>
      <c r="H145" s="42">
        <f>'GT workings 14-15'!H211</f>
        <v>-0.31265626882301373</v>
      </c>
      <c r="I145" s="42">
        <f>'GT workings 14-15'!I211</f>
        <v>-0.30799379948941219</v>
      </c>
      <c r="J145" s="42">
        <f>'GT workings 14-15'!J211</f>
        <v>-0.32570922921081308</v>
      </c>
      <c r="K145" s="42">
        <f>'GT workings 14-15'!K211</f>
        <v>-0.31552026220892354</v>
      </c>
    </row>
    <row r="146" spans="3:11">
      <c r="C146" s="11" t="s">
        <v>102</v>
      </c>
      <c r="D146" s="43">
        <f>'GT workings 14-15'!D213</f>
        <v>0.78916947686278716</v>
      </c>
      <c r="E146" s="43">
        <f>'GT workings 14-15'!E213</f>
        <v>0</v>
      </c>
      <c r="F146" s="43">
        <f>'GT workings 14-15'!F213</f>
        <v>0</v>
      </c>
      <c r="G146" s="43">
        <f>'GT workings 14-15'!G213</f>
        <v>0</v>
      </c>
      <c r="H146" s="43">
        <f>'GT workings 14-15'!H213</f>
        <v>0</v>
      </c>
      <c r="I146" s="43">
        <f>'GT workings 14-15'!I213</f>
        <v>0</v>
      </c>
      <c r="J146" s="43">
        <f>'GT workings 14-15'!J213</f>
        <v>0</v>
      </c>
      <c r="K146" s="43">
        <f>'GT workings 14-15'!K213</f>
        <v>0</v>
      </c>
    </row>
    <row r="147" spans="3:11">
      <c r="C147" s="10" t="s">
        <v>103</v>
      </c>
      <c r="D147" s="42">
        <f>'GT workings 14-15'!D209+'GT workings 14-15'!D208</f>
        <v>13.19842918900893</v>
      </c>
      <c r="E147" s="42">
        <f>'GT workings 14-15'!E209+'GT workings 14-15'!E208</f>
        <v>17.931953163511164</v>
      </c>
      <c r="F147" s="42">
        <f>'GT workings 14-15'!F209+'GT workings 14-15'!F208</f>
        <v>21.101631735883576</v>
      </c>
      <c r="G147" s="42">
        <f>'GT workings 14-15'!G209+'GT workings 14-15'!G208</f>
        <v>24.466286153070882</v>
      </c>
      <c r="H147" s="42">
        <f>'GT workings 14-15'!H209+'GT workings 14-15'!H208</f>
        <v>27.3856236842933</v>
      </c>
      <c r="I147" s="42">
        <f>'GT workings 14-15'!I209+'GT workings 14-15'!I208</f>
        <v>30.077689367780444</v>
      </c>
      <c r="J147" s="42">
        <f>'GT workings 14-15'!J209+'GT workings 14-15'!J208</f>
        <v>31.986639981342762</v>
      </c>
      <c r="K147" s="42">
        <f>'GT workings 14-15'!K209+'GT workings 14-15'!K208</f>
        <v>32.039556366806188</v>
      </c>
    </row>
    <row r="148" spans="3:11">
      <c r="C148" s="11" t="s">
        <v>104</v>
      </c>
      <c r="D148" s="43">
        <f>'GT workings 14-15'!D212</f>
        <v>3.9103544010668671E-2</v>
      </c>
      <c r="E148" s="43">
        <f>'GT workings 14-15'!E212</f>
        <v>3.3783007593008181E-2</v>
      </c>
      <c r="F148" s="43">
        <f>'GT workings 14-15'!F212</f>
        <v>2.8230317201856609E-2</v>
      </c>
      <c r="G148" s="43">
        <f>'GT workings 14-15'!G212</f>
        <v>2.243534242940199E-2</v>
      </c>
      <c r="H148" s="43">
        <f>'GT workings 14-15'!H212</f>
        <v>1.638751078145291E-2</v>
      </c>
      <c r="I148" s="43">
        <f>'GT workings 14-15'!I212</f>
        <v>1.0075788383715565E-2</v>
      </c>
      <c r="J148" s="43">
        <f>'GT workings 14-15'!J212</f>
        <v>3.4886598459911173E-3</v>
      </c>
      <c r="K148" s="43">
        <f>'GT workings 14-15'!K212</f>
        <v>-3.3858927524610515E-3</v>
      </c>
    </row>
    <row r="149" spans="3:11">
      <c r="C149" s="12" t="s">
        <v>105</v>
      </c>
      <c r="D149" s="50">
        <f>SUM(D142:D148)</f>
        <v>66.796735883512213</v>
      </c>
      <c r="E149" s="50">
        <f t="shared" ref="E149:K149" si="33">SUM(E142:E148)</f>
        <v>66.783174975622543</v>
      </c>
      <c r="F149" s="50">
        <f t="shared" si="33"/>
        <v>68.182623498776877</v>
      </c>
      <c r="G149" s="50">
        <f t="shared" si="33"/>
        <v>72.154430759457526</v>
      </c>
      <c r="H149" s="50">
        <f t="shared" si="33"/>
        <v>72.971424921021438</v>
      </c>
      <c r="I149" s="50">
        <f t="shared" si="33"/>
        <v>72.068903992562696</v>
      </c>
      <c r="J149" s="50">
        <f t="shared" si="33"/>
        <v>74.172338586378103</v>
      </c>
      <c r="K149" s="50">
        <f t="shared" si="33"/>
        <v>73.280139063951211</v>
      </c>
    </row>
    <row r="150" spans="3:11">
      <c r="C150" s="11" t="s">
        <v>126</v>
      </c>
      <c r="D150" s="43">
        <f>'GT workings 14-15'!D219</f>
        <v>94.224999999999994</v>
      </c>
      <c r="E150" s="43">
        <f>'GT workings 14-15'!E219</f>
        <v>87.484999999999999</v>
      </c>
      <c r="F150" s="43">
        <f>'GT workings 14-15'!F219</f>
        <v>79.322999999999993</v>
      </c>
      <c r="G150" s="43">
        <f>'GT workings 14-15'!G219</f>
        <v>58.722999999999999</v>
      </c>
      <c r="H150" s="43">
        <f>'GT workings 14-15'!H219</f>
        <v>3.3000000000000002E-2</v>
      </c>
      <c r="I150" s="43">
        <f>'GT workings 14-15'!I219</f>
        <v>3.3000000000000002E-2</v>
      </c>
      <c r="J150" s="43">
        <f>'GT workings 14-15'!J219</f>
        <v>0</v>
      </c>
      <c r="K150" s="43">
        <f>'GT workings 14-15'!K219</f>
        <v>0</v>
      </c>
    </row>
    <row r="151" spans="3:11" ht="13.8" thickBot="1">
      <c r="C151" s="13" t="s">
        <v>107</v>
      </c>
      <c r="D151" s="52">
        <f>D149+D150</f>
        <v>161.02173588351221</v>
      </c>
      <c r="E151" s="52">
        <f t="shared" ref="E151:K151" si="34">E149+E150</f>
        <v>154.26817497562254</v>
      </c>
      <c r="F151" s="52">
        <f t="shared" si="34"/>
        <v>147.50562349877686</v>
      </c>
      <c r="G151" s="52">
        <f t="shared" si="34"/>
        <v>130.87743075945752</v>
      </c>
      <c r="H151" s="52">
        <f t="shared" si="34"/>
        <v>73.004424921021439</v>
      </c>
      <c r="I151" s="52">
        <f t="shared" si="34"/>
        <v>72.101903992562697</v>
      </c>
      <c r="J151" s="52">
        <f t="shared" si="34"/>
        <v>74.172338586378103</v>
      </c>
      <c r="K151" s="52">
        <f t="shared" si="34"/>
        <v>73.280139063951211</v>
      </c>
    </row>
    <row r="153" spans="3:11">
      <c r="D153" s="53">
        <f>'GT workings 14-15'!D227-D149</f>
        <v>0</v>
      </c>
      <c r="E153" s="53">
        <f>'GT workings 14-15'!E227-E149</f>
        <v>0</v>
      </c>
      <c r="F153" s="53">
        <f>'GT workings 14-15'!F227-F149</f>
        <v>0</v>
      </c>
      <c r="G153" s="53">
        <f>'GT workings 14-15'!G227-G149</f>
        <v>0</v>
      </c>
      <c r="H153" s="53">
        <f>'GT workings 14-15'!H227-H149</f>
        <v>0</v>
      </c>
      <c r="I153" s="53">
        <f>'GT workings 14-15'!I227-I149</f>
        <v>0</v>
      </c>
      <c r="J153" s="53">
        <f>'GT workings 14-15'!J227-J149</f>
        <v>0</v>
      </c>
      <c r="K153" s="53">
        <f>'GT workings 14-15'!K227-K149</f>
        <v>0</v>
      </c>
    </row>
  </sheetData>
  <pageMargins left="0.7" right="0.7" top="0.75" bottom="0.75" header="0.3" footer="0.3"/>
  <customProperties>
    <customPr name="EpmWorksheetKeyString_GUID" r:id="rId1"/>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249977111117893"/>
  </sheetPr>
  <dimension ref="A1:Y248"/>
  <sheetViews>
    <sheetView zoomScale="70" zoomScaleNormal="70" workbookViewId="0">
      <pane xSplit="2" ySplit="4" topLeftCell="C206" activePane="bottomRight" state="frozen"/>
      <selection pane="topRight" activeCell="H35" sqref="H35"/>
      <selection pane="bottomLeft" activeCell="H35" sqref="H35"/>
      <selection pane="bottomRight" activeCell="H35" sqref="H35"/>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426</v>
      </c>
    </row>
    <row r="7" spans="2:22">
      <c r="B7" t="s">
        <v>204</v>
      </c>
      <c r="D7" s="196">
        <v>37.780581733294433</v>
      </c>
      <c r="E7" s="196">
        <v>38.765251453029641</v>
      </c>
      <c r="F7" s="196">
        <v>38.935734544913359</v>
      </c>
      <c r="G7" s="196">
        <v>37.194366497168517</v>
      </c>
      <c r="H7" s="196">
        <v>37.663363739263652</v>
      </c>
      <c r="I7" s="196">
        <v>38.166072267177746</v>
      </c>
      <c r="J7" s="196">
        <v>38.821758225100261</v>
      </c>
      <c r="K7" s="196">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52.370551845660252</v>
      </c>
      <c r="U7" s="53">
        <f t="shared" si="0"/>
        <v>54.711741677180051</v>
      </c>
      <c r="V7" s="53">
        <f>SUM(N7:U7)</f>
        <v>387.87349490683522</v>
      </c>
    </row>
    <row r="8" spans="2:22">
      <c r="B8" t="s">
        <v>206</v>
      </c>
      <c r="D8" s="196">
        <v>33.734064323833628</v>
      </c>
      <c r="E8" s="196">
        <v>27.39346022326454</v>
      </c>
      <c r="F8" s="196">
        <v>18.58964637976759</v>
      </c>
      <c r="G8" s="196">
        <v>15.690053681814245</v>
      </c>
      <c r="H8" s="196">
        <v>14.117331818843784</v>
      </c>
      <c r="I8" s="196">
        <v>12.8424465294623</v>
      </c>
      <c r="J8" s="196">
        <v>15.120708694627556</v>
      </c>
      <c r="K8" s="196">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20.397836029052574</v>
      </c>
      <c r="U8" s="53">
        <f t="shared" si="0"/>
        <v>17.818221907061567</v>
      </c>
      <c r="V8" s="53">
        <f>SUM(N8:U8)</f>
        <v>186.64168256785229</v>
      </c>
    </row>
    <row r="9" spans="2:22">
      <c r="B9" s="38" t="s">
        <v>207</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72.768387874712829</v>
      </c>
      <c r="U9" s="57">
        <f t="shared" si="2"/>
        <v>72.529963584241614</v>
      </c>
      <c r="V9" s="57">
        <f t="shared" si="2"/>
        <v>574.51517747468756</v>
      </c>
    </row>
    <row r="10" spans="2:22">
      <c r="D10" s="53"/>
      <c r="E10" s="53"/>
      <c r="F10" s="53"/>
      <c r="G10" s="53"/>
      <c r="H10" s="53"/>
      <c r="I10" s="53"/>
      <c r="J10" s="53"/>
      <c r="K10" s="53"/>
      <c r="N10" s="53"/>
      <c r="O10" s="53"/>
      <c r="P10" s="53"/>
      <c r="Q10" s="53"/>
      <c r="R10" s="53"/>
      <c r="S10" s="53"/>
      <c r="T10" s="53"/>
      <c r="U10" s="53"/>
      <c r="V10" s="53"/>
    </row>
    <row r="11" spans="2:22">
      <c r="B11" s="38" t="s">
        <v>427</v>
      </c>
      <c r="D11" s="53"/>
      <c r="E11" s="53"/>
      <c r="F11" s="53"/>
      <c r="G11" s="53"/>
      <c r="H11" s="53"/>
      <c r="I11" s="53"/>
      <c r="J11" s="53"/>
      <c r="K11" s="53"/>
      <c r="N11" s="53"/>
      <c r="O11" s="53"/>
      <c r="P11" s="53"/>
      <c r="Q11" s="53"/>
      <c r="R11" s="53"/>
      <c r="S11" s="53"/>
      <c r="T11" s="53"/>
      <c r="U11" s="53"/>
      <c r="V11" s="53"/>
    </row>
    <row r="12" spans="2:22">
      <c r="B12" t="s">
        <v>210</v>
      </c>
      <c r="D12" s="196">
        <v>7.1559568178343396</v>
      </c>
      <c r="E12" s="196">
        <v>4.9583696669587889</v>
      </c>
      <c r="F12" s="196">
        <v>6.5268703309989426</v>
      </c>
      <c r="G12" s="196">
        <v>8.9978253214108026</v>
      </c>
      <c r="H12" s="196">
        <v>8.0555897404504044</v>
      </c>
      <c r="I12" s="196">
        <v>5.1722575344308828</v>
      </c>
      <c r="J12" s="196">
        <v>4.1277105565726</v>
      </c>
      <c r="K12" s="196">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6.7911741427077486</v>
      </c>
      <c r="T12" s="53">
        <f t="shared" si="4"/>
        <v>5.5682815408164377</v>
      </c>
      <c r="U12" s="53">
        <f t="shared" si="4"/>
        <v>5.2576284971921297</v>
      </c>
      <c r="V12" s="53">
        <f>SUM(N12:U12)</f>
        <v>61.025994652696959</v>
      </c>
    </row>
    <row r="13" spans="2:22">
      <c r="B13" t="s">
        <v>212</v>
      </c>
      <c r="D13" s="196">
        <v>6.3163703255204871</v>
      </c>
      <c r="E13" s="196">
        <v>7.5041818587940385</v>
      </c>
      <c r="F13" s="196">
        <v>11.666765702990109</v>
      </c>
      <c r="G13" s="196">
        <v>14.771156922046991</v>
      </c>
      <c r="H13" s="196">
        <v>13.45775622663338</v>
      </c>
      <c r="I13" s="196">
        <v>11.373748646385858</v>
      </c>
      <c r="J13" s="196">
        <v>9.8338467639554441</v>
      </c>
      <c r="K13" s="196">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13.265859284575894</v>
      </c>
      <c r="U13" s="53">
        <f t="shared" si="4"/>
        <v>14.360284159338896</v>
      </c>
      <c r="V13" s="53">
        <f>SUM(N13:U13)</f>
        <v>108.16867050646547</v>
      </c>
    </row>
    <row r="14" spans="2:22">
      <c r="B14" s="38" t="s">
        <v>428</v>
      </c>
      <c r="N14" s="53"/>
      <c r="O14" s="53"/>
      <c r="P14" s="53"/>
      <c r="Q14" s="53"/>
      <c r="R14" s="53"/>
      <c r="S14" s="53"/>
      <c r="T14" s="53"/>
      <c r="U14" s="53"/>
      <c r="V14" s="53"/>
    </row>
    <row r="15" spans="2:22">
      <c r="B15" t="s">
        <v>215</v>
      </c>
      <c r="D15" s="196">
        <v>25.459307795372435</v>
      </c>
      <c r="E15" s="196">
        <v>14.41280752104567</v>
      </c>
      <c r="F15" s="196">
        <v>9.6173202079823099</v>
      </c>
      <c r="G15" s="196">
        <v>60.446777499796859</v>
      </c>
      <c r="H15" s="196">
        <v>84.880198528547851</v>
      </c>
      <c r="I15" s="196">
        <v>8.5249336835233791</v>
      </c>
      <c r="J15" s="196">
        <v>0.23152878737450566</v>
      </c>
      <c r="K15" s="196">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0.31233233416820816</v>
      </c>
      <c r="U15" s="53">
        <f t="shared" si="5"/>
        <v>0</v>
      </c>
      <c r="V15" s="53">
        <f>SUM(N15:U15)</f>
        <v>252.29385799299362</v>
      </c>
    </row>
    <row r="16" spans="2:22">
      <c r="B16" t="s">
        <v>217</v>
      </c>
      <c r="D16" s="196">
        <v>97.132518315217595</v>
      </c>
      <c r="E16" s="196">
        <v>109.87971241227922</v>
      </c>
      <c r="F16" s="196">
        <v>114.43672637584547</v>
      </c>
      <c r="G16" s="196">
        <v>123.96977718673423</v>
      </c>
      <c r="H16" s="196">
        <v>138.27838395379189</v>
      </c>
      <c r="I16" s="196">
        <v>117.50342084599842</v>
      </c>
      <c r="J16" s="196">
        <v>101.87556011564801</v>
      </c>
      <c r="K16" s="196">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137.43013059600918</v>
      </c>
      <c r="U16" s="53">
        <f t="shared" si="5"/>
        <v>126.52727041318616</v>
      </c>
      <c r="V16" s="53">
        <f>SUM(N16:U16)</f>
        <v>1128.3043918706692</v>
      </c>
    </row>
    <row r="17" spans="1:22">
      <c r="B17" t="s">
        <v>204</v>
      </c>
      <c r="D17" s="196">
        <v>64.482672010544718</v>
      </c>
      <c r="E17" s="196">
        <v>65.237874215180156</v>
      </c>
      <c r="F17" s="196">
        <v>70.772894725011071</v>
      </c>
      <c r="G17" s="196">
        <v>79.368338266410362</v>
      </c>
      <c r="H17" s="196">
        <v>84.317479134504765</v>
      </c>
      <c r="I17" s="196">
        <v>84.641346358196444</v>
      </c>
      <c r="J17" s="196">
        <v>80.728014781566515</v>
      </c>
      <c r="K17" s="196">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108.90209194033322</v>
      </c>
      <c r="U17" s="53">
        <f t="shared" si="5"/>
        <v>107.55621733133628</v>
      </c>
      <c r="V17" s="53">
        <f>SUM(N17:U17)</f>
        <v>770.43055286032575</v>
      </c>
    </row>
    <row r="18" spans="1:22">
      <c r="N18" s="53"/>
      <c r="O18" s="53"/>
      <c r="P18" s="53"/>
      <c r="Q18" s="53"/>
      <c r="R18" s="53"/>
      <c r="S18" s="53"/>
      <c r="T18" s="53"/>
      <c r="U18" s="53"/>
      <c r="V18" s="53"/>
    </row>
    <row r="19" spans="1:22">
      <c r="B19" s="38" t="s">
        <v>429</v>
      </c>
      <c r="N19" s="53"/>
      <c r="O19" s="53"/>
      <c r="P19" s="53"/>
      <c r="Q19" s="53"/>
      <c r="R19" s="53"/>
      <c r="S19" s="53"/>
      <c r="T19" s="53"/>
      <c r="U19" s="53"/>
      <c r="V19" s="53"/>
    </row>
    <row r="20" spans="1:22">
      <c r="B20" t="s">
        <v>206</v>
      </c>
      <c r="D20" s="196">
        <v>0</v>
      </c>
      <c r="E20" s="196">
        <v>0</v>
      </c>
      <c r="F20" s="196">
        <v>0</v>
      </c>
      <c r="G20" s="196">
        <v>0</v>
      </c>
      <c r="H20" s="196">
        <v>0</v>
      </c>
      <c r="I20" s="196">
        <v>0</v>
      </c>
      <c r="J20" s="196">
        <v>0</v>
      </c>
      <c r="K20" s="196">
        <v>0</v>
      </c>
      <c r="L20" s="53">
        <f>SUM(D20:K20)</f>
        <v>0</v>
      </c>
      <c r="N20" s="53">
        <f t="shared" ref="N20:U21" si="6">D20*N$1</f>
        <v>0</v>
      </c>
      <c r="O20" s="53">
        <f t="shared" si="6"/>
        <v>0</v>
      </c>
      <c r="P20" s="53">
        <f t="shared" si="6"/>
        <v>0</v>
      </c>
      <c r="Q20" s="53">
        <f t="shared" si="6"/>
        <v>0</v>
      </c>
      <c r="R20" s="53">
        <f t="shared" si="6"/>
        <v>0</v>
      </c>
      <c r="S20" s="53">
        <f t="shared" si="6"/>
        <v>0</v>
      </c>
      <c r="T20" s="53">
        <f t="shared" si="6"/>
        <v>0</v>
      </c>
      <c r="U20" s="53">
        <f t="shared" si="6"/>
        <v>0</v>
      </c>
      <c r="V20" s="53">
        <f>SUM(N20:U20)</f>
        <v>0</v>
      </c>
    </row>
    <row r="21" spans="1:22">
      <c r="B21" t="s">
        <v>204</v>
      </c>
      <c r="D21" s="196">
        <v>0</v>
      </c>
      <c r="E21" s="196">
        <v>0</v>
      </c>
      <c r="F21" s="196">
        <v>0</v>
      </c>
      <c r="G21" s="196">
        <v>0</v>
      </c>
      <c r="H21" s="196">
        <v>0</v>
      </c>
      <c r="I21" s="196">
        <v>0</v>
      </c>
      <c r="J21" s="196">
        <v>0</v>
      </c>
      <c r="K21" s="196">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6">
      <c r="B23" s="59" t="s">
        <v>345</v>
      </c>
      <c r="C23" s="60"/>
      <c r="D23" s="61">
        <f t="shared" ref="D23:L23" si="7">SUM(D15:D21)</f>
        <v>187.07449812113475</v>
      </c>
      <c r="E23" s="61">
        <f t="shared" si="7"/>
        <v>189.53039414850502</v>
      </c>
      <c r="F23" s="61">
        <f t="shared" si="7"/>
        <v>194.82694130883885</v>
      </c>
      <c r="G23" s="61">
        <f t="shared" si="7"/>
        <v>263.78489295294145</v>
      </c>
      <c r="H23" s="61">
        <f t="shared" si="7"/>
        <v>307.4760616168445</v>
      </c>
      <c r="I23" s="61">
        <f t="shared" si="7"/>
        <v>210.66970088771825</v>
      </c>
      <c r="J23" s="61">
        <f t="shared" si="7"/>
        <v>182.83510368458903</v>
      </c>
      <c r="K23" s="61">
        <f t="shared" si="7"/>
        <v>168.64804592544846</v>
      </c>
      <c r="L23" s="61">
        <f t="shared" si="7"/>
        <v>1704.8456386460202</v>
      </c>
      <c r="N23" s="61">
        <f t="shared" ref="N23:V23" si="8">SUM(N15:N21)</f>
        <v>218.31593930736426</v>
      </c>
      <c r="O23" s="61">
        <f t="shared" si="8"/>
        <v>225.54116903672099</v>
      </c>
      <c r="P23" s="61">
        <f t="shared" si="8"/>
        <v>234.18198345322426</v>
      </c>
      <c r="Q23" s="61">
        <f t="shared" si="8"/>
        <v>323.92784854621209</v>
      </c>
      <c r="R23" s="61">
        <f t="shared" si="8"/>
        <v>391.72450249985991</v>
      </c>
      <c r="S23" s="61">
        <f t="shared" si="8"/>
        <v>276.60931726557408</v>
      </c>
      <c r="T23" s="61">
        <f t="shared" si="8"/>
        <v>246.6445548705106</v>
      </c>
      <c r="U23" s="61">
        <f t="shared" si="8"/>
        <v>234.08348774452244</v>
      </c>
      <c r="V23" s="61">
        <f t="shared" si="8"/>
        <v>2151.0288027239885</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7">
        <v>110.11544616012048</v>
      </c>
      <c r="E26" s="197">
        <v>110.29121834911521</v>
      </c>
      <c r="F26" s="197">
        <v>110.32860169190292</v>
      </c>
      <c r="G26" s="197">
        <v>110.3596633646699</v>
      </c>
      <c r="H26" s="197">
        <v>110.27343835902431</v>
      </c>
      <c r="I26" s="197">
        <v>110.27662588032852</v>
      </c>
      <c r="J26" s="197">
        <v>110.30420904525512</v>
      </c>
      <c r="K26" s="197">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148.80037800204914</v>
      </c>
      <c r="U26" s="58">
        <f t="shared" si="9"/>
        <v>153.11121481880596</v>
      </c>
      <c r="V26" s="58">
        <f>SUM(N26:U26)</f>
        <v>1115.0810844209129</v>
      </c>
    </row>
    <row r="27" spans="1:22">
      <c r="N27" s="53"/>
      <c r="O27" s="53"/>
      <c r="P27" s="53"/>
      <c r="Q27" s="53"/>
      <c r="R27" s="53"/>
      <c r="S27" s="53"/>
      <c r="T27" s="53"/>
      <c r="U27" s="53"/>
      <c r="V27" s="53"/>
    </row>
    <row r="28" spans="1:22">
      <c r="A28" t="s">
        <v>346</v>
      </c>
      <c r="N28" s="53"/>
      <c r="O28" s="53"/>
      <c r="P28" s="53"/>
      <c r="Q28" s="53"/>
      <c r="R28" s="53"/>
      <c r="S28" s="53"/>
      <c r="T28" s="53"/>
      <c r="U28" s="53"/>
      <c r="V28" s="53"/>
    </row>
    <row r="29" spans="1:22">
      <c r="B29" s="38" t="s">
        <v>426</v>
      </c>
    </row>
    <row r="30" spans="1:22">
      <c r="B30" t="s">
        <v>204</v>
      </c>
      <c r="D30" s="223">
        <v>44.096952058814921</v>
      </c>
      <c r="E30" s="223">
        <v>46.269433311823683</v>
      </c>
      <c r="F30" s="223">
        <v>50.602500247903464</v>
      </c>
      <c r="G30" s="223">
        <v>51.965523419215508</v>
      </c>
      <c r="H30" s="223">
        <v>51.12111996589703</v>
      </c>
      <c r="I30" s="223">
        <v>49.539820913563602</v>
      </c>
      <c r="J30" s="223">
        <v>48.655604989055703</v>
      </c>
      <c r="K30" s="223">
        <v>49.763707375013652</v>
      </c>
      <c r="L30" s="53">
        <f>SUM(D30:K30)</f>
        <v>392.01466228128754</v>
      </c>
      <c r="N30" s="53">
        <f t="shared" ref="N30:U31" si="10">D30*N$1</f>
        <v>51.461143052637013</v>
      </c>
      <c r="O30" s="53">
        <f t="shared" si="10"/>
        <v>55.060625641070182</v>
      </c>
      <c r="P30" s="53">
        <f t="shared" si="10"/>
        <v>60.824205297979958</v>
      </c>
      <c r="Q30" s="53">
        <f t="shared" si="10"/>
        <v>63.813662758796646</v>
      </c>
      <c r="R30" s="53">
        <f t="shared" si="10"/>
        <v>65.128306836552824</v>
      </c>
      <c r="S30" s="53">
        <f t="shared" si="10"/>
        <v>65.045784859509013</v>
      </c>
      <c r="T30" s="53">
        <f t="shared" si="10"/>
        <v>65.636411130236141</v>
      </c>
      <c r="U30" s="53">
        <f t="shared" si="10"/>
        <v>69.072025836518947</v>
      </c>
      <c r="V30" s="53">
        <f>SUM(N30:U30)</f>
        <v>496.04216541330072</v>
      </c>
    </row>
    <row r="31" spans="1:22">
      <c r="B31" t="s">
        <v>206</v>
      </c>
      <c r="D31" s="223">
        <v>40.890021141667965</v>
      </c>
      <c r="E31" s="223">
        <v>32.351829890223328</v>
      </c>
      <c r="F31" s="223">
        <v>25.116516710766533</v>
      </c>
      <c r="G31" s="223">
        <v>24.687879003225049</v>
      </c>
      <c r="H31" s="223">
        <v>22.172921559294188</v>
      </c>
      <c r="I31" s="223">
        <v>18.014704063893184</v>
      </c>
      <c r="J31" s="223">
        <v>19.248419251200154</v>
      </c>
      <c r="K31" s="223">
        <v>16.625252452632346</v>
      </c>
      <c r="L31" s="53">
        <f>SUM(D31:K31)</f>
        <v>199.10754407290273</v>
      </c>
      <c r="N31" s="53">
        <f t="shared" si="10"/>
        <v>47.718654672326515</v>
      </c>
      <c r="O31" s="53">
        <f t="shared" si="10"/>
        <v>38.498677569365761</v>
      </c>
      <c r="P31" s="53">
        <f t="shared" si="10"/>
        <v>30.190053086341372</v>
      </c>
      <c r="Q31" s="53">
        <f t="shared" si="10"/>
        <v>30.31671541596036</v>
      </c>
      <c r="R31" s="53">
        <f t="shared" si="10"/>
        <v>28.248302066540795</v>
      </c>
      <c r="S31" s="53">
        <f t="shared" si="10"/>
        <v>23.65330643589175</v>
      </c>
      <c r="T31" s="53">
        <f t="shared" si="10"/>
        <v>25.966117569869006</v>
      </c>
      <c r="U31" s="53">
        <f t="shared" si="10"/>
        <v>23.075850404253693</v>
      </c>
      <c r="V31" s="53">
        <f>SUM(N31:U31)</f>
        <v>247.66767722054925</v>
      </c>
    </row>
    <row r="32" spans="1:22">
      <c r="B32" s="38" t="s">
        <v>207</v>
      </c>
      <c r="D32" s="57">
        <f t="shared" ref="D32:L32" si="11">SUM(D30:D31)</f>
        <v>84.986973200482879</v>
      </c>
      <c r="E32" s="57">
        <f t="shared" ref="E32:K32" si="12">SUM(E30:E31)</f>
        <v>78.621263202047004</v>
      </c>
      <c r="F32" s="57">
        <f t="shared" si="12"/>
        <v>75.719016958669997</v>
      </c>
      <c r="G32" s="57">
        <f t="shared" si="12"/>
        <v>76.653402422440564</v>
      </c>
      <c r="H32" s="57">
        <f t="shared" si="12"/>
        <v>73.294041525191219</v>
      </c>
      <c r="I32" s="57">
        <f t="shared" si="12"/>
        <v>67.554524977456794</v>
      </c>
      <c r="J32" s="57">
        <f t="shared" si="12"/>
        <v>67.904024240255865</v>
      </c>
      <c r="K32" s="57">
        <f t="shared" si="12"/>
        <v>66.388959827646005</v>
      </c>
      <c r="L32" s="57">
        <f t="shared" si="11"/>
        <v>591.12220635419021</v>
      </c>
      <c r="N32" s="57">
        <f t="shared" ref="N32:V32" si="13">SUM(N30:N31)</f>
        <v>99.179797724963521</v>
      </c>
      <c r="O32" s="57">
        <f t="shared" si="13"/>
        <v>93.559303210435942</v>
      </c>
      <c r="P32" s="57">
        <f t="shared" si="13"/>
        <v>91.014258384321323</v>
      </c>
      <c r="Q32" s="57">
        <f t="shared" si="13"/>
        <v>94.130378174756999</v>
      </c>
      <c r="R32" s="57">
        <f t="shared" si="13"/>
        <v>93.376608903093626</v>
      </c>
      <c r="S32" s="57">
        <f t="shared" si="13"/>
        <v>88.699091295400763</v>
      </c>
      <c r="T32" s="57">
        <f t="shared" si="13"/>
        <v>91.602528700105154</v>
      </c>
      <c r="U32" s="57">
        <f t="shared" si="13"/>
        <v>92.147876240772632</v>
      </c>
      <c r="V32" s="57">
        <f t="shared" si="13"/>
        <v>743.70984263385003</v>
      </c>
    </row>
    <row r="33" spans="2:22">
      <c r="D33" s="53"/>
      <c r="E33" s="53"/>
      <c r="F33" s="53"/>
      <c r="G33" s="53"/>
      <c r="H33" s="53"/>
      <c r="I33" s="53"/>
      <c r="J33" s="53"/>
      <c r="K33" s="53"/>
      <c r="N33" s="53"/>
      <c r="O33" s="53"/>
      <c r="P33" s="53"/>
      <c r="Q33" s="53"/>
      <c r="R33" s="53"/>
      <c r="S33" s="53"/>
      <c r="T33" s="53"/>
      <c r="U33" s="53"/>
      <c r="V33" s="53"/>
    </row>
    <row r="34" spans="2:22">
      <c r="B34" s="38" t="s">
        <v>427</v>
      </c>
      <c r="D34" s="53"/>
      <c r="E34" s="53"/>
      <c r="F34" s="53"/>
      <c r="G34" s="53"/>
      <c r="H34" s="53"/>
      <c r="I34" s="53"/>
      <c r="J34" s="53"/>
      <c r="K34" s="53"/>
      <c r="N34" s="53"/>
      <c r="O34" s="53"/>
      <c r="P34" s="53"/>
      <c r="Q34" s="53"/>
      <c r="R34" s="53"/>
      <c r="S34" s="53"/>
      <c r="T34" s="53"/>
      <c r="U34" s="53"/>
      <c r="V34" s="53"/>
    </row>
    <row r="35" spans="2:22">
      <c r="B35" t="s">
        <v>210</v>
      </c>
      <c r="D35" s="223">
        <v>0</v>
      </c>
      <c r="E35" s="223">
        <v>0</v>
      </c>
      <c r="F35" s="223">
        <v>0</v>
      </c>
      <c r="G35" s="223">
        <v>0</v>
      </c>
      <c r="H35" s="223">
        <v>0</v>
      </c>
      <c r="I35" s="223">
        <v>0</v>
      </c>
      <c r="J35" s="223">
        <v>0</v>
      </c>
      <c r="K35" s="223">
        <v>0</v>
      </c>
      <c r="L35" s="53">
        <f t="shared" ref="L35:L36" si="14">SUM(D35:K35)</f>
        <v>0</v>
      </c>
      <c r="N35" s="53">
        <f t="shared" ref="N35:U36" si="15">D35*N$1</f>
        <v>0</v>
      </c>
      <c r="O35" s="53">
        <f t="shared" si="15"/>
        <v>0</v>
      </c>
      <c r="P35" s="53">
        <f t="shared" si="15"/>
        <v>0</v>
      </c>
      <c r="Q35" s="53">
        <f t="shared" si="15"/>
        <v>0</v>
      </c>
      <c r="R35" s="53">
        <f t="shared" si="15"/>
        <v>0</v>
      </c>
      <c r="S35" s="53">
        <f t="shared" si="15"/>
        <v>0</v>
      </c>
      <c r="T35" s="53">
        <f t="shared" si="15"/>
        <v>0</v>
      </c>
      <c r="U35" s="53">
        <f t="shared" si="15"/>
        <v>0</v>
      </c>
      <c r="V35" s="53">
        <f>SUM(N35:U35)</f>
        <v>0</v>
      </c>
    </row>
    <row r="36" spans="2:22">
      <c r="B36" t="s">
        <v>212</v>
      </c>
      <c r="D36" s="223">
        <v>0</v>
      </c>
      <c r="E36" s="223">
        <v>0</v>
      </c>
      <c r="F36" s="223">
        <v>0</v>
      </c>
      <c r="G36" s="223">
        <v>0</v>
      </c>
      <c r="H36" s="223">
        <v>0</v>
      </c>
      <c r="I36" s="223">
        <v>0</v>
      </c>
      <c r="J36" s="223">
        <v>0</v>
      </c>
      <c r="K36" s="223">
        <v>0</v>
      </c>
      <c r="L36" s="53">
        <f t="shared" si="14"/>
        <v>0</v>
      </c>
      <c r="N36" s="53">
        <f t="shared" si="15"/>
        <v>0</v>
      </c>
      <c r="O36" s="53">
        <f t="shared" si="15"/>
        <v>0</v>
      </c>
      <c r="P36" s="53">
        <f t="shared" si="15"/>
        <v>0</v>
      </c>
      <c r="Q36" s="53">
        <f t="shared" si="15"/>
        <v>0</v>
      </c>
      <c r="R36" s="53">
        <f t="shared" si="15"/>
        <v>0</v>
      </c>
      <c r="S36" s="53">
        <f t="shared" si="15"/>
        <v>0</v>
      </c>
      <c r="T36" s="53">
        <f t="shared" si="15"/>
        <v>0</v>
      </c>
      <c r="U36" s="53">
        <f t="shared" si="15"/>
        <v>0</v>
      </c>
      <c r="V36" s="53">
        <f>SUM(N36:U36)</f>
        <v>0</v>
      </c>
    </row>
    <row r="37" spans="2:22">
      <c r="B37" s="38" t="s">
        <v>428</v>
      </c>
      <c r="N37" s="53"/>
      <c r="O37" s="53"/>
      <c r="P37" s="53"/>
      <c r="Q37" s="53"/>
      <c r="R37" s="53"/>
      <c r="S37" s="53"/>
      <c r="T37" s="53"/>
      <c r="U37" s="53"/>
      <c r="V37" s="53"/>
    </row>
    <row r="38" spans="2:22">
      <c r="B38" t="s">
        <v>215</v>
      </c>
      <c r="D38" s="223">
        <v>25.459307795372435</v>
      </c>
      <c r="E38" s="223">
        <v>14.41280752104567</v>
      </c>
      <c r="F38" s="223">
        <v>9.6173202079823099</v>
      </c>
      <c r="G38" s="223">
        <v>60.446777499796859</v>
      </c>
      <c r="H38" s="223">
        <v>84.880198528547851</v>
      </c>
      <c r="I38" s="223">
        <v>8.5249336835233791</v>
      </c>
      <c r="J38" s="223">
        <v>0.23152878737450566</v>
      </c>
      <c r="K38" s="223">
        <v>0</v>
      </c>
      <c r="L38" s="53">
        <f>SUM(D38:K38)</f>
        <v>203.57287402364304</v>
      </c>
      <c r="N38" s="53">
        <f t="shared" ref="N38:U40" si="16">D38*N$1</f>
        <v>29.711012197199633</v>
      </c>
      <c r="O38" s="53">
        <f t="shared" si="16"/>
        <v>17.151240950044347</v>
      </c>
      <c r="P38" s="53">
        <f t="shared" si="16"/>
        <v>11.560018889994737</v>
      </c>
      <c r="Q38" s="53">
        <f t="shared" si="16"/>
        <v>74.228642769750536</v>
      </c>
      <c r="R38" s="53">
        <f t="shared" si="16"/>
        <v>108.13737292536996</v>
      </c>
      <c r="S38" s="53">
        <f t="shared" si="16"/>
        <v>11.193237926466196</v>
      </c>
      <c r="T38" s="53">
        <f t="shared" si="16"/>
        <v>0.31233233416820816</v>
      </c>
      <c r="U38" s="53">
        <f t="shared" si="16"/>
        <v>0</v>
      </c>
      <c r="V38" s="53">
        <f>SUM(N38:U38)</f>
        <v>252.29385799299362</v>
      </c>
    </row>
    <row r="39" spans="2:22">
      <c r="B39" t="s">
        <v>217</v>
      </c>
      <c r="D39" s="223">
        <v>97.132518315217595</v>
      </c>
      <c r="E39" s="223">
        <v>109.87971241227922</v>
      </c>
      <c r="F39" s="223">
        <v>114.43672637584547</v>
      </c>
      <c r="G39" s="223">
        <v>123.96977718673423</v>
      </c>
      <c r="H39" s="223">
        <v>138.27838395379189</v>
      </c>
      <c r="I39" s="223">
        <v>117.50342084599842</v>
      </c>
      <c r="J39" s="223">
        <v>101.87556011564801</v>
      </c>
      <c r="K39" s="223">
        <v>91.157975802007329</v>
      </c>
      <c r="L39" s="53">
        <f>SUM(D39:K39)</f>
        <v>894.23407500752216</v>
      </c>
      <c r="N39" s="53">
        <f t="shared" si="16"/>
        <v>113.35364887385894</v>
      </c>
      <c r="O39" s="53">
        <f t="shared" si="16"/>
        <v>130.75685777061227</v>
      </c>
      <c r="P39" s="53">
        <f t="shared" si="16"/>
        <v>137.55294510376623</v>
      </c>
      <c r="Q39" s="53">
        <f t="shared" si="16"/>
        <v>152.23488638530964</v>
      </c>
      <c r="R39" s="53">
        <f t="shared" si="16"/>
        <v>176.16666115713087</v>
      </c>
      <c r="S39" s="53">
        <f t="shared" si="16"/>
        <v>154.28199157079592</v>
      </c>
      <c r="T39" s="53">
        <f t="shared" si="16"/>
        <v>137.43013059600918</v>
      </c>
      <c r="U39" s="53">
        <f t="shared" si="16"/>
        <v>126.52727041318616</v>
      </c>
      <c r="V39" s="53">
        <f>SUM(N39:U39)</f>
        <v>1128.3043918706692</v>
      </c>
    </row>
    <row r="40" spans="2:22">
      <c r="B40" t="s">
        <v>204</v>
      </c>
      <c r="D40" s="223">
        <v>64.482672010544718</v>
      </c>
      <c r="E40" s="223">
        <v>65.237874215180156</v>
      </c>
      <c r="F40" s="223">
        <v>70.772894725011071</v>
      </c>
      <c r="G40" s="223">
        <v>79.368338266410362</v>
      </c>
      <c r="H40" s="223">
        <v>84.317479134504765</v>
      </c>
      <c r="I40" s="223">
        <v>84.641346358196444</v>
      </c>
      <c r="J40" s="223">
        <v>80.728014781566515</v>
      </c>
      <c r="K40" s="223">
        <v>77.490070123441129</v>
      </c>
      <c r="L40" s="53">
        <f>SUM(D40:K40)</f>
        <v>607.03868961485512</v>
      </c>
      <c r="N40" s="53">
        <f t="shared" si="16"/>
        <v>75.251278236305694</v>
      </c>
      <c r="O40" s="53">
        <f t="shared" si="16"/>
        <v>77.633070316064376</v>
      </c>
      <c r="P40" s="53">
        <f t="shared" si="16"/>
        <v>85.069019459463306</v>
      </c>
      <c r="Q40" s="53">
        <f t="shared" si="16"/>
        <v>97.464319391151918</v>
      </c>
      <c r="R40" s="53">
        <f t="shared" si="16"/>
        <v>107.42046841735907</v>
      </c>
      <c r="S40" s="53">
        <f t="shared" si="16"/>
        <v>111.13408776831193</v>
      </c>
      <c r="T40" s="53">
        <f t="shared" si="16"/>
        <v>108.90209194033322</v>
      </c>
      <c r="U40" s="53">
        <f t="shared" si="16"/>
        <v>107.55621733133628</v>
      </c>
      <c r="V40" s="53">
        <f>SUM(N40:U40)</f>
        <v>770.43055286032575</v>
      </c>
    </row>
    <row r="41" spans="2:22">
      <c r="N41" s="53"/>
      <c r="O41" s="53"/>
      <c r="P41" s="53"/>
      <c r="Q41" s="53"/>
      <c r="R41" s="53"/>
      <c r="S41" s="53"/>
      <c r="T41" s="53"/>
      <c r="U41" s="53"/>
      <c r="V41" s="53"/>
    </row>
    <row r="42" spans="2:22">
      <c r="B42" s="38" t="s">
        <v>429</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SUM(D43:K43)</f>
        <v>0</v>
      </c>
      <c r="N43" s="53">
        <f t="shared" ref="N43:U44" si="17">D43*N$1</f>
        <v>0</v>
      </c>
      <c r="O43" s="53">
        <f t="shared" si="17"/>
        <v>0</v>
      </c>
      <c r="P43" s="53">
        <f t="shared" si="17"/>
        <v>0</v>
      </c>
      <c r="Q43" s="53">
        <f t="shared" si="17"/>
        <v>0</v>
      </c>
      <c r="R43" s="53">
        <f t="shared" si="17"/>
        <v>0</v>
      </c>
      <c r="S43" s="53">
        <f t="shared" si="17"/>
        <v>0</v>
      </c>
      <c r="T43" s="53">
        <f t="shared" si="17"/>
        <v>0</v>
      </c>
      <c r="U43" s="53">
        <f t="shared" si="17"/>
        <v>0</v>
      </c>
      <c r="V43" s="53">
        <f>SUM(N43:U43)</f>
        <v>0</v>
      </c>
    </row>
    <row r="44" spans="2:22">
      <c r="B44" t="s">
        <v>204</v>
      </c>
      <c r="D44" s="223">
        <v>0</v>
      </c>
      <c r="E44" s="223">
        <v>0</v>
      </c>
      <c r="F44" s="223">
        <v>0</v>
      </c>
      <c r="G44" s="223">
        <v>0</v>
      </c>
      <c r="H44" s="223">
        <v>0</v>
      </c>
      <c r="I44" s="223">
        <v>0</v>
      </c>
      <c r="J44" s="223">
        <v>0</v>
      </c>
      <c r="K44" s="223">
        <v>0</v>
      </c>
      <c r="L44" s="53">
        <f>SUM(D44:K44)</f>
        <v>0</v>
      </c>
      <c r="N44" s="53">
        <f t="shared" si="17"/>
        <v>0</v>
      </c>
      <c r="O44" s="53">
        <f t="shared" si="17"/>
        <v>0</v>
      </c>
      <c r="P44" s="53">
        <f t="shared" si="17"/>
        <v>0</v>
      </c>
      <c r="Q44" s="53">
        <f t="shared" si="17"/>
        <v>0</v>
      </c>
      <c r="R44" s="53">
        <f t="shared" si="17"/>
        <v>0</v>
      </c>
      <c r="S44" s="53">
        <f t="shared" si="17"/>
        <v>0</v>
      </c>
      <c r="T44" s="53">
        <f t="shared" si="17"/>
        <v>0</v>
      </c>
      <c r="U44" s="53">
        <f t="shared" si="17"/>
        <v>0</v>
      </c>
      <c r="V44" s="53">
        <f>SUM(N44:U44)</f>
        <v>0</v>
      </c>
    </row>
    <row r="45" spans="2:22">
      <c r="N45" s="53"/>
      <c r="O45" s="53"/>
      <c r="P45" s="53"/>
      <c r="Q45" s="53"/>
      <c r="R45" s="53"/>
      <c r="S45" s="53"/>
      <c r="T45" s="53"/>
      <c r="U45" s="53"/>
      <c r="V45" s="53"/>
    </row>
    <row r="46" spans="2:22" ht="15.6">
      <c r="B46" s="59" t="s">
        <v>345</v>
      </c>
      <c r="C46" s="60"/>
      <c r="D46" s="61">
        <f t="shared" ref="D46:L46" si="18">SUM(D38:D44)</f>
        <v>187.07449812113475</v>
      </c>
      <c r="E46" s="61">
        <f t="shared" si="18"/>
        <v>189.53039414850502</v>
      </c>
      <c r="F46" s="61">
        <f t="shared" si="18"/>
        <v>194.82694130883885</v>
      </c>
      <c r="G46" s="61">
        <f t="shared" si="18"/>
        <v>263.78489295294145</v>
      </c>
      <c r="H46" s="61">
        <f t="shared" si="18"/>
        <v>307.4760616168445</v>
      </c>
      <c r="I46" s="61">
        <f t="shared" si="18"/>
        <v>210.66970088771825</v>
      </c>
      <c r="J46" s="61">
        <f t="shared" si="18"/>
        <v>182.83510368458903</v>
      </c>
      <c r="K46" s="61">
        <f t="shared" si="18"/>
        <v>168.64804592544846</v>
      </c>
      <c r="L46" s="61">
        <f t="shared" si="18"/>
        <v>1704.8456386460202</v>
      </c>
      <c r="N46" s="61">
        <f t="shared" ref="N46:V46" si="19">SUM(N38:N44)</f>
        <v>218.31593930736426</v>
      </c>
      <c r="O46" s="61">
        <f t="shared" si="19"/>
        <v>225.54116903672099</v>
      </c>
      <c r="P46" s="61">
        <f t="shared" si="19"/>
        <v>234.18198345322426</v>
      </c>
      <c r="Q46" s="61">
        <f t="shared" si="19"/>
        <v>323.92784854621209</v>
      </c>
      <c r="R46" s="61">
        <f t="shared" si="19"/>
        <v>391.72450249985991</v>
      </c>
      <c r="S46" s="61">
        <f t="shared" si="19"/>
        <v>276.60931726557408</v>
      </c>
      <c r="T46" s="61">
        <f t="shared" si="19"/>
        <v>246.6445548705106</v>
      </c>
      <c r="U46" s="61">
        <f t="shared" si="19"/>
        <v>234.08348774452244</v>
      </c>
      <c r="V46" s="61">
        <f t="shared" si="19"/>
        <v>2151.0288027239885</v>
      </c>
    </row>
    <row r="47" spans="2:22">
      <c r="N47" s="53"/>
      <c r="O47" s="53"/>
      <c r="P47" s="53"/>
      <c r="Q47" s="53"/>
      <c r="R47" s="53"/>
      <c r="S47" s="53"/>
      <c r="T47" s="53"/>
      <c r="U47" s="53"/>
      <c r="V47" s="53"/>
    </row>
    <row r="48" spans="2:22">
      <c r="D48" s="53"/>
      <c r="E48" s="53"/>
      <c r="F48" s="53"/>
      <c r="G48" s="53"/>
      <c r="H48" s="53"/>
      <c r="I48" s="53"/>
      <c r="J48" s="53"/>
      <c r="K48" s="53"/>
      <c r="L48" s="53"/>
    </row>
    <row r="49" spans="1:16" s="195" customFormat="1">
      <c r="D49" s="196"/>
      <c r="E49" s="196"/>
      <c r="F49" s="196"/>
      <c r="G49" s="196"/>
      <c r="H49" s="196"/>
      <c r="I49" s="196"/>
      <c r="J49" s="196"/>
      <c r="K49" s="196"/>
      <c r="L49" s="196"/>
    </row>
    <row r="50" spans="1:16" ht="13.8" thickBot="1"/>
    <row r="51" spans="1:16" ht="16.8">
      <c r="A51" s="68"/>
      <c r="B51" s="69" t="s">
        <v>237</v>
      </c>
      <c r="D51" s="70">
        <v>41729</v>
      </c>
      <c r="E51" s="71">
        <v>42094</v>
      </c>
      <c r="F51" s="71">
        <v>42460</v>
      </c>
      <c r="G51" s="71">
        <v>42825</v>
      </c>
      <c r="H51" s="71">
        <v>43190</v>
      </c>
      <c r="I51" s="71">
        <v>43555</v>
      </c>
      <c r="J51" s="71">
        <v>43921</v>
      </c>
      <c r="K51" s="72">
        <v>44286</v>
      </c>
      <c r="L51" s="73" t="s">
        <v>238</v>
      </c>
    </row>
    <row r="52" spans="1:16" ht="16.8">
      <c r="A52" s="74"/>
      <c r="B52" s="75" t="s">
        <v>239</v>
      </c>
      <c r="D52" s="76" t="s">
        <v>240</v>
      </c>
      <c r="E52" s="77" t="s">
        <v>240</v>
      </c>
      <c r="F52" s="77" t="s">
        <v>240</v>
      </c>
      <c r="G52" s="77" t="s">
        <v>240</v>
      </c>
      <c r="H52" s="77" t="s">
        <v>240</v>
      </c>
      <c r="I52" s="77" t="s">
        <v>240</v>
      </c>
      <c r="J52" s="77" t="s">
        <v>240</v>
      </c>
      <c r="K52" s="78" t="s">
        <v>240</v>
      </c>
      <c r="L52" s="79" t="s">
        <v>240</v>
      </c>
    </row>
    <row r="53" spans="1:16" ht="16.8">
      <c r="A53" s="80"/>
      <c r="B53" s="81" t="s">
        <v>207</v>
      </c>
      <c r="D53" s="82"/>
      <c r="E53" s="83"/>
      <c r="F53" s="83"/>
      <c r="G53" s="83"/>
      <c r="H53" s="83"/>
      <c r="I53" s="83"/>
      <c r="J53" s="83"/>
      <c r="K53" s="84"/>
      <c r="L53" s="85"/>
    </row>
    <row r="54" spans="1:16" ht="16.8">
      <c r="A54" s="86">
        <v>1</v>
      </c>
      <c r="B54" s="75" t="s">
        <v>241</v>
      </c>
      <c r="D54" s="87">
        <v>120.47597679001079</v>
      </c>
      <c r="E54" s="88">
        <v>122.05757383163726</v>
      </c>
      <c r="F54" s="88">
        <v>125.46855020289223</v>
      </c>
      <c r="G54" s="88">
        <v>169.87747106169431</v>
      </c>
      <c r="H54" s="88">
        <v>198.01458368124784</v>
      </c>
      <c r="I54" s="88">
        <v>135.67128737169054</v>
      </c>
      <c r="J54" s="88">
        <v>117.74580677287534</v>
      </c>
      <c r="K54" s="89">
        <v>108.60934157598881</v>
      </c>
      <c r="L54" s="90">
        <v>1097.920591288037</v>
      </c>
    </row>
    <row r="55" spans="1:16" ht="16.8">
      <c r="A55" s="86">
        <v>2</v>
      </c>
      <c r="B55" s="75" t="s">
        <v>242</v>
      </c>
      <c r="D55" s="87">
        <v>66.598521331123962</v>
      </c>
      <c r="E55" s="88">
        <v>67.472820316867796</v>
      </c>
      <c r="F55" s="88">
        <v>69.358391105946623</v>
      </c>
      <c r="G55" s="88">
        <v>93.907421891247139</v>
      </c>
      <c r="H55" s="88">
        <v>109.4614779355966</v>
      </c>
      <c r="I55" s="88">
        <v>74.998413516027682</v>
      </c>
      <c r="J55" s="88">
        <v>65.089296911713689</v>
      </c>
      <c r="K55" s="89">
        <v>60.03870434945965</v>
      </c>
      <c r="L55" s="90">
        <v>606.92504735798309</v>
      </c>
    </row>
    <row r="56" spans="1:16" ht="16.8">
      <c r="A56" s="86">
        <v>3</v>
      </c>
      <c r="B56" s="75" t="s">
        <v>243</v>
      </c>
      <c r="D56" s="87">
        <v>187.07449812113475</v>
      </c>
      <c r="E56" s="88">
        <v>189.53039414850505</v>
      </c>
      <c r="F56" s="88">
        <v>194.82694130883885</v>
      </c>
      <c r="G56" s="88">
        <v>263.78489295294145</v>
      </c>
      <c r="H56" s="88">
        <v>307.47606161684445</v>
      </c>
      <c r="I56" s="88">
        <v>210.66970088771822</v>
      </c>
      <c r="J56" s="88">
        <v>182.83510368458903</v>
      </c>
      <c r="K56" s="89">
        <v>168.64804592544846</v>
      </c>
      <c r="L56" s="90">
        <v>1704.8456386460202</v>
      </c>
      <c r="P56" s="118"/>
    </row>
    <row r="57" spans="1:16" ht="16.8">
      <c r="A57" s="80"/>
      <c r="B57" s="81" t="s">
        <v>244</v>
      </c>
      <c r="D57" s="82">
        <v>0</v>
      </c>
      <c r="E57" s="83">
        <v>0</v>
      </c>
      <c r="F57" s="83">
        <v>0</v>
      </c>
      <c r="G57" s="83">
        <v>0</v>
      </c>
      <c r="H57" s="83">
        <v>0</v>
      </c>
      <c r="I57" s="83">
        <v>0</v>
      </c>
      <c r="J57" s="83">
        <v>0</v>
      </c>
      <c r="K57" s="84">
        <v>0</v>
      </c>
      <c r="L57" s="85">
        <v>0</v>
      </c>
    </row>
    <row r="58" spans="1:16" ht="16.8">
      <c r="A58" s="86">
        <v>4</v>
      </c>
      <c r="B58" s="75" t="s">
        <v>245</v>
      </c>
      <c r="D58" s="87">
        <v>4014.3985484751774</v>
      </c>
      <c r="E58" s="88">
        <v>4322.4888336102549</v>
      </c>
      <c r="F58" s="88">
        <v>4304.3651263721986</v>
      </c>
      <c r="G58" s="88">
        <v>4288.918065572916</v>
      </c>
      <c r="H58" s="88">
        <v>4329.1249980114317</v>
      </c>
      <c r="I58" s="88">
        <v>4844.6909602266769</v>
      </c>
      <c r="J58" s="88">
        <v>4887.1727666073957</v>
      </c>
      <c r="K58" s="89">
        <v>4861.354956526352</v>
      </c>
      <c r="L58" s="90">
        <v>0</v>
      </c>
    </row>
    <row r="59" spans="1:16" ht="16.8">
      <c r="A59" s="86">
        <v>5</v>
      </c>
      <c r="B59" s="75" t="s">
        <v>246</v>
      </c>
      <c r="D59" s="87">
        <v>238.90848777994489</v>
      </c>
      <c r="E59" s="88">
        <v>1.5889649604528906</v>
      </c>
      <c r="F59" s="88">
        <v>1.9371656435515117</v>
      </c>
      <c r="G59" s="88">
        <v>14.654700839030934</v>
      </c>
      <c r="H59" s="88">
        <v>475.82214045185901</v>
      </c>
      <c r="I59" s="88">
        <v>69.349803718573156</v>
      </c>
      <c r="J59" s="88">
        <v>20.779442706835688</v>
      </c>
      <c r="K59" s="89">
        <v>0.81062265305823133</v>
      </c>
      <c r="L59" s="90">
        <v>823.85132875330635</v>
      </c>
    </row>
    <row r="60" spans="1:16" ht="16.8">
      <c r="A60" s="86">
        <v>6</v>
      </c>
      <c r="B60" s="75" t="s">
        <v>247</v>
      </c>
      <c r="D60" s="87">
        <v>4253.3070362551225</v>
      </c>
      <c r="E60" s="88">
        <v>4324.0777985707082</v>
      </c>
      <c r="F60" s="88">
        <v>4306.30229201575</v>
      </c>
      <c r="G60" s="88">
        <v>4303.5727664119468</v>
      </c>
      <c r="H60" s="88">
        <v>4804.9471384632907</v>
      </c>
      <c r="I60" s="88">
        <v>4914.0407639452496</v>
      </c>
      <c r="J60" s="88">
        <v>4907.9522093142314</v>
      </c>
      <c r="K60" s="89">
        <v>4862.1655791794101</v>
      </c>
      <c r="L60" s="90">
        <v>0</v>
      </c>
    </row>
    <row r="61" spans="1:16" ht="16.8">
      <c r="A61" s="86">
        <v>7</v>
      </c>
      <c r="B61" s="75" t="s">
        <v>248</v>
      </c>
      <c r="D61" s="87">
        <v>207.96036917535687</v>
      </c>
      <c r="E61" s="88">
        <v>122.04981585153259</v>
      </c>
      <c r="F61" s="88">
        <v>125.46079222278756</v>
      </c>
      <c r="G61" s="88">
        <v>169.86971308158965</v>
      </c>
      <c r="H61" s="88">
        <v>198.00682570114319</v>
      </c>
      <c r="I61" s="88">
        <v>135.66352939158588</v>
      </c>
      <c r="J61" s="88">
        <v>117.73804879277067</v>
      </c>
      <c r="K61" s="89">
        <v>108.60158359588414</v>
      </c>
      <c r="L61" s="90">
        <v>1185.3506778126507</v>
      </c>
    </row>
    <row r="62" spans="1:16" ht="16.8">
      <c r="A62" s="86">
        <v>8</v>
      </c>
      <c r="B62" s="75" t="s">
        <v>249</v>
      </c>
      <c r="D62" s="87">
        <v>-138.77857182022461</v>
      </c>
      <c r="E62" s="88">
        <v>-141.76248805004252</v>
      </c>
      <c r="F62" s="88">
        <v>-142.84501866562204</v>
      </c>
      <c r="G62" s="88">
        <v>-144.31748148210471</v>
      </c>
      <c r="H62" s="88">
        <v>-158.26300393775753</v>
      </c>
      <c r="I62" s="88">
        <v>-162.53152672944</v>
      </c>
      <c r="J62" s="88">
        <v>-164.33530158064929</v>
      </c>
      <c r="K62" s="89">
        <v>-165.29698086180093</v>
      </c>
      <c r="L62" s="90">
        <v>-1218.1303731276414</v>
      </c>
    </row>
    <row r="63" spans="1:16" ht="16.8">
      <c r="A63" s="86">
        <v>9</v>
      </c>
      <c r="B63" s="75" t="s">
        <v>250</v>
      </c>
      <c r="D63" s="87">
        <v>4322.4888336102549</v>
      </c>
      <c r="E63" s="88">
        <v>4304.3651263721986</v>
      </c>
      <c r="F63" s="88">
        <v>4288.918065572916</v>
      </c>
      <c r="G63" s="88">
        <v>4329.1249980114317</v>
      </c>
      <c r="H63" s="88">
        <v>4844.6909602266769</v>
      </c>
      <c r="I63" s="88">
        <v>4887.1727666073957</v>
      </c>
      <c r="J63" s="88">
        <v>4861.354956526352</v>
      </c>
      <c r="K63" s="89">
        <v>4805.4701819134934</v>
      </c>
      <c r="L63" s="90">
        <v>0</v>
      </c>
    </row>
    <row r="64" spans="1:16" ht="16.8">
      <c r="A64" s="80"/>
      <c r="B64" s="81" t="s">
        <v>251</v>
      </c>
      <c r="D64" s="91">
        <v>0</v>
      </c>
      <c r="E64" s="92">
        <v>0</v>
      </c>
      <c r="F64" s="92">
        <v>0</v>
      </c>
      <c r="G64" s="92">
        <v>0</v>
      </c>
      <c r="H64" s="92">
        <v>0</v>
      </c>
      <c r="I64" s="92">
        <v>0</v>
      </c>
      <c r="J64" s="92">
        <v>0</v>
      </c>
      <c r="K64" s="93">
        <v>0</v>
      </c>
      <c r="L64" s="94">
        <v>0</v>
      </c>
    </row>
    <row r="65" spans="1:12" ht="16.8">
      <c r="A65" s="86">
        <v>10</v>
      </c>
      <c r="B65" s="75" t="s">
        <v>252</v>
      </c>
      <c r="D65" s="87">
        <v>66.598521331123962</v>
      </c>
      <c r="E65" s="88">
        <v>67.472820316867796</v>
      </c>
      <c r="F65" s="88">
        <v>69.358391105946623</v>
      </c>
      <c r="G65" s="88">
        <v>93.907421891247139</v>
      </c>
      <c r="H65" s="88">
        <v>109.4614779355966</v>
      </c>
      <c r="I65" s="88">
        <v>74.998413516027682</v>
      </c>
      <c r="J65" s="88">
        <v>65.089296911713689</v>
      </c>
      <c r="K65" s="89">
        <v>60.03870434945965</v>
      </c>
      <c r="L65" s="90">
        <v>606.92504735798309</v>
      </c>
    </row>
    <row r="66" spans="1:12" ht="16.8">
      <c r="A66" s="86">
        <v>11</v>
      </c>
      <c r="B66" s="75" t="s">
        <v>253</v>
      </c>
      <c r="D66" s="87">
        <v>110.11544616012048</v>
      </c>
      <c r="E66" s="88">
        <v>110.29121834911521</v>
      </c>
      <c r="F66" s="88">
        <v>110.32860169190292</v>
      </c>
      <c r="G66" s="88">
        <v>110.3596633646699</v>
      </c>
      <c r="H66" s="88">
        <v>110.27343835902431</v>
      </c>
      <c r="I66" s="88">
        <v>110.27662588032852</v>
      </c>
      <c r="J66" s="88">
        <v>110.30420904525512</v>
      </c>
      <c r="K66" s="89">
        <v>110.31067350058066</v>
      </c>
      <c r="L66" s="90">
        <v>882.25987635099727</v>
      </c>
    </row>
    <row r="67" spans="1:12" ht="16.8">
      <c r="A67" s="86">
        <v>12</v>
      </c>
      <c r="B67" s="75" t="s">
        <v>254</v>
      </c>
      <c r="D67" s="87">
        <v>138.77857182022461</v>
      </c>
      <c r="E67" s="88">
        <v>139.81821804192137</v>
      </c>
      <c r="F67" s="88">
        <v>140.90074865750091</v>
      </c>
      <c r="G67" s="88">
        <v>142.37321147398359</v>
      </c>
      <c r="H67" s="88">
        <v>156.31873392963638</v>
      </c>
      <c r="I67" s="88">
        <v>160.58725672131885</v>
      </c>
      <c r="J67" s="88">
        <v>162.39103157252816</v>
      </c>
      <c r="K67" s="89">
        <v>163.35271085367981</v>
      </c>
      <c r="L67" s="90">
        <v>1204.5204830707937</v>
      </c>
    </row>
    <row r="68" spans="1:12" ht="16.8">
      <c r="A68" s="86">
        <v>13</v>
      </c>
      <c r="B68" s="75" t="s">
        <v>255</v>
      </c>
      <c r="D68" s="87">
        <v>181.79850693518748</v>
      </c>
      <c r="E68" s="88">
        <v>181.09363656977166</v>
      </c>
      <c r="F68" s="88">
        <v>180.46433564893792</v>
      </c>
      <c r="G68" s="88">
        <v>181.33056661729273</v>
      </c>
      <c r="H68" s="88">
        <v>203.18668474337215</v>
      </c>
      <c r="I68" s="88">
        <v>206.54672414051672</v>
      </c>
      <c r="J68" s="88">
        <v>205.9557242601679</v>
      </c>
      <c r="K68" s="89">
        <v>203.86618301493181</v>
      </c>
      <c r="L68" s="90">
        <v>1544.2423619301783</v>
      </c>
    </row>
    <row r="69" spans="1:12" ht="16.8">
      <c r="A69" s="86">
        <v>14</v>
      </c>
      <c r="B69" s="75" t="s">
        <v>256</v>
      </c>
      <c r="D69" s="87">
        <v>0</v>
      </c>
      <c r="E69" s="88">
        <v>0</v>
      </c>
      <c r="F69" s="88">
        <v>0</v>
      </c>
      <c r="G69" s="88">
        <v>0</v>
      </c>
      <c r="H69" s="88">
        <v>0</v>
      </c>
      <c r="I69" s="88">
        <v>0</v>
      </c>
      <c r="J69" s="88">
        <v>0</v>
      </c>
      <c r="K69" s="89">
        <v>0</v>
      </c>
      <c r="L69" s="90">
        <v>0</v>
      </c>
    </row>
    <row r="70" spans="1:12" ht="16.8">
      <c r="A70" s="86">
        <v>15</v>
      </c>
      <c r="B70" s="75" t="s">
        <v>257</v>
      </c>
      <c r="D70" s="87">
        <v>-1.1295718210052885</v>
      </c>
      <c r="E70" s="88">
        <v>-1.1444007312827333</v>
      </c>
      <c r="F70" s="88">
        <v>-1.1763817360750841</v>
      </c>
      <c r="G70" s="88">
        <v>-1.5927557463957547</v>
      </c>
      <c r="H70" s="88">
        <v>-1.8565667598967899</v>
      </c>
      <c r="I70" s="88">
        <v>-1.2720416735170972</v>
      </c>
      <c r="J70" s="88">
        <v>-1.1039739947823479</v>
      </c>
      <c r="K70" s="89">
        <v>-1.018311326547777</v>
      </c>
      <c r="L70" s="90">
        <v>-10.294003789502874</v>
      </c>
    </row>
    <row r="71" spans="1:12" ht="16.8">
      <c r="A71" s="86">
        <v>16</v>
      </c>
      <c r="B71" s="75" t="s">
        <v>258</v>
      </c>
      <c r="D71" s="87">
        <v>29.880398309084342</v>
      </c>
      <c r="E71" s="88">
        <v>30.94598462072333</v>
      </c>
      <c r="F71" s="88">
        <v>31.653815333496517</v>
      </c>
      <c r="G71" s="88">
        <v>32.605738639953522</v>
      </c>
      <c r="H71" s="88">
        <v>52.203683591068042</v>
      </c>
      <c r="I71" s="88">
        <v>53.34966363379381</v>
      </c>
      <c r="J71" s="88">
        <v>54.645780303388818</v>
      </c>
      <c r="K71" s="89">
        <v>55.794227077278627</v>
      </c>
      <c r="L71" s="90">
        <v>341.07929150878692</v>
      </c>
    </row>
    <row r="72" spans="1:12" ht="16.8">
      <c r="A72" s="86">
        <v>17</v>
      </c>
      <c r="B72" s="75" t="s">
        <v>259</v>
      </c>
      <c r="D72" s="87">
        <v>12.644268657591024</v>
      </c>
      <c r="E72" s="88">
        <v>14.449255534190641</v>
      </c>
      <c r="F72" s="88">
        <v>16.435572510903615</v>
      </c>
      <c r="G72" s="88">
        <v>21.586082980434373</v>
      </c>
      <c r="H72" s="88">
        <v>29.031743034658568</v>
      </c>
      <c r="I72" s="88">
        <v>22.383317417943779</v>
      </c>
      <c r="J72" s="88">
        <v>24.442401135955986</v>
      </c>
      <c r="K72" s="89">
        <v>27.993942375584766</v>
      </c>
      <c r="L72" s="90">
        <v>168.96658364726272</v>
      </c>
    </row>
    <row r="73" spans="1:12" ht="16.8">
      <c r="A73" s="80"/>
      <c r="B73" s="81" t="s">
        <v>260</v>
      </c>
      <c r="D73" s="91">
        <v>0</v>
      </c>
      <c r="E73" s="92">
        <v>0</v>
      </c>
      <c r="F73" s="92">
        <v>0</v>
      </c>
      <c r="G73" s="92">
        <v>0</v>
      </c>
      <c r="H73" s="92">
        <v>0</v>
      </c>
      <c r="I73" s="92">
        <v>0</v>
      </c>
      <c r="J73" s="92">
        <v>0</v>
      </c>
      <c r="K73" s="93">
        <v>0</v>
      </c>
      <c r="L73" s="94">
        <v>0</v>
      </c>
    </row>
    <row r="74" spans="1:12" ht="16.8">
      <c r="A74" s="86">
        <v>18</v>
      </c>
      <c r="B74" s="75" t="s">
        <v>252</v>
      </c>
      <c r="D74" s="87">
        <v>66.598521331123962</v>
      </c>
      <c r="E74" s="88">
        <v>67.472820316867796</v>
      </c>
      <c r="F74" s="88">
        <v>69.358391105946623</v>
      </c>
      <c r="G74" s="88">
        <v>93.907421891247139</v>
      </c>
      <c r="H74" s="88">
        <v>109.4614779355966</v>
      </c>
      <c r="I74" s="88">
        <v>74.998413516027682</v>
      </c>
      <c r="J74" s="88">
        <v>65.089296911713689</v>
      </c>
      <c r="K74" s="89">
        <v>60.03870434945965</v>
      </c>
      <c r="L74" s="90">
        <v>606.92504735798309</v>
      </c>
    </row>
    <row r="75" spans="1:12" ht="16.8">
      <c r="A75" s="86">
        <v>19</v>
      </c>
      <c r="B75" s="75" t="s">
        <v>253</v>
      </c>
      <c r="D75" s="87">
        <v>110.11544616012048</v>
      </c>
      <c r="E75" s="88">
        <v>110.29121834911521</v>
      </c>
      <c r="F75" s="88">
        <v>110.32860169190292</v>
      </c>
      <c r="G75" s="88">
        <v>110.3596633646699</v>
      </c>
      <c r="H75" s="88">
        <v>110.27343835902431</v>
      </c>
      <c r="I75" s="88">
        <v>110.27662588032852</v>
      </c>
      <c r="J75" s="88">
        <v>110.30420904525512</v>
      </c>
      <c r="K75" s="89">
        <v>110.31067350058066</v>
      </c>
      <c r="L75" s="90">
        <v>882.25987635099727</v>
      </c>
    </row>
    <row r="76" spans="1:12" ht="16.8">
      <c r="A76" s="86">
        <v>20</v>
      </c>
      <c r="B76" s="75" t="s">
        <v>254</v>
      </c>
      <c r="D76" s="87">
        <v>138.77857182022461</v>
      </c>
      <c r="E76" s="88">
        <v>141.76248805004252</v>
      </c>
      <c r="F76" s="88">
        <v>142.84501866562204</v>
      </c>
      <c r="G76" s="88">
        <v>144.31748148210471</v>
      </c>
      <c r="H76" s="88">
        <v>158.26300393775753</v>
      </c>
      <c r="I76" s="88">
        <v>162.53152672944</v>
      </c>
      <c r="J76" s="88">
        <v>164.33530158064929</v>
      </c>
      <c r="K76" s="89">
        <v>165.29698086180093</v>
      </c>
      <c r="L76" s="90">
        <v>1218.1303731276414</v>
      </c>
    </row>
    <row r="77" spans="1:12" ht="16.8">
      <c r="A77" s="86">
        <v>21</v>
      </c>
      <c r="B77" s="75" t="s">
        <v>255</v>
      </c>
      <c r="D77" s="87">
        <v>183.63217475721788</v>
      </c>
      <c r="E77" s="88">
        <v>179.62551071162679</v>
      </c>
      <c r="F77" s="88">
        <v>178.93291305154523</v>
      </c>
      <c r="G77" s="88">
        <v>179.69447640159481</v>
      </c>
      <c r="H77" s="88">
        <v>200.85782012622207</v>
      </c>
      <c r="I77" s="88">
        <v>204.0419957689993</v>
      </c>
      <c r="J77" s="88">
        <v>203.38635166728949</v>
      </c>
      <c r="K77" s="89">
        <v>201.27424768529556</v>
      </c>
      <c r="L77" s="90">
        <v>1531.4454901697909</v>
      </c>
    </row>
    <row r="78" spans="1:12" ht="16.8">
      <c r="A78" s="86">
        <v>22</v>
      </c>
      <c r="B78" s="75" t="s">
        <v>256</v>
      </c>
      <c r="D78" s="87">
        <v>0</v>
      </c>
      <c r="E78" s="88">
        <v>0</v>
      </c>
      <c r="F78" s="88">
        <v>0</v>
      </c>
      <c r="G78" s="88">
        <v>0</v>
      </c>
      <c r="H78" s="88">
        <v>0</v>
      </c>
      <c r="I78" s="88">
        <v>0</v>
      </c>
      <c r="J78" s="88">
        <v>0</v>
      </c>
      <c r="K78" s="89">
        <v>0</v>
      </c>
      <c r="L78" s="90">
        <v>0</v>
      </c>
    </row>
    <row r="79" spans="1:12" ht="16.8">
      <c r="A79" s="86">
        <v>23</v>
      </c>
      <c r="B79" s="75" t="s">
        <v>257</v>
      </c>
      <c r="D79" s="87">
        <v>-1.1295718210052885</v>
      </c>
      <c r="E79" s="88">
        <v>-1.1444007312827333</v>
      </c>
      <c r="F79" s="88">
        <v>-1.1763817360750841</v>
      </c>
      <c r="G79" s="88">
        <v>-1.5927557463957547</v>
      </c>
      <c r="H79" s="88">
        <v>-1.8565667598967899</v>
      </c>
      <c r="I79" s="88">
        <v>-1.2720416735170972</v>
      </c>
      <c r="J79" s="88">
        <v>-1.1039739947823479</v>
      </c>
      <c r="K79" s="89">
        <v>-1.018311326547777</v>
      </c>
      <c r="L79" s="90">
        <v>-10.294003789502874</v>
      </c>
    </row>
    <row r="80" spans="1:12" ht="16.8">
      <c r="A80" s="86">
        <v>24</v>
      </c>
      <c r="B80" s="75" t="s">
        <v>258</v>
      </c>
      <c r="D80" s="87">
        <v>32.038649430910205</v>
      </c>
      <c r="E80" s="88">
        <v>33.195961415226797</v>
      </c>
      <c r="F80" s="88">
        <v>33.999416141766375</v>
      </c>
      <c r="G80" s="88">
        <v>35.051027482574852</v>
      </c>
      <c r="H80" s="88">
        <v>54.752897209500773</v>
      </c>
      <c r="I80" s="88">
        <v>56.007218831009936</v>
      </c>
      <c r="J80" s="88">
        <v>57.416281596486634</v>
      </c>
      <c r="K80" s="89">
        <v>58.682474675333097</v>
      </c>
      <c r="L80" s="90">
        <v>361.14392678280865</v>
      </c>
    </row>
    <row r="81" spans="1:12" ht="16.8">
      <c r="A81" s="86">
        <v>25</v>
      </c>
      <c r="B81" s="75" t="s">
        <v>259</v>
      </c>
      <c r="D81" s="87">
        <v>12.800278243856701</v>
      </c>
      <c r="E81" s="88">
        <v>15.054324216531636</v>
      </c>
      <c r="F81" s="88">
        <v>17.032860332844653</v>
      </c>
      <c r="G81" s="88">
        <v>22.194517253047266</v>
      </c>
      <c r="H81" s="88">
        <v>29.655351467366433</v>
      </c>
      <c r="I81" s="88">
        <v>23.016967980453597</v>
      </c>
      <c r="J81" s="88">
        <v>25.066153648397243</v>
      </c>
      <c r="K81" s="89">
        <v>28.598257225944689</v>
      </c>
      <c r="L81" s="90">
        <v>173.41871036844219</v>
      </c>
    </row>
    <row r="82" spans="1:12" ht="16.8">
      <c r="A82" s="80"/>
      <c r="B82" s="81" t="s">
        <v>261</v>
      </c>
      <c r="D82" s="91">
        <v>0</v>
      </c>
      <c r="E82" s="92">
        <v>0</v>
      </c>
      <c r="F82" s="92">
        <v>0</v>
      </c>
      <c r="G82" s="92">
        <v>0</v>
      </c>
      <c r="H82" s="92">
        <v>0</v>
      </c>
      <c r="I82" s="92">
        <v>0</v>
      </c>
      <c r="J82" s="92">
        <v>0</v>
      </c>
      <c r="K82" s="93">
        <v>0</v>
      </c>
      <c r="L82" s="95">
        <v>0</v>
      </c>
    </row>
    <row r="83" spans="1:12" ht="16.8">
      <c r="A83" s="86">
        <v>26</v>
      </c>
      <c r="B83" s="75" t="s">
        <v>262</v>
      </c>
      <c r="D83" s="87">
        <v>538.68614139232659</v>
      </c>
      <c r="E83" s="88">
        <v>542.92673270130729</v>
      </c>
      <c r="F83" s="88">
        <v>547.96508321261342</v>
      </c>
      <c r="G83" s="88">
        <v>580.56992922118559</v>
      </c>
      <c r="H83" s="88">
        <v>658.61919483345935</v>
      </c>
      <c r="I83" s="88">
        <v>626.8699596364122</v>
      </c>
      <c r="J83" s="88">
        <v>621.72446923422729</v>
      </c>
      <c r="K83" s="89">
        <v>620.33812984496751</v>
      </c>
      <c r="L83" s="90">
        <v>4737.6996400764992</v>
      </c>
    </row>
    <row r="84" spans="1:12" ht="16.8">
      <c r="A84" s="86">
        <v>27</v>
      </c>
      <c r="B84" s="75" t="s">
        <v>263</v>
      </c>
      <c r="D84" s="87">
        <v>0</v>
      </c>
      <c r="E84" s="88">
        <v>7.660590030135495</v>
      </c>
      <c r="F84" s="88">
        <v>0</v>
      </c>
      <c r="G84" s="88">
        <v>0</v>
      </c>
      <c r="H84" s="88">
        <v>0</v>
      </c>
      <c r="I84" s="88">
        <v>0</v>
      </c>
      <c r="J84" s="88">
        <v>0</v>
      </c>
      <c r="K84" s="89">
        <v>0</v>
      </c>
      <c r="L84" s="90">
        <v>7.660590030135495</v>
      </c>
    </row>
    <row r="85" spans="1:12" ht="16.8">
      <c r="A85" s="86">
        <v>28</v>
      </c>
      <c r="B85" s="75" t="s">
        <v>264</v>
      </c>
      <c r="D85" s="96">
        <v>538.68614139232659</v>
      </c>
      <c r="E85" s="88">
        <v>550.58732273144278</v>
      </c>
      <c r="F85" s="88">
        <v>547.96508321261342</v>
      </c>
      <c r="G85" s="88">
        <v>580.56992922118559</v>
      </c>
      <c r="H85" s="88">
        <v>658.61919483345935</v>
      </c>
      <c r="I85" s="88">
        <v>626.8699596364122</v>
      </c>
      <c r="J85" s="88">
        <v>621.72446923422729</v>
      </c>
      <c r="K85" s="89">
        <v>620.33812984496751</v>
      </c>
      <c r="L85" s="90">
        <v>4745.3602301066348</v>
      </c>
    </row>
    <row r="86" spans="1:12" ht="16.8">
      <c r="A86" s="86">
        <v>29</v>
      </c>
      <c r="B86" s="75" t="s">
        <v>168</v>
      </c>
      <c r="D86" s="96">
        <v>0</v>
      </c>
      <c r="E86" s="88">
        <v>0</v>
      </c>
      <c r="F86" s="88">
        <v>0</v>
      </c>
      <c r="G86" s="88">
        <v>0</v>
      </c>
      <c r="H86" s="88">
        <v>0</v>
      </c>
      <c r="I86" s="88">
        <v>0</v>
      </c>
      <c r="J86" s="88">
        <v>0</v>
      </c>
      <c r="K86" s="89">
        <v>0</v>
      </c>
      <c r="L86" s="90">
        <v>0</v>
      </c>
    </row>
    <row r="87" spans="1:12" ht="16.8">
      <c r="A87" s="86">
        <v>30</v>
      </c>
      <c r="B87" s="75" t="s">
        <v>265</v>
      </c>
      <c r="D87" s="96">
        <v>0</v>
      </c>
      <c r="E87" s="88">
        <v>0</v>
      </c>
      <c r="F87" s="88">
        <v>0</v>
      </c>
      <c r="G87" s="88">
        <v>0</v>
      </c>
      <c r="H87" s="88">
        <v>0</v>
      </c>
      <c r="I87" s="88">
        <v>0</v>
      </c>
      <c r="J87" s="88">
        <v>0</v>
      </c>
      <c r="K87" s="89">
        <v>0</v>
      </c>
      <c r="L87" s="90">
        <v>0</v>
      </c>
    </row>
    <row r="88" spans="1:12" ht="16.8">
      <c r="A88" s="86">
        <v>31</v>
      </c>
      <c r="B88" s="75" t="s">
        <v>266</v>
      </c>
      <c r="D88" s="96">
        <v>3.5</v>
      </c>
      <c r="E88" s="88">
        <v>2.9</v>
      </c>
      <c r="F88" s="88">
        <v>3</v>
      </c>
      <c r="G88" s="88">
        <v>3.1</v>
      </c>
      <c r="H88" s="88">
        <v>3</v>
      </c>
      <c r="I88" s="88">
        <v>3</v>
      </c>
      <c r="J88" s="88">
        <v>3</v>
      </c>
      <c r="K88" s="89">
        <v>3</v>
      </c>
      <c r="L88" s="90">
        <v>24.5</v>
      </c>
    </row>
    <row r="89" spans="1:12" ht="16.8">
      <c r="A89" s="86">
        <v>32</v>
      </c>
      <c r="B89" s="75" t="s">
        <v>267</v>
      </c>
      <c r="D89" s="96">
        <v>542.18614139232659</v>
      </c>
      <c r="E89" s="88">
        <v>553.48732273144276</v>
      </c>
      <c r="F89" s="88">
        <v>550.96508321261342</v>
      </c>
      <c r="G89" s="88">
        <v>583.66992922118561</v>
      </c>
      <c r="H89" s="88">
        <v>661.61919483345935</v>
      </c>
      <c r="I89" s="88">
        <v>629.8699596364122</v>
      </c>
      <c r="J89" s="88">
        <v>624.72446923422729</v>
      </c>
      <c r="K89" s="89">
        <v>623.33812984496751</v>
      </c>
      <c r="L89" s="90">
        <v>4769.8602301066348</v>
      </c>
    </row>
    <row r="90" spans="1:12" ht="16.8">
      <c r="A90" s="80"/>
      <c r="B90" s="81" t="s">
        <v>268</v>
      </c>
      <c r="D90" s="91">
        <v>0</v>
      </c>
      <c r="E90" s="92">
        <v>0</v>
      </c>
      <c r="F90" s="92">
        <v>0</v>
      </c>
      <c r="G90" s="92">
        <v>0</v>
      </c>
      <c r="H90" s="92">
        <v>0</v>
      </c>
      <c r="I90" s="97">
        <v>0</v>
      </c>
      <c r="J90" s="92">
        <v>0</v>
      </c>
      <c r="K90" s="93">
        <v>0</v>
      </c>
      <c r="L90" s="95">
        <v>0</v>
      </c>
    </row>
    <row r="91" spans="1:12" ht="16.8">
      <c r="A91" s="86">
        <v>33</v>
      </c>
      <c r="B91" s="75" t="s">
        <v>268</v>
      </c>
      <c r="D91" s="87">
        <v>542.83406992244852</v>
      </c>
      <c r="E91" s="88">
        <v>546.25792232812796</v>
      </c>
      <c r="F91" s="88">
        <v>551.32081925355271</v>
      </c>
      <c r="G91" s="88">
        <v>583.93183212884287</v>
      </c>
      <c r="H91" s="88">
        <v>661.40742227557109</v>
      </c>
      <c r="I91" s="88">
        <v>629.60070703274187</v>
      </c>
      <c r="J91" s="88">
        <v>624.49362045500914</v>
      </c>
      <c r="K91" s="89">
        <v>623.18302697186687</v>
      </c>
      <c r="L91" s="90">
        <v>4763.0294203681606</v>
      </c>
    </row>
    <row r="92" spans="1:12" ht="16.8">
      <c r="A92" s="86">
        <v>34</v>
      </c>
      <c r="B92" s="75" t="s">
        <v>269</v>
      </c>
      <c r="D92" s="87">
        <v>538.68614139232659</v>
      </c>
      <c r="E92" s="88">
        <v>542.92673270130729</v>
      </c>
      <c r="F92" s="88">
        <v>547.96508321261342</v>
      </c>
      <c r="G92" s="88">
        <v>580.56992922118559</v>
      </c>
      <c r="H92" s="88">
        <v>658.61919483345935</v>
      </c>
      <c r="I92" s="88">
        <v>626.8699596364122</v>
      </c>
      <c r="J92" s="88">
        <v>621.72446923422729</v>
      </c>
      <c r="K92" s="89">
        <v>620.33812984496751</v>
      </c>
      <c r="L92" s="90">
        <v>4737.6996400764992</v>
      </c>
    </row>
    <row r="93" spans="1:12" ht="16.8">
      <c r="A93" s="80"/>
      <c r="B93" s="81" t="s">
        <v>270</v>
      </c>
      <c r="D93" s="91">
        <v>0</v>
      </c>
      <c r="E93" s="92">
        <v>0</v>
      </c>
      <c r="F93" s="92">
        <v>0</v>
      </c>
      <c r="G93" s="92">
        <v>0</v>
      </c>
      <c r="H93" s="92">
        <v>0</v>
      </c>
      <c r="I93" s="97">
        <v>0</v>
      </c>
      <c r="J93" s="92">
        <v>0</v>
      </c>
      <c r="K93" s="93">
        <v>0</v>
      </c>
      <c r="L93" s="95">
        <v>0</v>
      </c>
    </row>
    <row r="94" spans="1:12" ht="16.8">
      <c r="A94" s="86">
        <v>35</v>
      </c>
      <c r="B94" s="98">
        <v>41729</v>
      </c>
      <c r="D94" s="96">
        <v>538.68614139232659</v>
      </c>
      <c r="E94" s="88">
        <v>542.92673270130729</v>
      </c>
      <c r="F94" s="88">
        <v>547.96508321261342</v>
      </c>
      <c r="G94" s="88">
        <v>580.56992922118559</v>
      </c>
      <c r="H94" s="88">
        <v>658.61919483345935</v>
      </c>
      <c r="I94" s="88">
        <v>626.8699596364122</v>
      </c>
      <c r="J94" s="88">
        <v>621.72446923422729</v>
      </c>
      <c r="K94" s="89">
        <v>620.33812984496751</v>
      </c>
      <c r="L94" s="90">
        <v>4737.6996400764992</v>
      </c>
    </row>
    <row r="95" spans="1:12" ht="16.8">
      <c r="A95" s="86">
        <v>36</v>
      </c>
      <c r="B95" s="98">
        <v>42094</v>
      </c>
      <c r="D95" s="96">
        <v>542.83406992244852</v>
      </c>
      <c r="E95" s="88">
        <v>546.25792232812796</v>
      </c>
      <c r="F95" s="88">
        <v>551.32081925355271</v>
      </c>
      <c r="G95" s="88">
        <v>583.93183212884287</v>
      </c>
      <c r="H95" s="88">
        <v>661.40742227557109</v>
      </c>
      <c r="I95" s="88">
        <v>629.60070703274187</v>
      </c>
      <c r="J95" s="88">
        <v>624.49362045500914</v>
      </c>
      <c r="K95" s="89">
        <v>623.18302697186687</v>
      </c>
      <c r="L95" s="90">
        <v>4763.0294203681606</v>
      </c>
    </row>
    <row r="96" spans="1:12" ht="16.8">
      <c r="A96" s="86">
        <v>37</v>
      </c>
      <c r="B96" s="98">
        <v>42460</v>
      </c>
      <c r="D96" s="96">
        <v>0</v>
      </c>
      <c r="E96" s="88">
        <v>0</v>
      </c>
      <c r="F96" s="88">
        <v>0</v>
      </c>
      <c r="G96" s="88">
        <v>0</v>
      </c>
      <c r="H96" s="88">
        <v>0</v>
      </c>
      <c r="I96" s="88">
        <v>0</v>
      </c>
      <c r="J96" s="88">
        <v>0</v>
      </c>
      <c r="K96" s="89">
        <v>0</v>
      </c>
      <c r="L96" s="90">
        <v>0</v>
      </c>
    </row>
    <row r="97" spans="1:12" ht="16.8">
      <c r="A97" s="86">
        <v>38</v>
      </c>
      <c r="B97" s="98">
        <v>42825</v>
      </c>
      <c r="D97" s="96">
        <v>0</v>
      </c>
      <c r="E97" s="88">
        <v>0</v>
      </c>
      <c r="F97" s="88">
        <v>0</v>
      </c>
      <c r="G97" s="88">
        <v>0</v>
      </c>
      <c r="H97" s="88">
        <v>0</v>
      </c>
      <c r="I97" s="88">
        <v>0</v>
      </c>
      <c r="J97" s="88">
        <v>0</v>
      </c>
      <c r="K97" s="89">
        <v>0</v>
      </c>
      <c r="L97" s="90">
        <v>0</v>
      </c>
    </row>
    <row r="98" spans="1:12" ht="16.8">
      <c r="A98" s="86">
        <v>39</v>
      </c>
      <c r="B98" s="98">
        <v>43190</v>
      </c>
      <c r="D98" s="96">
        <v>0</v>
      </c>
      <c r="E98" s="88">
        <v>0</v>
      </c>
      <c r="F98" s="88">
        <v>0</v>
      </c>
      <c r="G98" s="88">
        <v>0</v>
      </c>
      <c r="H98" s="88">
        <v>0</v>
      </c>
      <c r="I98" s="88">
        <v>0</v>
      </c>
      <c r="J98" s="88">
        <v>0</v>
      </c>
      <c r="K98" s="89">
        <v>0</v>
      </c>
      <c r="L98" s="90">
        <v>0</v>
      </c>
    </row>
    <row r="99" spans="1:12" ht="16.8">
      <c r="A99" s="86">
        <v>40</v>
      </c>
      <c r="B99" s="98">
        <v>43555</v>
      </c>
      <c r="D99" s="96">
        <v>0</v>
      </c>
      <c r="E99" s="88">
        <v>0</v>
      </c>
      <c r="F99" s="88">
        <v>0</v>
      </c>
      <c r="G99" s="88">
        <v>0</v>
      </c>
      <c r="H99" s="88">
        <v>0</v>
      </c>
      <c r="I99" s="88">
        <v>0</v>
      </c>
      <c r="J99" s="88">
        <v>0</v>
      </c>
      <c r="K99" s="89">
        <v>0</v>
      </c>
      <c r="L99" s="90">
        <v>0</v>
      </c>
    </row>
    <row r="100" spans="1:12" ht="16.8">
      <c r="A100" s="86">
        <v>41</v>
      </c>
      <c r="B100" s="98">
        <v>43921</v>
      </c>
      <c r="D100" s="96">
        <v>0</v>
      </c>
      <c r="E100" s="88">
        <v>0</v>
      </c>
      <c r="F100" s="88">
        <v>0</v>
      </c>
      <c r="G100" s="88">
        <v>0</v>
      </c>
      <c r="H100" s="88">
        <v>0</v>
      </c>
      <c r="I100" s="88">
        <v>0</v>
      </c>
      <c r="J100" s="88">
        <v>0</v>
      </c>
      <c r="K100" s="89">
        <v>0</v>
      </c>
      <c r="L100" s="90">
        <v>0</v>
      </c>
    </row>
    <row r="101" spans="1:12" ht="16.8">
      <c r="A101" s="86">
        <v>42</v>
      </c>
      <c r="B101" s="98">
        <v>44286</v>
      </c>
      <c r="D101" s="96">
        <v>0</v>
      </c>
      <c r="E101" s="88">
        <v>0</v>
      </c>
      <c r="F101" s="88">
        <v>0</v>
      </c>
      <c r="G101" s="88">
        <v>0</v>
      </c>
      <c r="H101" s="88">
        <v>0</v>
      </c>
      <c r="I101" s="88">
        <v>0</v>
      </c>
      <c r="J101" s="88">
        <v>0</v>
      </c>
      <c r="K101" s="89">
        <v>0</v>
      </c>
      <c r="L101" s="90">
        <v>0</v>
      </c>
    </row>
    <row r="102" spans="1:12" ht="16.8">
      <c r="A102" s="80"/>
      <c r="B102" s="81" t="s">
        <v>271</v>
      </c>
      <c r="D102" s="91">
        <v>0</v>
      </c>
      <c r="E102" s="92">
        <v>0</v>
      </c>
      <c r="F102" s="92">
        <v>0</v>
      </c>
      <c r="G102" s="92">
        <v>0</v>
      </c>
      <c r="H102" s="92">
        <v>0</v>
      </c>
      <c r="I102" s="97">
        <v>0</v>
      </c>
      <c r="J102" s="92">
        <v>0</v>
      </c>
      <c r="K102" s="93">
        <v>0</v>
      </c>
      <c r="L102" s="95">
        <v>0</v>
      </c>
    </row>
    <row r="103" spans="1:12" ht="16.8">
      <c r="A103" s="86">
        <v>43</v>
      </c>
      <c r="B103" s="98">
        <v>41729</v>
      </c>
      <c r="D103" s="96">
        <v>0</v>
      </c>
      <c r="E103" s="88">
        <v>0</v>
      </c>
      <c r="F103" s="88">
        <v>0</v>
      </c>
      <c r="G103" s="88">
        <v>0</v>
      </c>
      <c r="H103" s="88">
        <v>0</v>
      </c>
      <c r="I103" s="88">
        <v>0</v>
      </c>
      <c r="J103" s="88">
        <v>0</v>
      </c>
      <c r="K103" s="89">
        <v>0</v>
      </c>
      <c r="L103" s="90">
        <v>0</v>
      </c>
    </row>
    <row r="104" spans="1:12" ht="16.8">
      <c r="A104" s="86">
        <v>44</v>
      </c>
      <c r="B104" s="98">
        <v>42094</v>
      </c>
      <c r="D104" s="96">
        <v>0</v>
      </c>
      <c r="E104" s="88">
        <v>7.660590030135495</v>
      </c>
      <c r="F104" s="88">
        <v>0</v>
      </c>
      <c r="G104" s="88">
        <v>0</v>
      </c>
      <c r="H104" s="88">
        <v>0</v>
      </c>
      <c r="I104" s="88">
        <v>0</v>
      </c>
      <c r="J104" s="88">
        <v>0</v>
      </c>
      <c r="K104" s="89">
        <v>0</v>
      </c>
      <c r="L104" s="90">
        <v>7.660590030135495</v>
      </c>
    </row>
    <row r="105" spans="1:12" ht="16.8">
      <c r="A105" s="86">
        <v>45</v>
      </c>
      <c r="B105" s="98">
        <v>42460</v>
      </c>
      <c r="D105" s="96">
        <v>0</v>
      </c>
      <c r="E105" s="88">
        <v>0</v>
      </c>
      <c r="F105" s="88">
        <v>0</v>
      </c>
      <c r="G105" s="88">
        <v>0</v>
      </c>
      <c r="H105" s="88">
        <v>0</v>
      </c>
      <c r="I105" s="88">
        <v>0</v>
      </c>
      <c r="J105" s="88">
        <v>0</v>
      </c>
      <c r="K105" s="89">
        <v>0</v>
      </c>
      <c r="L105" s="90">
        <v>0</v>
      </c>
    </row>
    <row r="106" spans="1:12" ht="16.8">
      <c r="A106" s="86">
        <v>46</v>
      </c>
      <c r="B106" s="98">
        <v>42825</v>
      </c>
      <c r="D106" s="96">
        <v>0</v>
      </c>
      <c r="E106" s="88">
        <v>0</v>
      </c>
      <c r="F106" s="88">
        <v>0</v>
      </c>
      <c r="G106" s="88">
        <v>0</v>
      </c>
      <c r="H106" s="88">
        <v>0</v>
      </c>
      <c r="I106" s="88">
        <v>0</v>
      </c>
      <c r="J106" s="88">
        <v>0</v>
      </c>
      <c r="K106" s="89">
        <v>0</v>
      </c>
      <c r="L106" s="90">
        <v>0</v>
      </c>
    </row>
    <row r="107" spans="1:12" ht="16.8">
      <c r="A107" s="86">
        <v>47</v>
      </c>
      <c r="B107" s="98">
        <v>43190</v>
      </c>
      <c r="D107" s="96">
        <v>0</v>
      </c>
      <c r="E107" s="88">
        <v>0</v>
      </c>
      <c r="F107" s="88">
        <v>0</v>
      </c>
      <c r="G107" s="88">
        <v>0</v>
      </c>
      <c r="H107" s="88">
        <v>0</v>
      </c>
      <c r="I107" s="88">
        <v>0</v>
      </c>
      <c r="J107" s="88">
        <v>0</v>
      </c>
      <c r="K107" s="89">
        <v>0</v>
      </c>
      <c r="L107" s="90">
        <v>0</v>
      </c>
    </row>
    <row r="108" spans="1:12" ht="16.8">
      <c r="A108" s="86">
        <v>48</v>
      </c>
      <c r="B108" s="98">
        <v>43555</v>
      </c>
      <c r="D108" s="96">
        <v>0</v>
      </c>
      <c r="E108" s="88">
        <v>0</v>
      </c>
      <c r="F108" s="88">
        <v>0</v>
      </c>
      <c r="G108" s="88">
        <v>0</v>
      </c>
      <c r="H108" s="88">
        <v>0</v>
      </c>
      <c r="I108" s="88">
        <v>0</v>
      </c>
      <c r="J108" s="88">
        <v>0</v>
      </c>
      <c r="K108" s="89">
        <v>0</v>
      </c>
      <c r="L108" s="90">
        <v>0</v>
      </c>
    </row>
    <row r="109" spans="1:12" ht="16.8">
      <c r="A109" s="86">
        <v>49</v>
      </c>
      <c r="B109" s="98">
        <v>43921</v>
      </c>
      <c r="D109" s="96">
        <v>0</v>
      </c>
      <c r="E109" s="88">
        <v>0</v>
      </c>
      <c r="F109" s="88">
        <v>0</v>
      </c>
      <c r="G109" s="88">
        <v>0</v>
      </c>
      <c r="H109" s="88">
        <v>0</v>
      </c>
      <c r="I109" s="88">
        <v>0</v>
      </c>
      <c r="J109" s="88">
        <v>0</v>
      </c>
      <c r="K109" s="89">
        <v>0</v>
      </c>
      <c r="L109" s="90">
        <v>0</v>
      </c>
    </row>
    <row r="110" spans="1:12" ht="16.8">
      <c r="A110" s="86">
        <v>50</v>
      </c>
      <c r="B110" s="98">
        <v>44286</v>
      </c>
      <c r="D110" s="96">
        <v>0</v>
      </c>
      <c r="E110" s="88">
        <v>0</v>
      </c>
      <c r="F110" s="88">
        <v>0</v>
      </c>
      <c r="G110" s="88">
        <v>0</v>
      </c>
      <c r="H110" s="88">
        <v>0</v>
      </c>
      <c r="I110" s="88">
        <v>0</v>
      </c>
      <c r="J110" s="88">
        <v>0</v>
      </c>
      <c r="K110" s="89">
        <v>0</v>
      </c>
      <c r="L110" s="90">
        <v>0</v>
      </c>
    </row>
    <row r="111" spans="1:12" ht="16.8">
      <c r="A111" s="80"/>
      <c r="B111" s="81" t="s">
        <v>272</v>
      </c>
      <c r="D111" s="91">
        <v>0</v>
      </c>
      <c r="E111" s="92">
        <v>0</v>
      </c>
      <c r="F111" s="92">
        <v>0</v>
      </c>
      <c r="G111" s="92">
        <v>0</v>
      </c>
      <c r="H111" s="92">
        <v>0</v>
      </c>
      <c r="I111" s="97">
        <v>0</v>
      </c>
      <c r="J111" s="92">
        <v>0</v>
      </c>
      <c r="K111" s="93">
        <v>0</v>
      </c>
      <c r="L111" s="95">
        <v>0</v>
      </c>
    </row>
    <row r="112" spans="1:12" ht="16.8">
      <c r="A112" s="86">
        <v>51</v>
      </c>
      <c r="B112" s="75" t="s">
        <v>273</v>
      </c>
      <c r="D112" s="87">
        <v>4197.306851593552</v>
      </c>
      <c r="E112" s="88">
        <v>4226.4826049794538</v>
      </c>
      <c r="F112" s="88">
        <v>4210.1861894481226</v>
      </c>
      <c r="G112" s="88">
        <v>4228.1053270963484</v>
      </c>
      <c r="H112" s="88">
        <v>4726.0663559111072</v>
      </c>
      <c r="I112" s="88">
        <v>4800.9881357411596</v>
      </c>
      <c r="J112" s="88">
        <v>4785.5612157009291</v>
      </c>
      <c r="K112" s="89">
        <v>4735.8646514187185</v>
      </c>
      <c r="L112" s="90">
        <v>35910.561331889396</v>
      </c>
    </row>
    <row r="113" spans="1:12" ht="16.8">
      <c r="A113" s="86">
        <v>52</v>
      </c>
      <c r="B113" s="75" t="s">
        <v>26</v>
      </c>
      <c r="D113" s="99">
        <v>0.625</v>
      </c>
      <c r="E113" s="100">
        <v>0.625</v>
      </c>
      <c r="F113" s="100">
        <v>0.625</v>
      </c>
      <c r="G113" s="100">
        <v>0.625</v>
      </c>
      <c r="H113" s="100">
        <v>0.625</v>
      </c>
      <c r="I113" s="100">
        <v>0.625</v>
      </c>
      <c r="J113" s="100">
        <v>0.625</v>
      </c>
      <c r="K113" s="101">
        <v>0.625</v>
      </c>
      <c r="L113" s="102">
        <v>0.625</v>
      </c>
    </row>
    <row r="114" spans="1:12" ht="16.8">
      <c r="A114" s="86">
        <v>53</v>
      </c>
      <c r="B114" s="75" t="s">
        <v>274</v>
      </c>
      <c r="D114" s="87">
        <v>1573.990069347582</v>
      </c>
      <c r="E114" s="88">
        <v>1584.9309768672952</v>
      </c>
      <c r="F114" s="88">
        <v>1578.819821043046</v>
      </c>
      <c r="G114" s="88">
        <v>1585.5394976611306</v>
      </c>
      <c r="H114" s="88">
        <v>1772.2748834666652</v>
      </c>
      <c r="I114" s="88">
        <v>1800.3705509029348</v>
      </c>
      <c r="J114" s="88">
        <v>1794.5854558878484</v>
      </c>
      <c r="K114" s="89">
        <v>1775.9492442820194</v>
      </c>
      <c r="L114" s="90">
        <v>13466.460499458522</v>
      </c>
    </row>
    <row r="115" spans="1:12" ht="16.8">
      <c r="A115" s="86">
        <v>54</v>
      </c>
      <c r="B115" s="75" t="s">
        <v>275</v>
      </c>
      <c r="D115" s="87">
        <v>76.600850041582319</v>
      </c>
      <c r="E115" s="88">
        <v>71.850204284650715</v>
      </c>
      <c r="F115" s="88">
        <v>71.573165220618094</v>
      </c>
      <c r="G115" s="88">
        <v>71.877790560637933</v>
      </c>
      <c r="H115" s="88">
        <v>80.343128050488815</v>
      </c>
      <c r="I115" s="88">
        <v>81.616798307599709</v>
      </c>
      <c r="J115" s="88">
        <v>81.35454066691581</v>
      </c>
      <c r="K115" s="89">
        <v>80.509699074118231</v>
      </c>
      <c r="L115" s="90">
        <v>615.72617620661163</v>
      </c>
    </row>
    <row r="116" spans="1:12" ht="17.399999999999999" thickBot="1">
      <c r="A116" s="103">
        <v>55</v>
      </c>
      <c r="B116" s="104" t="s">
        <v>276</v>
      </c>
      <c r="D116" s="105">
        <v>107.03132471563556</v>
      </c>
      <c r="E116" s="106">
        <v>107.77530642697607</v>
      </c>
      <c r="F116" s="106">
        <v>107.35974783092713</v>
      </c>
      <c r="G116" s="106">
        <v>107.81668584095688</v>
      </c>
      <c r="H116" s="106">
        <v>120.51469207573325</v>
      </c>
      <c r="I116" s="106">
        <v>122.42519746139959</v>
      </c>
      <c r="J116" s="106">
        <v>122.03181100037368</v>
      </c>
      <c r="K116" s="107">
        <v>120.76454861117733</v>
      </c>
      <c r="L116" s="108">
        <v>915.7193139631795</v>
      </c>
    </row>
    <row r="117" spans="1:12">
      <c r="D117" s="53"/>
      <c r="E117" s="53"/>
      <c r="F117" s="53"/>
      <c r="G117" s="53"/>
      <c r="H117" s="53"/>
      <c r="I117" s="53"/>
      <c r="J117" s="53"/>
      <c r="K117" s="53"/>
    </row>
    <row r="118" spans="1:12" ht="16.8">
      <c r="B118" s="75" t="s">
        <v>277</v>
      </c>
      <c r="D118" s="96">
        <v>94.224999999999994</v>
      </c>
      <c r="E118" s="88">
        <v>87.484999999999999</v>
      </c>
      <c r="F118" s="88">
        <v>79.322999999999993</v>
      </c>
      <c r="G118" s="88">
        <v>58.722999999999999</v>
      </c>
      <c r="H118" s="88">
        <v>3.3000000000000002E-2</v>
      </c>
      <c r="I118" s="88">
        <v>3.3000000000000002E-2</v>
      </c>
      <c r="J118" s="88">
        <v>0</v>
      </c>
      <c r="K118" s="88">
        <v>0</v>
      </c>
      <c r="L118" s="172">
        <v>319.822</v>
      </c>
    </row>
    <row r="119" spans="1:12">
      <c r="D119" s="53"/>
      <c r="E119" s="53"/>
      <c r="F119" s="53"/>
      <c r="G119" s="53"/>
      <c r="H119" s="53"/>
      <c r="I119" s="53"/>
      <c r="J119" s="53"/>
      <c r="K119" s="53"/>
    </row>
    <row r="120" spans="1:12" ht="16.8">
      <c r="B120" s="213" t="s">
        <v>278</v>
      </c>
      <c r="D120" s="53">
        <v>66.598521331123962</v>
      </c>
      <c r="E120" s="53">
        <v>67.472820316867796</v>
      </c>
      <c r="F120" s="53">
        <v>69.358391105946623</v>
      </c>
      <c r="G120" s="53">
        <v>93.907421891247139</v>
      </c>
      <c r="H120" s="53">
        <v>109.4614779355966</v>
      </c>
      <c r="I120" s="53">
        <v>74.998413516027682</v>
      </c>
      <c r="J120" s="53">
        <v>65.089296911713689</v>
      </c>
      <c r="K120" s="53">
        <v>60.03870434945965</v>
      </c>
    </row>
    <row r="121" spans="1:12">
      <c r="B121" t="s">
        <v>279</v>
      </c>
      <c r="D121" s="53">
        <v>120.47597679001079</v>
      </c>
      <c r="E121" s="53">
        <v>122.05757383163726</v>
      </c>
      <c r="F121" s="53">
        <v>125.46855020289223</v>
      </c>
      <c r="G121" s="53">
        <v>169.87747106169431</v>
      </c>
      <c r="H121" s="53">
        <v>198.01458368124784</v>
      </c>
      <c r="I121" s="53">
        <v>135.67128737169054</v>
      </c>
      <c r="J121" s="53">
        <v>117.74580677287534</v>
      </c>
      <c r="K121" s="53">
        <v>108.60934157598881</v>
      </c>
    </row>
    <row r="122" spans="1:12" ht="16.8">
      <c r="B122" s="213" t="s">
        <v>280</v>
      </c>
      <c r="D122" s="53">
        <v>0</v>
      </c>
      <c r="E122" s="53">
        <v>0</v>
      </c>
      <c r="F122" s="53">
        <v>0</v>
      </c>
      <c r="G122" s="53">
        <v>0</v>
      </c>
      <c r="H122" s="53">
        <v>0</v>
      </c>
      <c r="I122" s="53">
        <v>0</v>
      </c>
      <c r="J122" s="53">
        <v>0</v>
      </c>
      <c r="K122" s="53">
        <v>0</v>
      </c>
    </row>
    <row r="123" spans="1:12">
      <c r="B123" t="s">
        <v>281</v>
      </c>
      <c r="D123" s="53">
        <v>0</v>
      </c>
      <c r="E123" s="53">
        <v>0</v>
      </c>
      <c r="F123" s="53">
        <v>0</v>
      </c>
      <c r="G123" s="53">
        <v>0</v>
      </c>
      <c r="H123" s="53">
        <v>0</v>
      </c>
      <c r="I123" s="53">
        <v>0</v>
      </c>
      <c r="J123" s="53">
        <v>0</v>
      </c>
      <c r="K123" s="53">
        <v>0</v>
      </c>
    </row>
    <row r="124" spans="1:12">
      <c r="D124" s="53"/>
      <c r="E124" s="53"/>
      <c r="F124" s="53"/>
      <c r="G124" s="53"/>
      <c r="H124" s="53"/>
      <c r="I124" s="53"/>
      <c r="J124" s="53"/>
      <c r="K124" s="53"/>
    </row>
    <row r="125" spans="1:12">
      <c r="B125" t="s">
        <v>282</v>
      </c>
      <c r="D125" s="53">
        <v>97.132518315217595</v>
      </c>
      <c r="E125" s="53">
        <v>109.87971241227922</v>
      </c>
      <c r="F125" s="53">
        <v>114.43672637584547</v>
      </c>
      <c r="G125" s="53">
        <v>123.96977718673423</v>
      </c>
      <c r="H125" s="53">
        <v>138.27838395379189</v>
      </c>
      <c r="I125" s="53">
        <v>117.50342084599842</v>
      </c>
      <c r="J125" s="53">
        <v>101.87556011564801</v>
      </c>
      <c r="K125" s="53">
        <v>91.157975802007329</v>
      </c>
    </row>
    <row r="126" spans="1:12">
      <c r="B126" t="s">
        <v>283</v>
      </c>
      <c r="D126" s="53">
        <v>34.579176520217459</v>
      </c>
      <c r="E126" s="53">
        <v>39.1171776187714</v>
      </c>
      <c r="F126" s="53">
        <v>40.739474589800984</v>
      </c>
      <c r="G126" s="53">
        <v>44.133240678477385</v>
      </c>
      <c r="H126" s="53">
        <v>49.227104687549911</v>
      </c>
      <c r="I126" s="53">
        <v>41.831217821175436</v>
      </c>
      <c r="J126" s="53">
        <v>36.267699401170688</v>
      </c>
      <c r="K126" s="53">
        <v>32.452239385514609</v>
      </c>
    </row>
    <row r="127" spans="1:12">
      <c r="B127" t="s">
        <v>284</v>
      </c>
      <c r="D127" s="53">
        <f>D125-D126</f>
        <v>62.553341795000136</v>
      </c>
      <c r="E127" s="53">
        <f t="shared" ref="E127:K127" si="20">E125-E126</f>
        <v>70.762534793507825</v>
      </c>
      <c r="F127" s="53">
        <f t="shared" si="20"/>
        <v>73.69725178604449</v>
      </c>
      <c r="G127" s="53">
        <f t="shared" si="20"/>
        <v>79.836536508256842</v>
      </c>
      <c r="H127" s="53">
        <f t="shared" si="20"/>
        <v>89.051279266241977</v>
      </c>
      <c r="I127" s="53">
        <f t="shared" si="20"/>
        <v>75.672203024822977</v>
      </c>
      <c r="J127" s="53">
        <f t="shared" si="20"/>
        <v>65.607860714477326</v>
      </c>
      <c r="K127" s="53">
        <f t="shared" si="20"/>
        <v>58.705736416492719</v>
      </c>
    </row>
    <row r="128" spans="1:12">
      <c r="D128" s="53"/>
      <c r="E128" s="53"/>
      <c r="F128" s="53"/>
      <c r="G128" s="53"/>
      <c r="H128" s="53"/>
      <c r="I128" s="53"/>
      <c r="J128" s="53"/>
      <c r="K128" s="53"/>
    </row>
    <row r="129" spans="2:25">
      <c r="B129" t="s">
        <v>430</v>
      </c>
      <c r="D129" s="196">
        <v>308.75273694375045</v>
      </c>
      <c r="E129" s="196">
        <v>313.89720450059929</v>
      </c>
      <c r="F129" s="196">
        <v>330.26456177636072</v>
      </c>
      <c r="G129" s="196">
        <v>376.83616903024597</v>
      </c>
      <c r="H129" s="196">
        <v>0</v>
      </c>
      <c r="I129" s="196">
        <v>0</v>
      </c>
      <c r="J129" s="196">
        <v>0</v>
      </c>
      <c r="K129" s="196">
        <v>0</v>
      </c>
    </row>
    <row r="130" spans="2:25">
      <c r="B130" t="s">
        <v>206</v>
      </c>
      <c r="D130" s="196">
        <v>14.16619923431</v>
      </c>
      <c r="E130" s="196">
        <v>26.016783731295874</v>
      </c>
      <c r="F130" s="196">
        <v>69.473671529071126</v>
      </c>
      <c r="G130" s="196">
        <v>108.4200133736822</v>
      </c>
      <c r="H130" s="196">
        <v>69.349803718573156</v>
      </c>
      <c r="I130" s="196">
        <v>20.779442706835688</v>
      </c>
      <c r="J130" s="196">
        <v>0.81062265305823133</v>
      </c>
      <c r="K130" s="196">
        <v>0</v>
      </c>
    </row>
    <row r="131" spans="2:25" ht="16.8">
      <c r="B131" s="110" t="s">
        <v>287</v>
      </c>
      <c r="D131" s="196">
        <v>7.4327667170082803</v>
      </c>
      <c r="E131" s="196">
        <v>7.7122608119828824</v>
      </c>
      <c r="F131" s="196">
        <v>8.2473634361549806</v>
      </c>
      <c r="G131" s="196">
        <v>9.4340419520691015</v>
      </c>
      <c r="H131" s="196">
        <v>0</v>
      </c>
      <c r="I131" s="196">
        <v>0</v>
      </c>
      <c r="J131" s="196">
        <v>0</v>
      </c>
      <c r="K131" s="196">
        <v>0</v>
      </c>
    </row>
    <row r="132" spans="2:25" ht="16.8">
      <c r="B132" s="110" t="s">
        <v>288</v>
      </c>
      <c r="D132" s="53">
        <f>SUM(D129:D130)-D131</f>
        <v>315.48616946105216</v>
      </c>
      <c r="E132" s="53">
        <f t="shared" ref="E132:K132" si="21">SUM(E129:E130)-E131</f>
        <v>332.20172741991223</v>
      </c>
      <c r="F132" s="53">
        <f t="shared" si="21"/>
        <v>391.49086986927688</v>
      </c>
      <c r="G132" s="53">
        <f t="shared" si="21"/>
        <v>475.82214045185907</v>
      </c>
      <c r="H132" s="53">
        <f t="shared" si="21"/>
        <v>69.349803718573156</v>
      </c>
      <c r="I132" s="53">
        <f t="shared" si="21"/>
        <v>20.779442706835688</v>
      </c>
      <c r="J132" s="53">
        <f t="shared" si="21"/>
        <v>0.81062265305823133</v>
      </c>
      <c r="K132" s="53">
        <f t="shared" si="21"/>
        <v>0</v>
      </c>
    </row>
    <row r="133" spans="2:25">
      <c r="D133" s="53"/>
      <c r="E133" s="53"/>
      <c r="F133" s="53"/>
      <c r="G133" s="53"/>
      <c r="H133" s="53"/>
      <c r="I133" s="53"/>
      <c r="J133" s="53"/>
      <c r="K133" s="53"/>
    </row>
    <row r="134" spans="2:25">
      <c r="B134" t="s">
        <v>289</v>
      </c>
      <c r="D134" s="53">
        <f>D60+D129</f>
        <v>4562.0597731988728</v>
      </c>
      <c r="E134" s="53">
        <f>D137</f>
        <v>4637.9750030713067</v>
      </c>
      <c r="F134" s="53">
        <f t="shared" ref="F134:K134" si="22">E137</f>
        <v>4636.5668537921101</v>
      </c>
      <c r="G134" s="53">
        <f t="shared" si="22"/>
        <v>4680.4089354421922</v>
      </c>
      <c r="H134" s="53">
        <f t="shared" si="22"/>
        <v>4804.9471384632907</v>
      </c>
      <c r="I134" s="53">
        <f t="shared" si="22"/>
        <v>4914.0407639452496</v>
      </c>
      <c r="J134" s="53">
        <f t="shared" si="22"/>
        <v>4907.9522093142314</v>
      </c>
      <c r="K134" s="53">
        <f t="shared" si="22"/>
        <v>4862.165579179411</v>
      </c>
      <c r="L134" s="53"/>
      <c r="N134" s="53">
        <f t="shared" ref="N134:U134" si="23">D134*N$1</f>
        <v>5323.9237553230851</v>
      </c>
      <c r="O134" s="53">
        <f t="shared" si="23"/>
        <v>5519.190253654855</v>
      </c>
      <c r="P134" s="53">
        <f t="shared" si="23"/>
        <v>5573.153358258116</v>
      </c>
      <c r="Q134" s="53">
        <f t="shared" si="23"/>
        <v>5747.5421727230123</v>
      </c>
      <c r="R134" s="53">
        <f t="shared" si="23"/>
        <v>6121.5026544022321</v>
      </c>
      <c r="S134" s="53">
        <f t="shared" si="23"/>
        <v>6452.1355230601121</v>
      </c>
      <c r="T134" s="53">
        <f t="shared" si="23"/>
        <v>6620.8275303648979</v>
      </c>
      <c r="U134" s="53">
        <f t="shared" si="23"/>
        <v>6748.6858239010216</v>
      </c>
    </row>
    <row r="135" spans="2:25">
      <c r="B135" t="str">
        <f>B61</f>
        <v>RAV additions (after disposals)</v>
      </c>
      <c r="D135" s="53">
        <f>D61+D130</f>
        <v>222.12656840966687</v>
      </c>
      <c r="E135" s="53">
        <f t="shared" ref="E135:K135" si="24">E61+E130</f>
        <v>148.06659958282847</v>
      </c>
      <c r="F135" s="53">
        <f t="shared" si="24"/>
        <v>194.93446375185869</v>
      </c>
      <c r="G135" s="53">
        <f t="shared" si="24"/>
        <v>278.28972645527188</v>
      </c>
      <c r="H135" s="53">
        <f t="shared" si="24"/>
        <v>267.35662941971634</v>
      </c>
      <c r="I135" s="53">
        <f t="shared" si="24"/>
        <v>156.44297209842156</v>
      </c>
      <c r="J135" s="53">
        <f t="shared" si="24"/>
        <v>118.5486714458289</v>
      </c>
      <c r="K135" s="53">
        <f t="shared" si="24"/>
        <v>108.60158359588414</v>
      </c>
    </row>
    <row r="136" spans="2:25">
      <c r="B136" t="str">
        <f>B62</f>
        <v>Depreciation</v>
      </c>
      <c r="D136" s="53">
        <f>D62-D131</f>
        <v>-146.2113385372329</v>
      </c>
      <c r="E136" s="53">
        <f t="shared" ref="E136:K136" si="25">E62-E131</f>
        <v>-149.47474886202539</v>
      </c>
      <c r="F136" s="53">
        <f t="shared" si="25"/>
        <v>-151.09238210177702</v>
      </c>
      <c r="G136" s="53">
        <f t="shared" si="25"/>
        <v>-153.75152343417381</v>
      </c>
      <c r="H136" s="53">
        <f t="shared" si="25"/>
        <v>-158.26300393775753</v>
      </c>
      <c r="I136" s="53">
        <f t="shared" si="25"/>
        <v>-162.53152672944</v>
      </c>
      <c r="J136" s="53">
        <f t="shared" si="25"/>
        <v>-164.33530158064929</v>
      </c>
      <c r="K136" s="53">
        <f t="shared" si="25"/>
        <v>-165.29698086180093</v>
      </c>
    </row>
    <row r="137" spans="2:25">
      <c r="B137" t="str">
        <f>B63</f>
        <v>Closing asset value</v>
      </c>
      <c r="D137" s="53">
        <f>SUM(D134:D136)</f>
        <v>4637.9750030713067</v>
      </c>
      <c r="E137" s="53">
        <f t="shared" ref="E137:K137" si="26">SUM(E134:E136)</f>
        <v>4636.5668537921101</v>
      </c>
      <c r="F137" s="53">
        <f t="shared" si="26"/>
        <v>4680.4089354421922</v>
      </c>
      <c r="G137" s="53">
        <f t="shared" si="26"/>
        <v>4804.9471384632907</v>
      </c>
      <c r="H137" s="53">
        <f t="shared" si="26"/>
        <v>4914.0407639452496</v>
      </c>
      <c r="I137" s="53">
        <f t="shared" si="26"/>
        <v>4907.9522093142314</v>
      </c>
      <c r="J137" s="53">
        <f t="shared" si="26"/>
        <v>4862.165579179411</v>
      </c>
      <c r="K137" s="53">
        <f t="shared" si="26"/>
        <v>4805.4701819134943</v>
      </c>
      <c r="N137" s="53">
        <f t="shared" ref="N137:U137" si="27">D137*N$1</f>
        <v>5412.5168285842146</v>
      </c>
      <c r="O137" s="53">
        <f t="shared" si="27"/>
        <v>5517.5145560126111</v>
      </c>
      <c r="P137" s="53">
        <f t="shared" si="27"/>
        <v>5625.8515404015152</v>
      </c>
      <c r="Q137" s="53">
        <f t="shared" si="27"/>
        <v>5900.4750860329204</v>
      </c>
      <c r="R137" s="53">
        <f t="shared" si="27"/>
        <v>6260.4879332662485</v>
      </c>
      <c r="S137" s="53">
        <f t="shared" si="27"/>
        <v>6444.1412508295853</v>
      </c>
      <c r="T137" s="53">
        <f t="shared" si="27"/>
        <v>6559.0613663130252</v>
      </c>
      <c r="U137" s="53">
        <f t="shared" si="27"/>
        <v>6669.9926124959293</v>
      </c>
      <c r="V137" s="53"/>
      <c r="W137" s="53"/>
      <c r="X137" s="53"/>
      <c r="Y137" s="53"/>
    </row>
    <row r="138" spans="2:25">
      <c r="B138" t="s">
        <v>201</v>
      </c>
      <c r="D138" s="53">
        <f>D63+D132-D137</f>
        <v>0</v>
      </c>
      <c r="E138" s="53">
        <f t="shared" ref="E138:K138" si="28">E63+E132-E137</f>
        <v>0</v>
      </c>
      <c r="F138" s="53">
        <f t="shared" si="28"/>
        <v>0</v>
      </c>
      <c r="G138" s="53">
        <f t="shared" si="28"/>
        <v>0</v>
      </c>
      <c r="H138" s="53">
        <f t="shared" si="28"/>
        <v>0</v>
      </c>
      <c r="I138" s="53">
        <f t="shared" si="28"/>
        <v>0</v>
      </c>
      <c r="J138" s="53">
        <f t="shared" si="28"/>
        <v>0</v>
      </c>
      <c r="K138" s="53">
        <f t="shared" si="28"/>
        <v>0</v>
      </c>
    </row>
    <row r="139" spans="2:25">
      <c r="D139" s="53"/>
      <c r="E139" s="53"/>
      <c r="F139" s="53"/>
      <c r="G139" s="53"/>
      <c r="H139" s="53"/>
      <c r="I139" s="53"/>
      <c r="J139" s="53"/>
      <c r="K139" s="53"/>
    </row>
    <row r="140" spans="2:25">
      <c r="B140" t="s">
        <v>290</v>
      </c>
      <c r="D140" s="196">
        <v>2.6999999999999997</v>
      </c>
      <c r="E140" s="196">
        <v>2.6</v>
      </c>
      <c r="F140" s="196">
        <v>2.6</v>
      </c>
      <c r="G140" s="196">
        <v>2.6999999999999997</v>
      </c>
      <c r="H140" s="196">
        <v>2.6</v>
      </c>
      <c r="I140" s="196">
        <v>2.6</v>
      </c>
      <c r="J140" s="196">
        <v>2.6999999999999997</v>
      </c>
      <c r="K140" s="196">
        <v>2.6</v>
      </c>
    </row>
    <row r="141" spans="2:25">
      <c r="B141" t="s">
        <v>291</v>
      </c>
      <c r="D141" s="196">
        <v>26.409854043050455</v>
      </c>
      <c r="E141" s="196">
        <v>26.409854043050455</v>
      </c>
      <c r="F141" s="196">
        <v>26.409854043050455</v>
      </c>
      <c r="G141" s="196">
        <v>26.409854043050455</v>
      </c>
      <c r="H141" s="196">
        <v>26.409854043050455</v>
      </c>
      <c r="I141" s="196">
        <v>26.409854043050455</v>
      </c>
      <c r="J141" s="196">
        <v>26.409854043050455</v>
      </c>
      <c r="K141" s="196">
        <v>26.409854043050455</v>
      </c>
    </row>
    <row r="142" spans="2:25">
      <c r="B142" t="s">
        <v>292</v>
      </c>
      <c r="D142" s="53">
        <f t="shared" ref="D142:K142" si="29">D140+D141</f>
        <v>29.109854043050454</v>
      </c>
      <c r="E142" s="53">
        <f t="shared" si="29"/>
        <v>29.009854043050456</v>
      </c>
      <c r="F142" s="53">
        <f t="shared" si="29"/>
        <v>29.009854043050456</v>
      </c>
      <c r="G142" s="53">
        <f t="shared" si="29"/>
        <v>29.109854043050454</v>
      </c>
      <c r="H142" s="53">
        <f t="shared" si="29"/>
        <v>29.009854043050456</v>
      </c>
      <c r="I142" s="53">
        <f t="shared" si="29"/>
        <v>29.009854043050456</v>
      </c>
      <c r="J142" s="53">
        <f t="shared" si="29"/>
        <v>29.109854043050454</v>
      </c>
      <c r="K142" s="53">
        <f t="shared" si="29"/>
        <v>29.009854043050456</v>
      </c>
    </row>
    <row r="143" spans="2:25">
      <c r="B143" t="s">
        <v>293</v>
      </c>
      <c r="D143" s="196">
        <v>11.622445302613123</v>
      </c>
      <c r="E143" s="196">
        <v>12.130927284602448</v>
      </c>
      <c r="F143" s="196">
        <v>12.661655353303805</v>
      </c>
      <c r="G143" s="196">
        <v>13.215602775010845</v>
      </c>
      <c r="H143" s="196">
        <v>13.793785396417569</v>
      </c>
      <c r="I143" s="196">
        <v>14.397263507510837</v>
      </c>
      <c r="J143" s="196">
        <v>15.027143785964435</v>
      </c>
      <c r="K143" s="196">
        <v>15.684581326600378</v>
      </c>
    </row>
    <row r="144" spans="2:25">
      <c r="B144" s="38" t="s">
        <v>294</v>
      </c>
      <c r="C144" s="38"/>
      <c r="D144" s="58">
        <f t="shared" ref="D144:K144" si="30">D142+D143</f>
        <v>40.732299345663577</v>
      </c>
      <c r="E144" s="58">
        <f t="shared" si="30"/>
        <v>41.140781327652903</v>
      </c>
      <c r="F144" s="58">
        <f t="shared" si="30"/>
        <v>41.67150939635426</v>
      </c>
      <c r="G144" s="58">
        <f t="shared" si="30"/>
        <v>42.325456818061298</v>
      </c>
      <c r="H144" s="58">
        <f t="shared" si="30"/>
        <v>42.803639439468029</v>
      </c>
      <c r="I144" s="58">
        <f t="shared" si="30"/>
        <v>43.407117550561296</v>
      </c>
      <c r="J144" s="58">
        <f t="shared" si="30"/>
        <v>44.136997829014888</v>
      </c>
      <c r="K144" s="58">
        <f t="shared" si="30"/>
        <v>44.694435369650833</v>
      </c>
    </row>
    <row r="145" spans="2:21">
      <c r="D145" s="53"/>
      <c r="E145" s="53"/>
      <c r="F145" s="53"/>
      <c r="G145" s="53"/>
      <c r="H145" s="53"/>
      <c r="I145" s="53"/>
      <c r="J145" s="53"/>
      <c r="K145" s="53"/>
    </row>
    <row r="146" spans="2:21">
      <c r="B146" t="s">
        <v>295</v>
      </c>
      <c r="D146" s="196">
        <v>-17.8</v>
      </c>
      <c r="E146" s="196">
        <v>-18.2</v>
      </c>
      <c r="F146" s="196">
        <v>-18.399999999999999</v>
      </c>
      <c r="G146" s="196">
        <v>-18.5</v>
      </c>
      <c r="H146" s="196">
        <v>0</v>
      </c>
      <c r="I146" s="196">
        <v>0</v>
      </c>
      <c r="J146" s="196">
        <v>0</v>
      </c>
      <c r="K146" s="196">
        <v>0</v>
      </c>
    </row>
    <row r="147" spans="2:21">
      <c r="B147" t="s">
        <v>296</v>
      </c>
      <c r="D147" s="196">
        <v>12.60635008524663</v>
      </c>
      <c r="E147" s="196">
        <v>13.155180087573887</v>
      </c>
      <c r="F147" s="196">
        <v>13.727906745412115</v>
      </c>
      <c r="G147" s="196">
        <v>14.325570664513558</v>
      </c>
      <c r="H147" s="196">
        <v>14.949257770032748</v>
      </c>
      <c r="I147" s="196">
        <v>15.600101280448639</v>
      </c>
      <c r="J147" s="196">
        <v>16.279283767471746</v>
      </c>
      <c r="K147" s="196">
        <v>16.988039305682264</v>
      </c>
    </row>
    <row r="148" spans="2:21">
      <c r="B148" t="s">
        <v>297</v>
      </c>
      <c r="D148" s="53">
        <v>-3.5</v>
      </c>
      <c r="E148" s="53">
        <v>-2.9</v>
      </c>
      <c r="F148" s="53">
        <v>-3</v>
      </c>
      <c r="G148" s="53">
        <v>-3.1</v>
      </c>
      <c r="H148" s="53">
        <v>-3</v>
      </c>
      <c r="I148" s="53">
        <v>-3</v>
      </c>
      <c r="J148" s="53">
        <v>-3</v>
      </c>
      <c r="K148" s="53">
        <v>-3</v>
      </c>
    </row>
    <row r="149" spans="2:21">
      <c r="B149" s="38" t="s">
        <v>298</v>
      </c>
      <c r="D149" s="58">
        <f t="shared" ref="D149:K149" si="31">SUM(D144:D148)</f>
        <v>32.038649430910205</v>
      </c>
      <c r="E149" s="58">
        <f t="shared" si="31"/>
        <v>33.19596141522679</v>
      </c>
      <c r="F149" s="58">
        <f t="shared" si="31"/>
        <v>33.999416141766375</v>
      </c>
      <c r="G149" s="58">
        <f t="shared" si="31"/>
        <v>35.051027482574852</v>
      </c>
      <c r="H149" s="58">
        <f t="shared" si="31"/>
        <v>54.752897209500773</v>
      </c>
      <c r="I149" s="58">
        <f t="shared" si="31"/>
        <v>56.007218831009936</v>
      </c>
      <c r="J149" s="58">
        <f t="shared" si="31"/>
        <v>57.416281596486634</v>
      </c>
      <c r="K149" s="58">
        <f t="shared" si="31"/>
        <v>58.682474675333097</v>
      </c>
    </row>
    <row r="150" spans="2:21">
      <c r="B150" t="s">
        <v>299</v>
      </c>
      <c r="D150" s="53">
        <v>0</v>
      </c>
      <c r="E150" s="53">
        <v>0</v>
      </c>
      <c r="F150" s="53">
        <v>0</v>
      </c>
      <c r="G150" s="53">
        <v>0</v>
      </c>
      <c r="H150" s="53">
        <v>0</v>
      </c>
      <c r="I150" s="53">
        <v>0</v>
      </c>
      <c r="J150" s="53">
        <v>0</v>
      </c>
      <c r="K150" s="53">
        <v>0</v>
      </c>
    </row>
    <row r="151" spans="2:21">
      <c r="D151" s="53"/>
      <c r="E151" s="53"/>
      <c r="F151" s="53"/>
      <c r="G151" s="53"/>
      <c r="H151" s="53"/>
      <c r="I151" s="53"/>
      <c r="J151" s="53"/>
      <c r="K151" s="53"/>
    </row>
    <row r="152" spans="2:21">
      <c r="B152" t="s">
        <v>300</v>
      </c>
      <c r="D152" s="53">
        <f t="shared" ref="D152:K152" si="32">SUM(D146:D148,D150)</f>
        <v>-8.6936499147533706</v>
      </c>
      <c r="E152" s="53">
        <f t="shared" si="32"/>
        <v>-7.9448199124261123</v>
      </c>
      <c r="F152" s="53">
        <f t="shared" si="32"/>
        <v>-7.6720932545878835</v>
      </c>
      <c r="G152" s="53">
        <f t="shared" si="32"/>
        <v>-7.2744293354864418</v>
      </c>
      <c r="H152" s="53">
        <f t="shared" si="32"/>
        <v>11.949257770032748</v>
      </c>
      <c r="I152" s="53">
        <f t="shared" si="32"/>
        <v>12.600101280448639</v>
      </c>
      <c r="J152" s="53">
        <f t="shared" si="32"/>
        <v>13.279283767471746</v>
      </c>
      <c r="K152" s="53">
        <f t="shared" si="32"/>
        <v>13.988039305682264</v>
      </c>
    </row>
    <row r="155" spans="2:21" ht="16.8">
      <c r="B155" s="75" t="s">
        <v>247</v>
      </c>
      <c r="D155" s="198">
        <v>53.000554975302876</v>
      </c>
      <c r="E155" s="199">
        <v>71.285503485595356</v>
      </c>
      <c r="F155" s="199">
        <v>86.0262524321559</v>
      </c>
      <c r="G155" s="199">
        <v>97.049824740637092</v>
      </c>
      <c r="H155" s="199">
        <v>105.46396495837715</v>
      </c>
      <c r="I155" s="199">
        <v>109.97307955683269</v>
      </c>
      <c r="J155" s="199">
        <v>109.73450493633288</v>
      </c>
      <c r="K155" s="200">
        <v>107.67055172719654</v>
      </c>
    </row>
    <row r="156" spans="2:21" ht="16.8">
      <c r="B156" s="75" t="s">
        <v>248</v>
      </c>
      <c r="D156" s="198">
        <v>28.829983001135318</v>
      </c>
      <c r="E156" s="199">
        <v>29.404352437565585</v>
      </c>
      <c r="F156" s="199">
        <v>28.318912342542578</v>
      </c>
      <c r="G156" s="199">
        <v>28.668372505992771</v>
      </c>
      <c r="H156" s="199">
        <v>27.411971530421514</v>
      </c>
      <c r="I156" s="199">
        <v>25.265392341568841</v>
      </c>
      <c r="J156" s="199">
        <v>25.396105065855693</v>
      </c>
      <c r="K156" s="200">
        <v>24.829470975539607</v>
      </c>
    </row>
    <row r="157" spans="2:21" ht="16.8">
      <c r="B157" s="75" t="s">
        <v>249</v>
      </c>
      <c r="D157" s="198">
        <v>-10.545034490842841</v>
      </c>
      <c r="E157" s="199">
        <v>-14.663603491005031</v>
      </c>
      <c r="F157" s="199">
        <v>-17.295340034061375</v>
      </c>
      <c r="G157" s="199">
        <v>-20.254232288252716</v>
      </c>
      <c r="H157" s="199">
        <v>-22.902856931965967</v>
      </c>
      <c r="I157" s="199">
        <v>-25.50396696206866</v>
      </c>
      <c r="J157" s="199">
        <v>-27.460058274992043</v>
      </c>
      <c r="K157" s="200">
        <v>-27.613584175011756</v>
      </c>
    </row>
    <row r="158" spans="2:21" ht="16.8">
      <c r="B158" s="75" t="s">
        <v>250</v>
      </c>
      <c r="D158" s="198">
        <v>71.285503485595356</v>
      </c>
      <c r="E158" s="199">
        <v>86.0262524321559</v>
      </c>
      <c r="F158" s="199">
        <v>97.049824740637092</v>
      </c>
      <c r="G158" s="199">
        <v>105.46396495837715</v>
      </c>
      <c r="H158" s="199">
        <v>109.97307955683269</v>
      </c>
      <c r="I158" s="199">
        <v>109.73450493633288</v>
      </c>
      <c r="J158" s="199">
        <v>107.67055172719654</v>
      </c>
      <c r="K158" s="200">
        <v>104.88643852772439</v>
      </c>
    </row>
    <row r="159" spans="2:21" ht="15.6">
      <c r="L159" s="119" t="s">
        <v>301</v>
      </c>
    </row>
    <row r="160" spans="2:21" ht="15.6">
      <c r="B160" t="s">
        <v>289</v>
      </c>
      <c r="D160" s="53">
        <f t="shared" ref="D160:K160" si="33">D134+D155</f>
        <v>4615.060328174176</v>
      </c>
      <c r="E160" s="53">
        <f t="shared" si="33"/>
        <v>4709.2605065569023</v>
      </c>
      <c r="F160" s="53">
        <f t="shared" si="33"/>
        <v>4722.5931062242662</v>
      </c>
      <c r="G160" s="53">
        <f t="shared" si="33"/>
        <v>4777.4587601828289</v>
      </c>
      <c r="H160" s="53">
        <f t="shared" si="33"/>
        <v>4910.4111034216676</v>
      </c>
      <c r="I160" s="53">
        <f t="shared" si="33"/>
        <v>5024.0138435020826</v>
      </c>
      <c r="J160" s="53">
        <f t="shared" si="33"/>
        <v>5017.6867142505644</v>
      </c>
      <c r="K160" s="53">
        <f t="shared" si="33"/>
        <v>4969.8361309066077</v>
      </c>
      <c r="L160" s="120">
        <f>(K160/D160)^(1/7)-1</f>
        <v>1.0636444441293413E-2</v>
      </c>
      <c r="M160" t="s">
        <v>302</v>
      </c>
      <c r="N160" s="114">
        <f t="shared" ref="N160:U161" si="34">D160*N$1</f>
        <v>5385.7754029792632</v>
      </c>
      <c r="O160" s="109">
        <f t="shared" si="34"/>
        <v>5604.0200028027139</v>
      </c>
      <c r="P160" s="109">
        <f t="shared" si="34"/>
        <v>5676.5569136815675</v>
      </c>
      <c r="Q160" s="109">
        <f t="shared" si="34"/>
        <v>5866.7193575045139</v>
      </c>
      <c r="R160" s="109">
        <f t="shared" si="34"/>
        <v>6255.8637457592049</v>
      </c>
      <c r="S160" s="109">
        <f t="shared" si="34"/>
        <v>6596.5301765182339</v>
      </c>
      <c r="T160" s="109">
        <f t="shared" si="34"/>
        <v>6768.8593775240115</v>
      </c>
      <c r="U160" s="109">
        <f t="shared" si="34"/>
        <v>6898.1325496983709</v>
      </c>
    </row>
    <row r="161" spans="2:21" ht="15.6">
      <c r="B161" t="s">
        <v>250</v>
      </c>
      <c r="D161" s="53">
        <f t="shared" ref="D161:K161" si="35">D137+D158</f>
        <v>4709.2605065569023</v>
      </c>
      <c r="E161" s="53">
        <f t="shared" si="35"/>
        <v>4722.5931062242662</v>
      </c>
      <c r="F161" s="53">
        <f t="shared" si="35"/>
        <v>4777.4587601828289</v>
      </c>
      <c r="G161" s="53">
        <f t="shared" si="35"/>
        <v>4910.4111034216676</v>
      </c>
      <c r="H161" s="53">
        <f t="shared" si="35"/>
        <v>5024.0138435020826</v>
      </c>
      <c r="I161" s="53">
        <f t="shared" si="35"/>
        <v>5017.6867142505644</v>
      </c>
      <c r="J161" s="53">
        <f t="shared" si="35"/>
        <v>4969.8361309066077</v>
      </c>
      <c r="K161" s="53">
        <f t="shared" si="35"/>
        <v>4910.3566204412191</v>
      </c>
      <c r="L161" s="121">
        <f>(K161/D161)^(1/7)-1</f>
        <v>5.9915464962276843E-3</v>
      </c>
      <c r="N161" s="109">
        <f t="shared" si="34"/>
        <v>5495.7070111519051</v>
      </c>
      <c r="O161" s="109">
        <f t="shared" si="34"/>
        <v>5619.8857964068766</v>
      </c>
      <c r="P161" s="109">
        <f t="shared" si="34"/>
        <v>5742.5054297397601</v>
      </c>
      <c r="Q161" s="109">
        <f t="shared" si="34"/>
        <v>6029.9848350018074</v>
      </c>
      <c r="R161" s="109">
        <f t="shared" si="34"/>
        <v>6400.5936366216538</v>
      </c>
      <c r="S161" s="109">
        <f t="shared" si="34"/>
        <v>6588.2226558109905</v>
      </c>
      <c r="T161" s="109">
        <f t="shared" si="34"/>
        <v>6704.3089405930132</v>
      </c>
      <c r="U161" s="114">
        <f t="shared" si="34"/>
        <v>6815.5749891724117</v>
      </c>
    </row>
    <row r="162" spans="2:21">
      <c r="N162" s="109"/>
      <c r="O162" s="109"/>
      <c r="P162" s="109"/>
      <c r="Q162" s="109"/>
      <c r="R162" s="109"/>
      <c r="S162" s="109"/>
      <c r="T162" s="109"/>
      <c r="U162" s="109"/>
    </row>
    <row r="163" spans="2:21">
      <c r="B163" t="s">
        <v>289</v>
      </c>
      <c r="M163" t="s">
        <v>303</v>
      </c>
      <c r="N163" s="115">
        <f>D160*N$3</f>
        <v>5305.0164815467579</v>
      </c>
      <c r="O163" s="109">
        <f t="shared" ref="N163:U164" si="36">E160*O$2</f>
        <v>5611.3898172521858</v>
      </c>
      <c r="P163" s="109">
        <f t="shared" si="36"/>
        <v>5714.8264793843173</v>
      </c>
      <c r="Q163" s="109">
        <f t="shared" si="36"/>
        <v>5962.7822220789558</v>
      </c>
      <c r="R163" s="109">
        <f t="shared" si="36"/>
        <v>6333.5427626243654</v>
      </c>
      <c r="S163" s="109">
        <f t="shared" si="36"/>
        <v>6638.4042026067245</v>
      </c>
      <c r="T163" s="109">
        <f t="shared" si="36"/>
        <v>6830.0382572627423</v>
      </c>
      <c r="U163" s="109">
        <f t="shared" si="36"/>
        <v>6967.5981597369801</v>
      </c>
    </row>
    <row r="164" spans="2:21">
      <c r="B164" t="s">
        <v>250</v>
      </c>
      <c r="N164" s="109">
        <f t="shared" si="36"/>
        <v>5561.1906862538199</v>
      </c>
      <c r="O164" s="109">
        <f t="shared" si="36"/>
        <v>5627.276475870196</v>
      </c>
      <c r="P164" s="109">
        <f t="shared" si="36"/>
        <v>5781.219599646548</v>
      </c>
      <c r="Q164" s="109">
        <f t="shared" si="36"/>
        <v>6128.7210419502026</v>
      </c>
      <c r="R164" s="109">
        <f t="shared" si="36"/>
        <v>6480.0697635406923</v>
      </c>
      <c r="S164" s="109">
        <f t="shared" si="36"/>
        <v>6630.0439466993803</v>
      </c>
      <c r="T164" s="109">
        <f t="shared" si="36"/>
        <v>6764.9043950900868</v>
      </c>
      <c r="U164" s="115">
        <f t="shared" si="36"/>
        <v>6884.2092276385092</v>
      </c>
    </row>
    <row r="165" spans="2:21">
      <c r="D165" s="53"/>
    </row>
    <row r="166" spans="2:21">
      <c r="B166" t="s">
        <v>304</v>
      </c>
      <c r="D166" s="190">
        <f>D62-D131-D167</f>
        <v>-146.2113385372329</v>
      </c>
      <c r="E166" s="190">
        <f t="shared" ref="E166:K166" si="37">E62-E131-E167</f>
        <v>-144.85340732479523</v>
      </c>
      <c r="F166" s="190">
        <f t="shared" si="37"/>
        <v>-143.75882243451281</v>
      </c>
      <c r="G166" s="190">
        <f t="shared" si="37"/>
        <v>-143.62994616195877</v>
      </c>
      <c r="H166" s="190">
        <f t="shared" si="37"/>
        <v>-144.36654415261827</v>
      </c>
      <c r="I166" s="190">
        <f t="shared" si="37"/>
        <v>-144.23491526205311</v>
      </c>
      <c r="J166" s="190">
        <f t="shared" si="37"/>
        <v>-143.02394501567159</v>
      </c>
      <c r="K166" s="190">
        <f t="shared" si="37"/>
        <v>-141.36922321253945</v>
      </c>
    </row>
    <row r="167" spans="2:21">
      <c r="B167" t="s">
        <v>305</v>
      </c>
      <c r="D167" s="190">
        <v>0</v>
      </c>
      <c r="E167" s="190">
        <v>-4.621341537230153</v>
      </c>
      <c r="F167" s="190">
        <v>-7.3335596672642103</v>
      </c>
      <c r="G167" s="190">
        <v>-10.121577272215045</v>
      </c>
      <c r="H167" s="190">
        <v>-13.89645978513926</v>
      </c>
      <c r="I167" s="190">
        <v>-18.296611467386889</v>
      </c>
      <c r="J167" s="190">
        <v>-21.311356564977686</v>
      </c>
      <c r="K167" s="190">
        <v>-23.92775764926148</v>
      </c>
    </row>
    <row r="170" spans="2:21" ht="16.8">
      <c r="B170" t="s">
        <v>306</v>
      </c>
      <c r="D170" s="201">
        <v>12.577234273857108</v>
      </c>
      <c r="E170" s="201">
        <v>24.079618087744361</v>
      </c>
      <c r="F170" s="201">
        <v>67.51894883370673</v>
      </c>
      <c r="G170" s="201">
        <v>106.4475745022352</v>
      </c>
      <c r="H170" s="201">
        <v>55.417594420676267</v>
      </c>
      <c r="I170" s="201">
        <v>2.3025824270640456</v>
      </c>
      <c r="J170" s="201">
        <v>0</v>
      </c>
      <c r="K170" s="201">
        <v>0</v>
      </c>
    </row>
    <row r="171" spans="2:21" ht="16.8">
      <c r="B171" t="s">
        <v>307</v>
      </c>
      <c r="D171" s="201">
        <v>0.82105844574251929</v>
      </c>
      <c r="E171" s="201">
        <v>0</v>
      </c>
      <c r="F171" s="201">
        <v>0</v>
      </c>
      <c r="G171" s="201">
        <v>0</v>
      </c>
      <c r="H171" s="201">
        <v>0</v>
      </c>
      <c r="I171" s="201">
        <v>0</v>
      </c>
      <c r="J171" s="201">
        <v>0</v>
      </c>
      <c r="K171" s="201">
        <v>0</v>
      </c>
    </row>
    <row r="172" spans="2:21" ht="16.8">
      <c r="B172" t="s">
        <v>308</v>
      </c>
      <c r="D172" s="201">
        <v>0.7679065147103713</v>
      </c>
      <c r="E172" s="201">
        <v>1.9371656435515117</v>
      </c>
      <c r="F172" s="201">
        <v>1.9547226953643968</v>
      </c>
      <c r="G172" s="201">
        <v>1.9724388714470038</v>
      </c>
      <c r="H172" s="201">
        <v>13.932209297896886</v>
      </c>
      <c r="I172" s="201">
        <v>18.476860279771643</v>
      </c>
      <c r="J172" s="201">
        <v>0.81062265305823133</v>
      </c>
      <c r="K172" s="201">
        <v>0</v>
      </c>
    </row>
    <row r="173" spans="2:21">
      <c r="D173" s="173">
        <f>SUM(D170:D172)</f>
        <v>14.16619923431</v>
      </c>
      <c r="E173" s="173">
        <f t="shared" ref="E173:K173" si="38">SUM(E170:E172)</f>
        <v>26.016783731295874</v>
      </c>
      <c r="F173" s="173">
        <f t="shared" si="38"/>
        <v>69.473671529071126</v>
      </c>
      <c r="G173" s="173">
        <f t="shared" si="38"/>
        <v>108.4200133736822</v>
      </c>
      <c r="H173" s="173">
        <f t="shared" si="38"/>
        <v>69.349803718573156</v>
      </c>
      <c r="I173" s="173">
        <f t="shared" si="38"/>
        <v>20.779442706835688</v>
      </c>
      <c r="J173" s="173">
        <f t="shared" si="38"/>
        <v>0.81062265305823133</v>
      </c>
      <c r="K173" s="173">
        <f t="shared" si="38"/>
        <v>0</v>
      </c>
    </row>
    <row r="174" spans="2:21">
      <c r="D174" s="173"/>
      <c r="E174" s="173"/>
      <c r="F174" s="173"/>
      <c r="G174" s="173"/>
      <c r="H174" s="173"/>
      <c r="I174" s="173"/>
      <c r="J174" s="173"/>
      <c r="K174" s="173"/>
    </row>
    <row r="175" spans="2:21" s="195" customFormat="1">
      <c r="D175" s="202"/>
      <c r="E175" s="202"/>
      <c r="F175" s="202"/>
      <c r="G175" s="202"/>
      <c r="H175" s="202"/>
      <c r="I175" s="202"/>
      <c r="J175" s="202"/>
      <c r="K175" s="202"/>
    </row>
    <row r="176" spans="2:21">
      <c r="D176" s="173"/>
      <c r="E176" s="173"/>
      <c r="F176" s="173"/>
      <c r="G176" s="173"/>
      <c r="H176" s="173"/>
      <c r="I176" s="173"/>
      <c r="J176" s="173"/>
      <c r="K176" s="173"/>
    </row>
    <row r="177" spans="1:13" ht="16.8">
      <c r="A177" s="86">
        <v>1</v>
      </c>
      <c r="B177" s="75" t="s">
        <v>241</v>
      </c>
      <c r="D177" s="87">
        <f>D186</f>
        <v>31.785127976980597</v>
      </c>
      <c r="E177" s="88">
        <f t="shared" ref="E177:K177" si="39">E186</f>
        <v>29.404352437565585</v>
      </c>
      <c r="F177" s="88">
        <f t="shared" si="39"/>
        <v>28.318912342542578</v>
      </c>
      <c r="G177" s="88">
        <f t="shared" si="39"/>
        <v>28.668372505992771</v>
      </c>
      <c r="H177" s="88">
        <f t="shared" si="39"/>
        <v>27.411971530421514</v>
      </c>
      <c r="I177" s="88">
        <f t="shared" si="39"/>
        <v>25.265392341568841</v>
      </c>
      <c r="J177" s="88">
        <f t="shared" si="39"/>
        <v>25.396105065855693</v>
      </c>
      <c r="K177" s="89">
        <f t="shared" si="39"/>
        <v>24.829470975539607</v>
      </c>
    </row>
    <row r="178" spans="1:13" ht="16.8">
      <c r="A178" s="86">
        <f>+A177+1</f>
        <v>2</v>
      </c>
      <c r="B178" s="75" t="s">
        <v>242</v>
      </c>
      <c r="D178" s="87">
        <f t="shared" ref="D178:K179" si="40">D187</f>
        <v>53.201845223502282</v>
      </c>
      <c r="E178" s="88">
        <f t="shared" si="40"/>
        <v>49.216910764481433</v>
      </c>
      <c r="F178" s="88">
        <f t="shared" si="40"/>
        <v>47.400104616127415</v>
      </c>
      <c r="G178" s="88">
        <f t="shared" si="40"/>
        <v>47.985029916447793</v>
      </c>
      <c r="H178" s="88">
        <f t="shared" si="40"/>
        <v>45.882069994769701</v>
      </c>
      <c r="I178" s="88">
        <f t="shared" si="40"/>
        <v>42.289132635887952</v>
      </c>
      <c r="J178" s="88">
        <f t="shared" si="40"/>
        <v>42.507919174400172</v>
      </c>
      <c r="K178" s="89">
        <f t="shared" si="40"/>
        <v>41.559488852106398</v>
      </c>
    </row>
    <row r="179" spans="1:13" ht="16.8">
      <c r="A179" s="86">
        <f>+A178+1</f>
        <v>3</v>
      </c>
      <c r="B179" s="75" t="s">
        <v>243</v>
      </c>
      <c r="D179" s="87">
        <f t="shared" si="40"/>
        <v>84.986973200482879</v>
      </c>
      <c r="E179" s="88">
        <f t="shared" si="40"/>
        <v>78.621263202047018</v>
      </c>
      <c r="F179" s="88">
        <f t="shared" si="40"/>
        <v>75.719016958669997</v>
      </c>
      <c r="G179" s="88">
        <f t="shared" si="40"/>
        <v>76.653402422440564</v>
      </c>
      <c r="H179" s="88">
        <f t="shared" si="40"/>
        <v>73.294041525191219</v>
      </c>
      <c r="I179" s="88">
        <f t="shared" si="40"/>
        <v>67.554524977456794</v>
      </c>
      <c r="J179" s="88">
        <f t="shared" si="40"/>
        <v>67.904024240255865</v>
      </c>
      <c r="K179" s="89">
        <f t="shared" si="40"/>
        <v>66.388959827646005</v>
      </c>
    </row>
    <row r="182" spans="1:13" ht="13.8" thickBot="1"/>
    <row r="183" spans="1:13" ht="16.8">
      <c r="A183" s="68"/>
      <c r="B183" s="69" t="s">
        <v>237</v>
      </c>
      <c r="D183" s="70">
        <v>41729</v>
      </c>
      <c r="E183" s="71">
        <v>42094</v>
      </c>
      <c r="F183" s="71">
        <v>42460</v>
      </c>
      <c r="G183" s="71">
        <v>42825</v>
      </c>
      <c r="H183" s="71">
        <v>43190</v>
      </c>
      <c r="I183" s="71">
        <v>43555</v>
      </c>
      <c r="J183" s="71">
        <v>43921</v>
      </c>
      <c r="K183" s="72">
        <v>44286</v>
      </c>
      <c r="L183" s="180" t="s">
        <v>238</v>
      </c>
      <c r="M183" s="181" t="s">
        <v>310</v>
      </c>
    </row>
    <row r="184" spans="1:13" ht="16.8">
      <c r="A184" s="74"/>
      <c r="B184" s="75" t="s">
        <v>239</v>
      </c>
      <c r="D184" s="76" t="s">
        <v>240</v>
      </c>
      <c r="E184" s="77" t="s">
        <v>240</v>
      </c>
      <c r="F184" s="77" t="s">
        <v>240</v>
      </c>
      <c r="G184" s="77" t="s">
        <v>240</v>
      </c>
      <c r="H184" s="77" t="s">
        <v>240</v>
      </c>
      <c r="I184" s="77" t="s">
        <v>240</v>
      </c>
      <c r="J184" s="77" t="s">
        <v>240</v>
      </c>
      <c r="K184" s="78" t="s">
        <v>240</v>
      </c>
      <c r="L184" s="182" t="s">
        <v>240</v>
      </c>
      <c r="M184" s="79" t="s">
        <v>240</v>
      </c>
    </row>
    <row r="185" spans="1:13" ht="16.8">
      <c r="A185" s="80"/>
      <c r="B185" s="81" t="s">
        <v>207</v>
      </c>
      <c r="D185" s="82"/>
      <c r="E185" s="83"/>
      <c r="F185" s="83"/>
      <c r="G185" s="83"/>
      <c r="H185" s="83"/>
      <c r="I185" s="83"/>
      <c r="J185" s="83"/>
      <c r="K185" s="84"/>
      <c r="L185" s="183"/>
      <c r="M185" s="85"/>
    </row>
    <row r="186" spans="1:13" ht="16.8">
      <c r="A186" s="86">
        <v>1</v>
      </c>
      <c r="B186" s="75" t="s">
        <v>241</v>
      </c>
      <c r="D186" s="87">
        <v>31.785127976980597</v>
      </c>
      <c r="E186" s="88">
        <v>29.404352437565585</v>
      </c>
      <c r="F186" s="88">
        <v>28.318912342542578</v>
      </c>
      <c r="G186" s="88">
        <v>28.668372505992771</v>
      </c>
      <c r="H186" s="88">
        <v>27.411971530421514</v>
      </c>
      <c r="I186" s="88">
        <v>25.265392341568841</v>
      </c>
      <c r="J186" s="88">
        <v>25.396105065855693</v>
      </c>
      <c r="K186" s="89">
        <v>24.829470975539607</v>
      </c>
      <c r="L186" s="172">
        <v>221.0797051764672</v>
      </c>
      <c r="M186" s="90">
        <v>27.6349631470584</v>
      </c>
    </row>
    <row r="187" spans="1:13" ht="16.8">
      <c r="A187" s="86">
        <v>2</v>
      </c>
      <c r="B187" s="75" t="s">
        <v>242</v>
      </c>
      <c r="D187" s="87">
        <v>53.201845223502282</v>
      </c>
      <c r="E187" s="88">
        <v>49.216910764481433</v>
      </c>
      <c r="F187" s="88">
        <v>47.400104616127415</v>
      </c>
      <c r="G187" s="88">
        <v>47.985029916447793</v>
      </c>
      <c r="H187" s="88">
        <v>45.882069994769701</v>
      </c>
      <c r="I187" s="88">
        <v>42.289132635887952</v>
      </c>
      <c r="J187" s="88">
        <v>42.507919174400172</v>
      </c>
      <c r="K187" s="89">
        <v>41.559488852106398</v>
      </c>
      <c r="L187" s="172">
        <v>370.04250117772312</v>
      </c>
      <c r="M187" s="90">
        <v>46.255312647215391</v>
      </c>
    </row>
    <row r="188" spans="1:13" ht="16.8">
      <c r="A188" s="86">
        <v>3</v>
      </c>
      <c r="B188" s="75" t="s">
        <v>243</v>
      </c>
      <c r="D188" s="87">
        <v>84.986973200482879</v>
      </c>
      <c r="E188" s="88">
        <v>78.621263202047018</v>
      </c>
      <c r="F188" s="88">
        <v>75.719016958669997</v>
      </c>
      <c r="G188" s="88">
        <v>76.653402422440564</v>
      </c>
      <c r="H188" s="88">
        <v>73.294041525191219</v>
      </c>
      <c r="I188" s="88">
        <v>67.554524977456794</v>
      </c>
      <c r="J188" s="88">
        <v>67.904024240255865</v>
      </c>
      <c r="K188" s="89">
        <v>66.388959827646005</v>
      </c>
      <c r="L188" s="172">
        <v>591.12220635419044</v>
      </c>
      <c r="M188" s="90">
        <v>73.890275794273805</v>
      </c>
    </row>
    <row r="189" spans="1:13" ht="16.8">
      <c r="A189" s="80"/>
      <c r="B189" s="81" t="s">
        <v>244</v>
      </c>
      <c r="D189" s="82">
        <v>0</v>
      </c>
      <c r="E189" s="83">
        <v>0</v>
      </c>
      <c r="F189" s="83">
        <v>0</v>
      </c>
      <c r="G189" s="83">
        <v>0</v>
      </c>
      <c r="H189" s="83">
        <v>0</v>
      </c>
      <c r="I189" s="83">
        <v>0</v>
      </c>
      <c r="J189" s="83">
        <v>0</v>
      </c>
      <c r="K189" s="84">
        <v>0</v>
      </c>
      <c r="L189" s="183">
        <v>0</v>
      </c>
      <c r="M189" s="85">
        <v>0</v>
      </c>
    </row>
    <row r="190" spans="1:13" ht="16.8">
      <c r="A190" s="86">
        <v>4</v>
      </c>
      <c r="B190" s="75" t="s">
        <v>311</v>
      </c>
      <c r="D190" s="87">
        <v>53.000554975302876</v>
      </c>
      <c r="E190" s="88">
        <v>71.285503485595356</v>
      </c>
      <c r="F190" s="88">
        <v>86.0262524321559</v>
      </c>
      <c r="G190" s="88">
        <v>97.049824740637092</v>
      </c>
      <c r="H190" s="88">
        <v>105.46396495837715</v>
      </c>
      <c r="I190" s="88">
        <v>109.97307955683269</v>
      </c>
      <c r="J190" s="88">
        <v>109.73450493633288</v>
      </c>
      <c r="K190" s="89">
        <v>107.67055172719654</v>
      </c>
      <c r="L190" s="172">
        <v>0</v>
      </c>
      <c r="M190" s="90">
        <v>92.525529601553799</v>
      </c>
    </row>
    <row r="191" spans="1:13" ht="16.8">
      <c r="A191" s="86">
        <v>5</v>
      </c>
      <c r="B191" s="75" t="s">
        <v>246</v>
      </c>
      <c r="D191" s="87">
        <v>0</v>
      </c>
      <c r="E191" s="88">
        <v>0</v>
      </c>
      <c r="F191" s="88">
        <v>0</v>
      </c>
      <c r="G191" s="88">
        <v>0</v>
      </c>
      <c r="H191" s="88">
        <v>0</v>
      </c>
      <c r="I191" s="88">
        <v>0</v>
      </c>
      <c r="J191" s="88">
        <v>0</v>
      </c>
      <c r="K191" s="89">
        <v>0</v>
      </c>
      <c r="L191" s="172">
        <v>0</v>
      </c>
      <c r="M191" s="90">
        <v>0</v>
      </c>
    </row>
    <row r="192" spans="1:13" ht="16.8">
      <c r="A192" s="86">
        <v>6</v>
      </c>
      <c r="B192" s="75" t="s">
        <v>247</v>
      </c>
      <c r="D192" s="87">
        <v>53.000554975302876</v>
      </c>
      <c r="E192" s="88">
        <v>71.285503485595356</v>
      </c>
      <c r="F192" s="88">
        <v>86.0262524321559</v>
      </c>
      <c r="G192" s="88">
        <v>97.049824740637092</v>
      </c>
      <c r="H192" s="88">
        <v>105.46396495837715</v>
      </c>
      <c r="I192" s="88">
        <v>109.97307955683269</v>
      </c>
      <c r="J192" s="88">
        <v>109.73450493633288</v>
      </c>
      <c r="K192" s="89">
        <v>107.67055172719654</v>
      </c>
      <c r="L192" s="172">
        <v>0</v>
      </c>
      <c r="M192" s="90">
        <v>92.525529601553799</v>
      </c>
    </row>
    <row r="193" spans="1:13" ht="16.8">
      <c r="A193" s="86">
        <v>7</v>
      </c>
      <c r="B193" s="75" t="s">
        <v>248</v>
      </c>
      <c r="D193" s="87">
        <v>28.829983001135318</v>
      </c>
      <c r="E193" s="88">
        <v>29.404352437565585</v>
      </c>
      <c r="F193" s="88">
        <v>28.318912342542578</v>
      </c>
      <c r="G193" s="88">
        <v>28.668372505992771</v>
      </c>
      <c r="H193" s="88">
        <v>27.411971530421514</v>
      </c>
      <c r="I193" s="88">
        <v>25.265392341568841</v>
      </c>
      <c r="J193" s="88">
        <v>25.396105065855693</v>
      </c>
      <c r="K193" s="89">
        <v>24.829470975539607</v>
      </c>
      <c r="L193" s="172">
        <v>218.12456020062189</v>
      </c>
      <c r="M193" s="90">
        <v>27.265570025077736</v>
      </c>
    </row>
    <row r="194" spans="1:13" ht="16.8">
      <c r="A194" s="86">
        <v>8</v>
      </c>
      <c r="B194" s="75" t="s">
        <v>249</v>
      </c>
      <c r="D194" s="87">
        <v>-10.545034490842841</v>
      </c>
      <c r="E194" s="88">
        <v>-14.663603491005031</v>
      </c>
      <c r="F194" s="88">
        <v>-17.295340034061375</v>
      </c>
      <c r="G194" s="88">
        <v>-20.254232288252716</v>
      </c>
      <c r="H194" s="88">
        <v>-22.902856931965967</v>
      </c>
      <c r="I194" s="88">
        <v>-25.50396696206866</v>
      </c>
      <c r="J194" s="88">
        <v>-27.460058274992043</v>
      </c>
      <c r="K194" s="89">
        <v>-27.613584175011756</v>
      </c>
      <c r="L194" s="172">
        <v>-166.2386766482004</v>
      </c>
      <c r="M194" s="90">
        <v>-20.77983458102505</v>
      </c>
    </row>
    <row r="195" spans="1:13" ht="16.8">
      <c r="A195" s="86">
        <v>9</v>
      </c>
      <c r="B195" s="75" t="s">
        <v>250</v>
      </c>
      <c r="D195" s="87">
        <v>71.285503485595356</v>
      </c>
      <c r="E195" s="88">
        <v>86.0262524321559</v>
      </c>
      <c r="F195" s="88">
        <v>97.049824740637092</v>
      </c>
      <c r="G195" s="88">
        <v>105.46396495837715</v>
      </c>
      <c r="H195" s="88">
        <v>109.97307955683269</v>
      </c>
      <c r="I195" s="88">
        <v>109.73450493633288</v>
      </c>
      <c r="J195" s="88">
        <v>107.67055172719654</v>
      </c>
      <c r="K195" s="186">
        <v>104.88643852772439</v>
      </c>
      <c r="L195" s="172">
        <v>0</v>
      </c>
      <c r="M195" s="90">
        <v>99.011265045606507</v>
      </c>
    </row>
    <row r="196" spans="1:13" ht="16.8">
      <c r="A196" s="80"/>
      <c r="B196" s="81" t="s">
        <v>251</v>
      </c>
      <c r="D196" s="91">
        <v>0</v>
      </c>
      <c r="E196" s="92">
        <v>0</v>
      </c>
      <c r="F196" s="92">
        <v>0</v>
      </c>
      <c r="G196" s="92">
        <v>0</v>
      </c>
      <c r="H196" s="92">
        <v>0</v>
      </c>
      <c r="I196" s="92">
        <v>0</v>
      </c>
      <c r="J196" s="92">
        <v>0</v>
      </c>
      <c r="K196" s="93">
        <v>0</v>
      </c>
      <c r="L196" s="184">
        <v>0</v>
      </c>
      <c r="M196" s="94">
        <v>0</v>
      </c>
    </row>
    <row r="197" spans="1:13" ht="16.8">
      <c r="A197" s="86">
        <v>10</v>
      </c>
      <c r="B197" s="75" t="s">
        <v>252</v>
      </c>
      <c r="D197" s="87">
        <v>53.201845223502282</v>
      </c>
      <c r="E197" s="88">
        <v>49.216910764481433</v>
      </c>
      <c r="F197" s="88">
        <v>47.400104616127415</v>
      </c>
      <c r="G197" s="88">
        <v>47.985029916447793</v>
      </c>
      <c r="H197" s="88">
        <v>45.882069994769701</v>
      </c>
      <c r="I197" s="88">
        <v>42.289132635887952</v>
      </c>
      <c r="J197" s="88">
        <v>42.507919174400172</v>
      </c>
      <c r="K197" s="89">
        <v>41.559488852106398</v>
      </c>
      <c r="L197" s="172">
        <v>370.04250117772312</v>
      </c>
      <c r="M197" s="90">
        <v>46.255312647215391</v>
      </c>
    </row>
    <row r="198" spans="1:13" ht="16.8">
      <c r="A198" s="86">
        <v>11</v>
      </c>
      <c r="B198" s="75" t="s">
        <v>253</v>
      </c>
      <c r="D198" s="87">
        <v>0</v>
      </c>
      <c r="E198" s="88">
        <v>0</v>
      </c>
      <c r="F198" s="88">
        <v>0</v>
      </c>
      <c r="G198" s="88">
        <v>0</v>
      </c>
      <c r="H198" s="88">
        <v>0</v>
      </c>
      <c r="I198" s="88">
        <v>0</v>
      </c>
      <c r="J198" s="88">
        <v>0</v>
      </c>
      <c r="K198" s="89">
        <v>0</v>
      </c>
      <c r="L198" s="172">
        <v>0</v>
      </c>
      <c r="M198" s="90">
        <v>0</v>
      </c>
    </row>
    <row r="199" spans="1:13" ht="16.8">
      <c r="A199" s="86">
        <v>12</v>
      </c>
      <c r="B199" s="75" t="s">
        <v>254</v>
      </c>
      <c r="D199" s="87">
        <v>10.545034490842841</v>
      </c>
      <c r="E199" s="88">
        <v>15.085767058982928</v>
      </c>
      <c r="F199" s="88">
        <v>17.717503602039272</v>
      </c>
      <c r="G199" s="88">
        <v>20.676395856230613</v>
      </c>
      <c r="H199" s="88">
        <v>23.325020499943864</v>
      </c>
      <c r="I199" s="88">
        <v>25.926130530046557</v>
      </c>
      <c r="J199" s="88">
        <v>27.88222184296994</v>
      </c>
      <c r="K199" s="89">
        <v>28.035747742989653</v>
      </c>
      <c r="L199" s="172">
        <v>169.19382162404565</v>
      </c>
      <c r="M199" s="90">
        <v>21.149227703005707</v>
      </c>
    </row>
    <row r="200" spans="1:13" ht="16.8">
      <c r="A200" s="86">
        <v>13</v>
      </c>
      <c r="B200" s="75" t="s">
        <v>255</v>
      </c>
      <c r="D200" s="87">
        <v>2.71532887430656</v>
      </c>
      <c r="E200" s="88">
        <v>3.4800460320406099</v>
      </c>
      <c r="F200" s="88">
        <v>4.0154503003214259</v>
      </c>
      <c r="G200" s="88">
        <v>4.4148526331317184</v>
      </c>
      <c r="H200" s="88">
        <v>4.6753317846606652</v>
      </c>
      <c r="I200" s="88">
        <v>4.7508860321070223</v>
      </c>
      <c r="J200" s="88">
        <v>4.6843281404023367</v>
      </c>
      <c r="K200" s="89">
        <v>4.562746918621075</v>
      </c>
      <c r="L200" s="172">
        <v>33.298970715591416</v>
      </c>
      <c r="M200" s="90">
        <v>4.162371339448927</v>
      </c>
    </row>
    <row r="201" spans="1:13" ht="16.8">
      <c r="A201" s="86">
        <v>14</v>
      </c>
      <c r="B201" s="75" t="s">
        <v>256</v>
      </c>
      <c r="D201" s="87">
        <v>0</v>
      </c>
      <c r="E201" s="88">
        <v>0</v>
      </c>
      <c r="F201" s="88">
        <v>0</v>
      </c>
      <c r="G201" s="88">
        <v>0</v>
      </c>
      <c r="H201" s="88">
        <v>0</v>
      </c>
      <c r="I201" s="88">
        <v>0</v>
      </c>
      <c r="J201" s="88">
        <v>0</v>
      </c>
      <c r="K201" s="89">
        <v>0</v>
      </c>
      <c r="L201" s="172">
        <v>0</v>
      </c>
      <c r="M201" s="90">
        <v>0</v>
      </c>
    </row>
    <row r="202" spans="1:13" ht="16.8">
      <c r="A202" s="86">
        <v>15</v>
      </c>
      <c r="B202" s="75" t="s">
        <v>257</v>
      </c>
      <c r="D202" s="87">
        <v>-0.43181154987245485</v>
      </c>
      <c r="E202" s="88">
        <v>-0.39947195996305995</v>
      </c>
      <c r="F202" s="88">
        <v>-0.34734317043598018</v>
      </c>
      <c r="G202" s="88">
        <v>-0.3193206524905472</v>
      </c>
      <c r="H202" s="88">
        <v>-0.31265626882301373</v>
      </c>
      <c r="I202" s="88">
        <v>-0.30799379948941219</v>
      </c>
      <c r="J202" s="88">
        <v>-0.32570922921081308</v>
      </c>
      <c r="K202" s="89">
        <v>-0.31552026220892354</v>
      </c>
      <c r="L202" s="172">
        <v>-2.7598268924942051</v>
      </c>
      <c r="M202" s="90">
        <v>-0.34497836156177564</v>
      </c>
    </row>
    <row r="203" spans="1:13" ht="16.8">
      <c r="A203" s="86">
        <v>16</v>
      </c>
      <c r="B203" s="75" t="s">
        <v>258</v>
      </c>
      <c r="D203" s="87">
        <v>5.0764622252258459E-2</v>
      </c>
      <c r="E203" s="88">
        <v>4.5939681659865533E-2</v>
      </c>
      <c r="F203" s="88">
        <v>4.0903649916555401E-2</v>
      </c>
      <c r="G203" s="88">
        <v>3.5647291784475482E-2</v>
      </c>
      <c r="H203" s="88">
        <v>3.0160967984117021E-2</v>
      </c>
      <c r="I203" s="88">
        <v>2.4434617517492901E-2</v>
      </c>
      <c r="J203" s="88">
        <v>1.8457739217953989E-2</v>
      </c>
      <c r="K203" s="89">
        <v>1.2219372492810243E-2</v>
      </c>
      <c r="L203" s="172">
        <v>0.25852794282552904</v>
      </c>
      <c r="M203" s="90">
        <v>3.2315992853191131E-2</v>
      </c>
    </row>
    <row r="204" spans="1:13" ht="16.8">
      <c r="A204" s="86">
        <v>17</v>
      </c>
      <c r="B204" s="75" t="s">
        <v>259</v>
      </c>
      <c r="D204" s="87">
        <v>0.8125503950547055</v>
      </c>
      <c r="E204" s="88">
        <v>0</v>
      </c>
      <c r="F204" s="88">
        <v>0</v>
      </c>
      <c r="G204" s="88">
        <v>0</v>
      </c>
      <c r="H204" s="88">
        <v>0</v>
      </c>
      <c r="I204" s="88">
        <v>0</v>
      </c>
      <c r="J204" s="88">
        <v>0</v>
      </c>
      <c r="K204" s="89">
        <v>0</v>
      </c>
      <c r="L204" s="172">
        <v>0.8125503950547055</v>
      </c>
      <c r="M204" s="90">
        <v>0.10156879938183819</v>
      </c>
    </row>
    <row r="205" spans="1:13" ht="16.8">
      <c r="A205" s="80"/>
      <c r="B205" s="81" t="s">
        <v>260</v>
      </c>
      <c r="D205" s="91">
        <v>0</v>
      </c>
      <c r="E205" s="92">
        <v>0</v>
      </c>
      <c r="F205" s="92">
        <v>0</v>
      </c>
      <c r="G205" s="92">
        <v>0</v>
      </c>
      <c r="H205" s="92">
        <v>0</v>
      </c>
      <c r="I205" s="92">
        <v>0</v>
      </c>
      <c r="J205" s="92">
        <v>0</v>
      </c>
      <c r="K205" s="93">
        <v>0</v>
      </c>
      <c r="L205" s="184">
        <v>0</v>
      </c>
      <c r="M205" s="94">
        <v>0</v>
      </c>
    </row>
    <row r="206" spans="1:13" ht="16.8">
      <c r="A206" s="86">
        <v>18</v>
      </c>
      <c r="B206" s="75" t="s">
        <v>252</v>
      </c>
      <c r="D206" s="87">
        <v>53.201845223502282</v>
      </c>
      <c r="E206" s="88">
        <v>49.216910764481433</v>
      </c>
      <c r="F206" s="88">
        <v>47.400104616127415</v>
      </c>
      <c r="G206" s="88">
        <v>47.985029916447793</v>
      </c>
      <c r="H206" s="88">
        <v>45.882069994769701</v>
      </c>
      <c r="I206" s="88">
        <v>42.289132635887952</v>
      </c>
      <c r="J206" s="88">
        <v>42.507919174400172</v>
      </c>
      <c r="K206" s="89">
        <v>41.559488852106398</v>
      </c>
      <c r="L206" s="172">
        <v>370.04250117772312</v>
      </c>
      <c r="M206" s="90">
        <v>46.255312647215391</v>
      </c>
    </row>
    <row r="207" spans="1:13" ht="16.8">
      <c r="A207" s="86">
        <v>19</v>
      </c>
      <c r="B207" s="75" t="s">
        <v>253</v>
      </c>
      <c r="D207" s="87">
        <v>0</v>
      </c>
      <c r="E207" s="88">
        <v>0</v>
      </c>
      <c r="F207" s="88">
        <v>0</v>
      </c>
      <c r="G207" s="88">
        <v>0</v>
      </c>
      <c r="H207" s="88">
        <v>0</v>
      </c>
      <c r="I207" s="88">
        <v>0</v>
      </c>
      <c r="J207" s="88">
        <v>0</v>
      </c>
      <c r="K207" s="89">
        <v>0</v>
      </c>
      <c r="L207" s="172">
        <v>0</v>
      </c>
      <c r="M207" s="90">
        <v>0</v>
      </c>
    </row>
    <row r="208" spans="1:13" ht="16.8">
      <c r="A208" s="86">
        <v>20</v>
      </c>
      <c r="B208" s="75" t="s">
        <v>254</v>
      </c>
      <c r="D208" s="87">
        <v>10.545034490842841</v>
      </c>
      <c r="E208" s="88">
        <v>14.663603491005031</v>
      </c>
      <c r="F208" s="88">
        <v>17.295340034061375</v>
      </c>
      <c r="G208" s="88">
        <v>20.254232288252716</v>
      </c>
      <c r="H208" s="88">
        <v>22.902856931965967</v>
      </c>
      <c r="I208" s="88">
        <v>25.50396696206866</v>
      </c>
      <c r="J208" s="88">
        <v>27.460058274992043</v>
      </c>
      <c r="K208" s="89">
        <v>27.613584175011756</v>
      </c>
      <c r="L208" s="172">
        <v>166.2386766482004</v>
      </c>
      <c r="M208" s="90">
        <v>20.77983458102505</v>
      </c>
    </row>
    <row r="209" spans="1:13" ht="16.8">
      <c r="A209" s="86">
        <v>21</v>
      </c>
      <c r="B209" s="75" t="s">
        <v>255</v>
      </c>
      <c r="D209" s="87">
        <v>2.6533946981660899</v>
      </c>
      <c r="E209" s="88">
        <v>3.2683496725061318</v>
      </c>
      <c r="F209" s="88">
        <v>3.8062917018221989</v>
      </c>
      <c r="G209" s="88">
        <v>4.2120538648181682</v>
      </c>
      <c r="H209" s="88">
        <v>4.4827667523273327</v>
      </c>
      <c r="I209" s="88">
        <v>4.5737224057117825</v>
      </c>
      <c r="J209" s="88">
        <v>4.5265817063507203</v>
      </c>
      <c r="K209" s="89">
        <v>4.4259721917944317</v>
      </c>
      <c r="L209" s="172">
        <v>31.949132993496857</v>
      </c>
      <c r="M209" s="90">
        <v>3.9936416241871071</v>
      </c>
    </row>
    <row r="210" spans="1:13" ht="16.8">
      <c r="A210" s="86">
        <v>22</v>
      </c>
      <c r="B210" s="75" t="s">
        <v>256</v>
      </c>
      <c r="D210" s="87">
        <v>0</v>
      </c>
      <c r="E210" s="88">
        <v>0</v>
      </c>
      <c r="F210" s="88">
        <v>0</v>
      </c>
      <c r="G210" s="88">
        <v>0</v>
      </c>
      <c r="H210" s="88">
        <v>0</v>
      </c>
      <c r="I210" s="88">
        <v>0</v>
      </c>
      <c r="J210" s="88">
        <v>0</v>
      </c>
      <c r="K210" s="89">
        <v>0</v>
      </c>
      <c r="L210" s="172">
        <v>0</v>
      </c>
      <c r="M210" s="90">
        <v>0</v>
      </c>
    </row>
    <row r="211" spans="1:13" ht="16.8">
      <c r="A211" s="86">
        <v>23</v>
      </c>
      <c r="B211" s="75" t="s">
        <v>257</v>
      </c>
      <c r="D211" s="87">
        <v>-0.43181154987245485</v>
      </c>
      <c r="E211" s="88">
        <v>-0.39947195996305995</v>
      </c>
      <c r="F211" s="88">
        <v>-0.34734317043598018</v>
      </c>
      <c r="G211" s="88">
        <v>-0.3193206524905472</v>
      </c>
      <c r="H211" s="88">
        <v>-0.31265626882301373</v>
      </c>
      <c r="I211" s="88">
        <v>-0.30799379948941219</v>
      </c>
      <c r="J211" s="88">
        <v>-0.32570922921081308</v>
      </c>
      <c r="K211" s="89">
        <v>-0.31552026220892354</v>
      </c>
      <c r="L211" s="172">
        <v>-2.7598268924942051</v>
      </c>
      <c r="M211" s="90">
        <v>-0.34497836156177564</v>
      </c>
    </row>
    <row r="212" spans="1:13" ht="16.8">
      <c r="A212" s="86">
        <v>24</v>
      </c>
      <c r="B212" s="75" t="s">
        <v>258</v>
      </c>
      <c r="D212" s="87">
        <v>3.9103544010668671E-2</v>
      </c>
      <c r="E212" s="88">
        <v>3.3783007593008181E-2</v>
      </c>
      <c r="F212" s="88">
        <v>2.8230317201856609E-2</v>
      </c>
      <c r="G212" s="88">
        <v>2.243534242940199E-2</v>
      </c>
      <c r="H212" s="88">
        <v>1.638751078145291E-2</v>
      </c>
      <c r="I212" s="88">
        <v>1.0075788383715565E-2</v>
      </c>
      <c r="J212" s="88">
        <v>3.4886598459911173E-3</v>
      </c>
      <c r="K212" s="89">
        <v>-3.3858927524610515E-3</v>
      </c>
      <c r="L212" s="172">
        <v>0.15011827749363402</v>
      </c>
      <c r="M212" s="90">
        <v>1.8764784686704252E-2</v>
      </c>
    </row>
    <row r="213" spans="1:13" ht="16.8">
      <c r="A213" s="86">
        <v>25</v>
      </c>
      <c r="B213" s="75" t="s">
        <v>259</v>
      </c>
      <c r="D213" s="87">
        <v>0.78916947686278716</v>
      </c>
      <c r="E213" s="88">
        <v>0</v>
      </c>
      <c r="F213" s="88">
        <v>0</v>
      </c>
      <c r="G213" s="88">
        <v>0</v>
      </c>
      <c r="H213" s="88">
        <v>0</v>
      </c>
      <c r="I213" s="88">
        <v>0</v>
      </c>
      <c r="J213" s="88">
        <v>0</v>
      </c>
      <c r="K213" s="89">
        <v>0</v>
      </c>
      <c r="L213" s="172">
        <v>0.78916947686278716</v>
      </c>
      <c r="M213" s="90">
        <v>9.8646184607848394E-2</v>
      </c>
    </row>
    <row r="214" spans="1:13" ht="16.8">
      <c r="A214" s="80"/>
      <c r="B214" s="81" t="s">
        <v>261</v>
      </c>
      <c r="D214" s="91">
        <v>0</v>
      </c>
      <c r="E214" s="92">
        <v>0</v>
      </c>
      <c r="F214" s="92">
        <v>0</v>
      </c>
      <c r="G214" s="92">
        <v>0</v>
      </c>
      <c r="H214" s="92">
        <v>0</v>
      </c>
      <c r="I214" s="92">
        <v>0</v>
      </c>
      <c r="J214" s="92">
        <v>0</v>
      </c>
      <c r="K214" s="93">
        <v>0</v>
      </c>
      <c r="L214" s="91">
        <v>0</v>
      </c>
      <c r="M214" s="184">
        <v>0</v>
      </c>
    </row>
    <row r="215" spans="1:13" ht="16.8">
      <c r="A215" s="86">
        <v>26</v>
      </c>
      <c r="B215" s="75" t="s">
        <v>262</v>
      </c>
      <c r="D215" s="87">
        <v>66.893712056086201</v>
      </c>
      <c r="E215" s="88">
        <v>67.429191577201763</v>
      </c>
      <c r="F215" s="88">
        <v>68.82661899796868</v>
      </c>
      <c r="G215" s="88">
        <v>72.79260504510404</v>
      </c>
      <c r="H215" s="88">
        <v>73.599926978535336</v>
      </c>
      <c r="I215" s="88">
        <v>72.682590016069625</v>
      </c>
      <c r="J215" s="88">
        <v>74.76721766777959</v>
      </c>
      <c r="K215" s="89">
        <v>73.854682624001015</v>
      </c>
      <c r="L215" s="172">
        <v>570.84654496274629</v>
      </c>
      <c r="M215" s="90">
        <v>71.355818120343287</v>
      </c>
    </row>
    <row r="216" spans="1:13" ht="16.8">
      <c r="A216" s="86">
        <v>27</v>
      </c>
      <c r="B216" s="75" t="s">
        <v>312</v>
      </c>
      <c r="D216" s="87">
        <v>0</v>
      </c>
      <c r="E216" s="88">
        <v>-0.74723548170331355</v>
      </c>
      <c r="F216" s="88">
        <v>0</v>
      </c>
      <c r="G216" s="88">
        <v>0</v>
      </c>
      <c r="H216" s="88">
        <v>0</v>
      </c>
      <c r="I216" s="88">
        <v>0</v>
      </c>
      <c r="J216" s="88">
        <v>0</v>
      </c>
      <c r="K216" s="88">
        <v>0</v>
      </c>
      <c r="L216" s="172">
        <v>-0.74723548170331355</v>
      </c>
      <c r="M216" s="90">
        <v>-9.3404435212914194E-2</v>
      </c>
    </row>
    <row r="217" spans="1:13" ht="16.8">
      <c r="A217" s="86">
        <v>28</v>
      </c>
      <c r="B217" s="75" t="s">
        <v>264</v>
      </c>
      <c r="D217" s="96">
        <v>66.893712056086201</v>
      </c>
      <c r="E217" s="88">
        <v>66.68195609549845</v>
      </c>
      <c r="F217" s="88">
        <v>68.82661899796868</v>
      </c>
      <c r="G217" s="88">
        <v>72.79260504510404</v>
      </c>
      <c r="H217" s="88">
        <v>73.599926978535336</v>
      </c>
      <c r="I217" s="88">
        <v>72.682590016069625</v>
      </c>
      <c r="J217" s="88">
        <v>74.76721766777959</v>
      </c>
      <c r="K217" s="88">
        <v>73.854682624001015</v>
      </c>
      <c r="L217" s="172">
        <v>570.09930948104295</v>
      </c>
      <c r="M217" s="90">
        <v>71.262413685130369</v>
      </c>
    </row>
    <row r="218" spans="1:13" ht="16.8">
      <c r="A218" s="86">
        <v>29</v>
      </c>
      <c r="B218" s="75" t="s">
        <v>265</v>
      </c>
      <c r="D218" s="96">
        <v>0</v>
      </c>
      <c r="E218" s="88">
        <v>0</v>
      </c>
      <c r="F218" s="88">
        <v>0</v>
      </c>
      <c r="G218" s="88">
        <v>0</v>
      </c>
      <c r="H218" s="88">
        <v>0</v>
      </c>
      <c r="I218" s="88">
        <v>0</v>
      </c>
      <c r="J218" s="88">
        <v>0</v>
      </c>
      <c r="K218" s="88">
        <v>0</v>
      </c>
      <c r="L218" s="172">
        <v>0</v>
      </c>
      <c r="M218" s="90">
        <v>0</v>
      </c>
    </row>
    <row r="219" spans="1:13" ht="16.8">
      <c r="A219" s="86">
        <v>30</v>
      </c>
      <c r="B219" s="75" t="s">
        <v>277</v>
      </c>
      <c r="D219" s="96">
        <v>94.224999999999994</v>
      </c>
      <c r="E219" s="88">
        <v>87.484999999999999</v>
      </c>
      <c r="F219" s="88">
        <v>79.322999999999993</v>
      </c>
      <c r="G219" s="88">
        <v>58.722999999999999</v>
      </c>
      <c r="H219" s="88">
        <v>3.3000000000000002E-2</v>
      </c>
      <c r="I219" s="88">
        <v>3.3000000000000002E-2</v>
      </c>
      <c r="J219" s="88">
        <v>0</v>
      </c>
      <c r="K219" s="88">
        <v>0</v>
      </c>
      <c r="L219" s="172">
        <v>319.822</v>
      </c>
      <c r="M219" s="90">
        <v>39.97775</v>
      </c>
    </row>
    <row r="220" spans="1:13" ht="16.8">
      <c r="A220" s="86">
        <v>31</v>
      </c>
      <c r="B220" s="75" t="s">
        <v>266</v>
      </c>
      <c r="D220" s="96">
        <v>0</v>
      </c>
      <c r="E220" s="88">
        <v>0</v>
      </c>
      <c r="F220" s="88">
        <v>0</v>
      </c>
      <c r="G220" s="88">
        <v>0</v>
      </c>
      <c r="H220" s="88">
        <v>0</v>
      </c>
      <c r="I220" s="88">
        <v>0</v>
      </c>
      <c r="J220" s="88">
        <v>0</v>
      </c>
      <c r="K220" s="88">
        <v>0</v>
      </c>
      <c r="L220" s="172">
        <v>0</v>
      </c>
      <c r="M220" s="90">
        <v>0</v>
      </c>
    </row>
    <row r="221" spans="1:13" ht="16.8">
      <c r="A221" s="86">
        <v>32</v>
      </c>
      <c r="B221" s="75" t="s">
        <v>267</v>
      </c>
      <c r="D221" s="96">
        <v>161.1187120560862</v>
      </c>
      <c r="E221" s="88">
        <v>154.16695609549845</v>
      </c>
      <c r="F221" s="88">
        <v>148.14961899796867</v>
      </c>
      <c r="G221" s="88">
        <v>131.51560504510405</v>
      </c>
      <c r="H221" s="88">
        <v>73.632926978535338</v>
      </c>
      <c r="I221" s="88">
        <v>72.715590016069626</v>
      </c>
      <c r="J221" s="88">
        <v>74.76721766777959</v>
      </c>
      <c r="K221" s="88">
        <v>73.854682624001015</v>
      </c>
      <c r="L221" s="172">
        <v>889.92130948104307</v>
      </c>
      <c r="M221" s="90">
        <v>111.24016368513038</v>
      </c>
    </row>
    <row r="222" spans="1:13" ht="16.8">
      <c r="A222" s="80"/>
      <c r="B222" s="81" t="s">
        <v>268</v>
      </c>
      <c r="D222" s="91">
        <v>0</v>
      </c>
      <c r="E222" s="92">
        <v>0</v>
      </c>
      <c r="F222" s="92">
        <v>0</v>
      </c>
      <c r="G222" s="92">
        <v>0</v>
      </c>
      <c r="H222" s="92">
        <v>0</v>
      </c>
      <c r="I222" s="92">
        <v>0</v>
      </c>
      <c r="J222" s="92">
        <v>0</v>
      </c>
      <c r="K222" s="93">
        <v>0</v>
      </c>
      <c r="L222" s="91">
        <v>0</v>
      </c>
      <c r="M222" s="184">
        <v>0</v>
      </c>
    </row>
    <row r="223" spans="1:13" ht="16.8">
      <c r="A223" s="86">
        <v>33</v>
      </c>
      <c r="B223" s="75" t="s">
        <v>268</v>
      </c>
      <c r="D223" s="87">
        <v>66.796735883512227</v>
      </c>
      <c r="E223" s="88">
        <v>66.783174975622529</v>
      </c>
      <c r="F223" s="88">
        <v>68.182623498776877</v>
      </c>
      <c r="G223" s="88">
        <v>72.15443075945754</v>
      </c>
      <c r="H223" s="88">
        <v>72.971424921021438</v>
      </c>
      <c r="I223" s="88">
        <v>72.068903992562696</v>
      </c>
      <c r="J223" s="88">
        <v>74.172338586378103</v>
      </c>
      <c r="K223" s="89">
        <v>73.280139063951196</v>
      </c>
      <c r="L223" s="172">
        <v>566.40977168128256</v>
      </c>
      <c r="M223" s="90">
        <v>70.80122146016032</v>
      </c>
    </row>
    <row r="224" spans="1:13" ht="16.8">
      <c r="A224" s="86">
        <v>34</v>
      </c>
      <c r="B224" s="75" t="s">
        <v>269</v>
      </c>
      <c r="D224" s="87">
        <v>66.893712056086201</v>
      </c>
      <c r="E224" s="88">
        <v>67.429191577201763</v>
      </c>
      <c r="F224" s="88">
        <v>68.82661899796868</v>
      </c>
      <c r="G224" s="88">
        <v>72.79260504510404</v>
      </c>
      <c r="H224" s="88">
        <v>73.599926978535336</v>
      </c>
      <c r="I224" s="88">
        <v>72.682590016069625</v>
      </c>
      <c r="J224" s="88">
        <v>74.76721766777959</v>
      </c>
      <c r="K224" s="89">
        <v>73.854682624001015</v>
      </c>
      <c r="L224" s="172">
        <v>570.84654496274629</v>
      </c>
      <c r="M224" s="90">
        <v>71.355818120343287</v>
      </c>
    </row>
    <row r="225" spans="1:13" ht="16.8">
      <c r="A225" s="80"/>
      <c r="B225" s="81" t="s">
        <v>270</v>
      </c>
      <c r="D225" s="91">
        <v>0</v>
      </c>
      <c r="E225" s="92">
        <v>0</v>
      </c>
      <c r="F225" s="92">
        <v>0</v>
      </c>
      <c r="G225" s="92">
        <v>0</v>
      </c>
      <c r="H225" s="92">
        <v>0</v>
      </c>
      <c r="I225" s="92">
        <v>0</v>
      </c>
      <c r="J225" s="92">
        <v>0</v>
      </c>
      <c r="K225" s="93">
        <v>0</v>
      </c>
      <c r="L225" s="91">
        <v>0</v>
      </c>
      <c r="M225" s="184">
        <v>0</v>
      </c>
    </row>
    <row r="226" spans="1:13" ht="16.8">
      <c r="A226" s="86">
        <v>35</v>
      </c>
      <c r="B226" s="98">
        <v>41729</v>
      </c>
      <c r="D226" s="96">
        <v>66.893712056086201</v>
      </c>
      <c r="E226" s="88">
        <v>67.429191577201763</v>
      </c>
      <c r="F226" s="88">
        <v>68.82661899796868</v>
      </c>
      <c r="G226" s="88">
        <v>72.79260504510404</v>
      </c>
      <c r="H226" s="88">
        <v>73.599926978535336</v>
      </c>
      <c r="I226" s="88">
        <v>72.682590016069625</v>
      </c>
      <c r="J226" s="88">
        <v>74.76721766777959</v>
      </c>
      <c r="K226" s="88">
        <v>73.854682624001015</v>
      </c>
      <c r="L226" s="172">
        <v>570.84654496274629</v>
      </c>
      <c r="M226" s="90">
        <v>71.355818120343287</v>
      </c>
    </row>
    <row r="227" spans="1:13" ht="16.8">
      <c r="A227" s="86">
        <v>36</v>
      </c>
      <c r="B227" s="98">
        <v>42094</v>
      </c>
      <c r="D227" s="96">
        <v>66.796735883512227</v>
      </c>
      <c r="E227" s="88">
        <v>66.783174975622529</v>
      </c>
      <c r="F227" s="88">
        <v>68.182623498776877</v>
      </c>
      <c r="G227" s="88">
        <v>72.15443075945754</v>
      </c>
      <c r="H227" s="88">
        <v>72.971424921021438</v>
      </c>
      <c r="I227" s="88">
        <v>72.068903992562696</v>
      </c>
      <c r="J227" s="88">
        <v>74.172338586378103</v>
      </c>
      <c r="K227" s="88">
        <v>73.280139063951196</v>
      </c>
      <c r="L227" s="172">
        <v>566.40977168128256</v>
      </c>
      <c r="M227" s="90">
        <v>70.80122146016032</v>
      </c>
    </row>
    <row r="228" spans="1:13" ht="16.8">
      <c r="A228" s="86">
        <v>37</v>
      </c>
      <c r="B228" s="98">
        <v>42460</v>
      </c>
      <c r="D228" s="96">
        <v>0</v>
      </c>
      <c r="E228" s="88">
        <v>0</v>
      </c>
      <c r="F228" s="88">
        <v>0</v>
      </c>
      <c r="G228" s="88">
        <v>0</v>
      </c>
      <c r="H228" s="88">
        <v>0</v>
      </c>
      <c r="I228" s="88">
        <v>0</v>
      </c>
      <c r="J228" s="88">
        <v>0</v>
      </c>
      <c r="K228" s="88">
        <v>0</v>
      </c>
      <c r="L228" s="172">
        <v>0</v>
      </c>
      <c r="M228" s="90">
        <v>0</v>
      </c>
    </row>
    <row r="229" spans="1:13" ht="16.8">
      <c r="A229" s="86">
        <v>38</v>
      </c>
      <c r="B229" s="98">
        <v>42825</v>
      </c>
      <c r="D229" s="96">
        <v>0</v>
      </c>
      <c r="E229" s="88">
        <v>0</v>
      </c>
      <c r="F229" s="88">
        <v>0</v>
      </c>
      <c r="G229" s="88">
        <v>0</v>
      </c>
      <c r="H229" s="88">
        <v>0</v>
      </c>
      <c r="I229" s="88">
        <v>0</v>
      </c>
      <c r="J229" s="88">
        <v>0</v>
      </c>
      <c r="K229" s="88">
        <v>0</v>
      </c>
      <c r="L229" s="172">
        <v>0</v>
      </c>
      <c r="M229" s="90">
        <v>0</v>
      </c>
    </row>
    <row r="230" spans="1:13" ht="16.8">
      <c r="A230" s="86">
        <v>39</v>
      </c>
      <c r="B230" s="98">
        <v>43190</v>
      </c>
      <c r="D230" s="96">
        <v>0</v>
      </c>
      <c r="E230" s="88">
        <v>0</v>
      </c>
      <c r="F230" s="88">
        <v>0</v>
      </c>
      <c r="G230" s="88">
        <v>0</v>
      </c>
      <c r="H230" s="88">
        <v>0</v>
      </c>
      <c r="I230" s="88">
        <v>0</v>
      </c>
      <c r="J230" s="88">
        <v>0</v>
      </c>
      <c r="K230" s="88">
        <v>0</v>
      </c>
      <c r="L230" s="172">
        <v>0</v>
      </c>
      <c r="M230" s="90">
        <v>0</v>
      </c>
    </row>
    <row r="231" spans="1:13" ht="16.8">
      <c r="A231" s="86">
        <v>40</v>
      </c>
      <c r="B231" s="98">
        <v>43555</v>
      </c>
      <c r="D231" s="96">
        <v>0</v>
      </c>
      <c r="E231" s="88">
        <v>0</v>
      </c>
      <c r="F231" s="88">
        <v>0</v>
      </c>
      <c r="G231" s="88">
        <v>0</v>
      </c>
      <c r="H231" s="88">
        <v>0</v>
      </c>
      <c r="I231" s="88">
        <v>0</v>
      </c>
      <c r="J231" s="88">
        <v>0</v>
      </c>
      <c r="K231" s="88">
        <v>0</v>
      </c>
      <c r="L231" s="172">
        <v>0</v>
      </c>
      <c r="M231" s="90">
        <v>0</v>
      </c>
    </row>
    <row r="232" spans="1:13" ht="16.8">
      <c r="A232" s="86">
        <v>41</v>
      </c>
      <c r="B232" s="98">
        <v>43921</v>
      </c>
      <c r="D232" s="96">
        <v>0</v>
      </c>
      <c r="E232" s="88">
        <v>0</v>
      </c>
      <c r="F232" s="88">
        <v>0</v>
      </c>
      <c r="G232" s="88">
        <v>0</v>
      </c>
      <c r="H232" s="88">
        <v>0</v>
      </c>
      <c r="I232" s="88">
        <v>0</v>
      </c>
      <c r="J232" s="88">
        <v>0</v>
      </c>
      <c r="K232" s="88">
        <v>0</v>
      </c>
      <c r="L232" s="172">
        <v>0</v>
      </c>
      <c r="M232" s="90">
        <v>0</v>
      </c>
    </row>
    <row r="233" spans="1:13" ht="17.399999999999999" thickBot="1">
      <c r="A233" s="103">
        <v>42</v>
      </c>
      <c r="B233" s="211">
        <v>44286</v>
      </c>
      <c r="D233" s="214">
        <v>0</v>
      </c>
      <c r="E233" s="106">
        <v>0</v>
      </c>
      <c r="F233" s="106">
        <v>0</v>
      </c>
      <c r="G233" s="106">
        <v>0</v>
      </c>
      <c r="H233" s="106">
        <v>0</v>
      </c>
      <c r="I233" s="106">
        <v>0</v>
      </c>
      <c r="J233" s="106">
        <v>0</v>
      </c>
      <c r="K233" s="106">
        <v>0</v>
      </c>
      <c r="L233" s="215">
        <v>0</v>
      </c>
      <c r="M233" s="108">
        <v>0</v>
      </c>
    </row>
    <row r="234" spans="1:13" ht="16.8">
      <c r="A234" s="80"/>
      <c r="B234" s="81" t="s">
        <v>313</v>
      </c>
      <c r="D234" s="91">
        <v>0</v>
      </c>
      <c r="E234" s="92">
        <v>0</v>
      </c>
      <c r="F234" s="92">
        <v>0</v>
      </c>
      <c r="G234" s="92">
        <v>0</v>
      </c>
      <c r="H234" s="92">
        <v>0</v>
      </c>
      <c r="I234" s="97">
        <v>0</v>
      </c>
      <c r="J234" s="92">
        <v>0</v>
      </c>
      <c r="K234" s="93">
        <v>0</v>
      </c>
      <c r="L234" s="95">
        <v>0</v>
      </c>
      <c r="M234" s="184">
        <v>0</v>
      </c>
    </row>
    <row r="235" spans="1:13" ht="16.8">
      <c r="A235" s="86">
        <v>43</v>
      </c>
      <c r="B235" s="98">
        <v>41729</v>
      </c>
      <c r="D235" s="96">
        <v>0</v>
      </c>
      <c r="E235" s="88">
        <v>0</v>
      </c>
      <c r="F235" s="88">
        <v>0</v>
      </c>
      <c r="G235" s="88">
        <v>0</v>
      </c>
      <c r="H235" s="88">
        <v>0</v>
      </c>
      <c r="I235" s="88">
        <v>0</v>
      </c>
      <c r="J235" s="88">
        <v>0</v>
      </c>
      <c r="K235" s="89">
        <v>0</v>
      </c>
      <c r="L235" s="90">
        <v>0</v>
      </c>
      <c r="M235" s="90">
        <v>0</v>
      </c>
    </row>
    <row r="236" spans="1:13" ht="16.8">
      <c r="A236" s="86">
        <v>44</v>
      </c>
      <c r="B236" s="98">
        <v>42094</v>
      </c>
      <c r="D236" s="96">
        <v>0</v>
      </c>
      <c r="E236" s="88">
        <v>-0.74723548170331355</v>
      </c>
      <c r="F236" s="88">
        <v>0</v>
      </c>
      <c r="G236" s="88">
        <v>0</v>
      </c>
      <c r="H236" s="88">
        <v>0</v>
      </c>
      <c r="I236" s="88">
        <v>0</v>
      </c>
      <c r="J236" s="88">
        <v>0</v>
      </c>
      <c r="K236" s="89">
        <v>0</v>
      </c>
      <c r="L236" s="90">
        <v>-0.74723548170331355</v>
      </c>
      <c r="M236" s="90">
        <v>0</v>
      </c>
    </row>
    <row r="237" spans="1:13" ht="16.8">
      <c r="A237" s="86">
        <v>45</v>
      </c>
      <c r="B237" s="98">
        <v>42460</v>
      </c>
      <c r="D237" s="96">
        <v>0</v>
      </c>
      <c r="E237" s="88">
        <v>0</v>
      </c>
      <c r="F237" s="88">
        <v>0</v>
      </c>
      <c r="G237" s="88">
        <v>0</v>
      </c>
      <c r="H237" s="88">
        <v>0</v>
      </c>
      <c r="I237" s="88">
        <v>0</v>
      </c>
      <c r="J237" s="88">
        <v>0</v>
      </c>
      <c r="K237" s="89">
        <v>0</v>
      </c>
      <c r="L237" s="90">
        <v>0</v>
      </c>
      <c r="M237" s="90">
        <v>0</v>
      </c>
    </row>
    <row r="238" spans="1:13" ht="16.8">
      <c r="A238" s="86">
        <v>46</v>
      </c>
      <c r="B238" s="98">
        <v>42825</v>
      </c>
      <c r="D238" s="96">
        <v>0</v>
      </c>
      <c r="E238" s="88">
        <v>0</v>
      </c>
      <c r="F238" s="88">
        <v>0</v>
      </c>
      <c r="G238" s="88">
        <v>0</v>
      </c>
      <c r="H238" s="88">
        <v>0</v>
      </c>
      <c r="I238" s="88">
        <v>0</v>
      </c>
      <c r="J238" s="88">
        <v>0</v>
      </c>
      <c r="K238" s="89">
        <v>0</v>
      </c>
      <c r="L238" s="90">
        <v>0</v>
      </c>
      <c r="M238" s="90">
        <v>0</v>
      </c>
    </row>
    <row r="239" spans="1:13" ht="16.8">
      <c r="A239" s="86">
        <v>47</v>
      </c>
      <c r="B239" s="98">
        <v>43190</v>
      </c>
      <c r="D239" s="96">
        <v>0</v>
      </c>
      <c r="E239" s="88">
        <v>0</v>
      </c>
      <c r="F239" s="88">
        <v>0</v>
      </c>
      <c r="G239" s="88">
        <v>0</v>
      </c>
      <c r="H239" s="88">
        <v>0</v>
      </c>
      <c r="I239" s="88">
        <v>0</v>
      </c>
      <c r="J239" s="88">
        <v>0</v>
      </c>
      <c r="K239" s="89">
        <v>0</v>
      </c>
      <c r="L239" s="90">
        <v>0</v>
      </c>
      <c r="M239" s="90">
        <v>0</v>
      </c>
    </row>
    <row r="240" spans="1:13" ht="16.8">
      <c r="A240" s="86">
        <v>48</v>
      </c>
      <c r="B240" s="98">
        <v>43555</v>
      </c>
      <c r="D240" s="96">
        <v>0</v>
      </c>
      <c r="E240" s="88">
        <v>0</v>
      </c>
      <c r="F240" s="88">
        <v>0</v>
      </c>
      <c r="G240" s="88">
        <v>0</v>
      </c>
      <c r="H240" s="88">
        <v>0</v>
      </c>
      <c r="I240" s="88">
        <v>0</v>
      </c>
      <c r="J240" s="88">
        <v>0</v>
      </c>
      <c r="K240" s="89">
        <v>0</v>
      </c>
      <c r="L240" s="90">
        <v>0</v>
      </c>
      <c r="M240" s="90">
        <v>0</v>
      </c>
    </row>
    <row r="241" spans="1:13" ht="16.8">
      <c r="A241" s="86">
        <v>49</v>
      </c>
      <c r="B241" s="98">
        <v>43921</v>
      </c>
      <c r="D241" s="96">
        <v>0</v>
      </c>
      <c r="E241" s="88">
        <v>0</v>
      </c>
      <c r="F241" s="88">
        <v>0</v>
      </c>
      <c r="G241" s="88">
        <v>0</v>
      </c>
      <c r="H241" s="88">
        <v>0</v>
      </c>
      <c r="I241" s="88">
        <v>0</v>
      </c>
      <c r="J241" s="88">
        <v>0</v>
      </c>
      <c r="K241" s="89">
        <v>0</v>
      </c>
      <c r="L241" s="90">
        <v>0</v>
      </c>
      <c r="M241" s="90">
        <v>0</v>
      </c>
    </row>
    <row r="242" spans="1:13" ht="16.8">
      <c r="A242" s="86">
        <v>50</v>
      </c>
      <c r="B242" s="98">
        <v>44286</v>
      </c>
      <c r="D242" s="96">
        <v>0</v>
      </c>
      <c r="E242" s="88">
        <v>0</v>
      </c>
      <c r="F242" s="88">
        <v>0</v>
      </c>
      <c r="G242" s="88">
        <v>0</v>
      </c>
      <c r="H242" s="88">
        <v>0</v>
      </c>
      <c r="I242" s="88">
        <v>0</v>
      </c>
      <c r="J242" s="88">
        <v>0</v>
      </c>
      <c r="K242" s="89">
        <v>0</v>
      </c>
      <c r="L242" s="90">
        <v>0</v>
      </c>
      <c r="M242" s="90">
        <v>0</v>
      </c>
    </row>
    <row r="243" spans="1:13" ht="16.8">
      <c r="A243" s="80"/>
      <c r="B243" s="81" t="s">
        <v>314</v>
      </c>
      <c r="D243" s="91">
        <v>0</v>
      </c>
      <c r="E243" s="92">
        <v>0</v>
      </c>
      <c r="F243" s="92">
        <v>0</v>
      </c>
      <c r="G243" s="92">
        <v>0</v>
      </c>
      <c r="H243" s="92">
        <v>0</v>
      </c>
      <c r="I243" s="97">
        <v>0</v>
      </c>
      <c r="J243" s="92">
        <v>0</v>
      </c>
      <c r="K243" s="93">
        <v>0</v>
      </c>
      <c r="L243" s="91">
        <v>0</v>
      </c>
      <c r="M243" s="184">
        <v>0</v>
      </c>
    </row>
    <row r="244" spans="1:13" ht="16.8">
      <c r="A244" s="86">
        <v>51</v>
      </c>
      <c r="B244" s="75" t="s">
        <v>273</v>
      </c>
      <c r="D244" s="87">
        <v>60.649021672367773</v>
      </c>
      <c r="E244" s="88">
        <v>76.902345235438389</v>
      </c>
      <c r="F244" s="88">
        <v>89.559804748757614</v>
      </c>
      <c r="G244" s="88">
        <v>99.10714976042749</v>
      </c>
      <c r="H244" s="88">
        <v>105.47686476064311</v>
      </c>
      <c r="I244" s="88">
        <v>107.6169977814537</v>
      </c>
      <c r="J244" s="88">
        <v>106.50780485531106</v>
      </c>
      <c r="K244" s="89">
        <v>104.14052215986896</v>
      </c>
      <c r="L244" s="90">
        <v>749.96051097426812</v>
      </c>
      <c r="M244" s="90">
        <v>93.745063871783515</v>
      </c>
    </row>
    <row r="245" spans="1:13" ht="16.8">
      <c r="A245" s="86">
        <v>52</v>
      </c>
      <c r="B245" s="75" t="s">
        <v>26</v>
      </c>
      <c r="D245" s="216">
        <v>0.625</v>
      </c>
      <c r="E245" s="217">
        <v>0.625</v>
      </c>
      <c r="F245" s="217">
        <v>0.625</v>
      </c>
      <c r="G245" s="217">
        <v>0.625</v>
      </c>
      <c r="H245" s="217">
        <v>0.625</v>
      </c>
      <c r="I245" s="217">
        <v>0.625</v>
      </c>
      <c r="J245" s="217">
        <v>0.625</v>
      </c>
      <c r="K245" s="218">
        <v>0.625</v>
      </c>
      <c r="L245" s="219">
        <v>0.625</v>
      </c>
      <c r="M245" s="219">
        <v>0.625</v>
      </c>
    </row>
    <row r="246" spans="1:13" ht="16.8">
      <c r="A246" s="86">
        <v>53</v>
      </c>
      <c r="B246" s="75" t="s">
        <v>274</v>
      </c>
      <c r="D246" s="87">
        <v>22.743383127137914</v>
      </c>
      <c r="E246" s="88">
        <v>28.838379463289396</v>
      </c>
      <c r="F246" s="88">
        <v>33.584926780784102</v>
      </c>
      <c r="G246" s="88">
        <v>37.165181160160309</v>
      </c>
      <c r="H246" s="88">
        <v>39.553824285241163</v>
      </c>
      <c r="I246" s="88">
        <v>40.356374168045136</v>
      </c>
      <c r="J246" s="88">
        <v>39.940426820741649</v>
      </c>
      <c r="K246" s="89">
        <v>39.052695809950862</v>
      </c>
      <c r="L246" s="90">
        <v>281.23519161535057</v>
      </c>
      <c r="M246" s="90">
        <v>35.154398951918822</v>
      </c>
    </row>
    <row r="247" spans="1:13" ht="16.8">
      <c r="A247" s="86">
        <v>54</v>
      </c>
      <c r="B247" s="75" t="s">
        <v>275</v>
      </c>
      <c r="D247" s="87">
        <v>1.1068446455207117</v>
      </c>
      <c r="E247" s="88">
        <v>1.3073398690024527</v>
      </c>
      <c r="F247" s="88">
        <v>1.5225166807288797</v>
      </c>
      <c r="G247" s="88">
        <v>1.6848215459272675</v>
      </c>
      <c r="H247" s="88">
        <v>1.7931067009309332</v>
      </c>
      <c r="I247" s="88">
        <v>1.8294889622847132</v>
      </c>
      <c r="J247" s="88">
        <v>1.8106326825402883</v>
      </c>
      <c r="K247" s="89">
        <v>1.7703888767177725</v>
      </c>
      <c r="L247" s="90">
        <v>12.825139963653021</v>
      </c>
      <c r="M247" s="90">
        <v>1.6031424954566276</v>
      </c>
    </row>
    <row r="248" spans="1:13" ht="17.399999999999999" thickBot="1">
      <c r="A248" s="103">
        <v>55</v>
      </c>
      <c r="B248" s="104" t="s">
        <v>276</v>
      </c>
      <c r="D248" s="105">
        <v>1.5465500526453781</v>
      </c>
      <c r="E248" s="106">
        <v>1.9610098035036791</v>
      </c>
      <c r="F248" s="106">
        <v>2.2837750210933194</v>
      </c>
      <c r="G248" s="106">
        <v>2.5272323188909009</v>
      </c>
      <c r="H248" s="106">
        <v>2.6896600513963995</v>
      </c>
      <c r="I248" s="106">
        <v>2.7442334434270692</v>
      </c>
      <c r="J248" s="106">
        <v>2.715949023810432</v>
      </c>
      <c r="K248" s="107">
        <v>2.655583315076659</v>
      </c>
      <c r="L248" s="108">
        <v>19.123993029843835</v>
      </c>
      <c r="M248" s="108">
        <v>2.3904991287304793</v>
      </c>
    </row>
  </sheetData>
  <pageMargins left="0.7" right="0.7" top="0.75" bottom="0.75" header="0.3" footer="0.3"/>
  <pageSetup paperSize="9" orientation="portrait"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7" tint="-0.249977111117893"/>
  </sheetPr>
  <dimension ref="A1:AM153"/>
  <sheetViews>
    <sheetView topLeftCell="A36" workbookViewId="0">
      <pane xSplit="3" topLeftCell="D1" activePane="topRight" state="frozen"/>
      <selection activeCell="H35" sqref="H35"/>
      <selection pane="topRight" activeCell="I127" sqref="I127"/>
    </sheetView>
  </sheetViews>
  <sheetFormatPr defaultRowHeight="13.2"/>
  <cols>
    <col min="2" max="2" width="1.6640625" customWidth="1"/>
    <col min="3" max="3" width="38.88671875" customWidth="1"/>
    <col min="4" max="12" width="10.6640625" customWidth="1"/>
    <col min="14" max="14" width="7.5546875" customWidth="1"/>
    <col min="19" max="19" width="32.44140625" customWidth="1"/>
    <col min="29" max="29" width="5.5546875" bestFit="1" customWidth="1"/>
  </cols>
  <sheetData>
    <row r="1" spans="1:24" ht="13.8" thickBot="1"/>
    <row r="2" spans="1:24" ht="63" thickBot="1">
      <c r="A2" s="38" t="s">
        <v>411</v>
      </c>
      <c r="C2" s="1" t="s">
        <v>384</v>
      </c>
      <c r="D2" s="2" t="s">
        <v>40</v>
      </c>
      <c r="E2" s="47" t="s">
        <v>41</v>
      </c>
      <c r="G2" s="112" t="s">
        <v>362</v>
      </c>
      <c r="H2" s="113" t="str">
        <f>RPI!$B$1</f>
        <v>Updated Oct 2019</v>
      </c>
      <c r="J2" s="224" t="s">
        <v>398</v>
      </c>
      <c r="K2">
        <f>1-0.4436</f>
        <v>0.55640000000000001</v>
      </c>
      <c r="S2" s="1" t="s">
        <v>384</v>
      </c>
      <c r="T2" s="2" t="s">
        <v>40</v>
      </c>
      <c r="U2" s="47" t="s">
        <v>41</v>
      </c>
    </row>
    <row r="3" spans="1:24" ht="15.6" thickBot="1">
      <c r="C3" s="3" t="s">
        <v>406</v>
      </c>
      <c r="D3" s="62">
        <f>'GT workings base'!V15/1000</f>
        <v>0.25229385799299364</v>
      </c>
      <c r="E3" s="63">
        <f>'GT workings base'!L15/1000</f>
        <v>0.20357287402364305</v>
      </c>
      <c r="S3" s="3" t="s">
        <v>385</v>
      </c>
      <c r="T3" s="134">
        <v>1</v>
      </c>
      <c r="U3" s="135">
        <v>0.8</v>
      </c>
      <c r="W3" s="53">
        <f>D3-T3</f>
        <v>-0.74770614200700636</v>
      </c>
      <c r="X3" s="53">
        <f t="shared" ref="X3" si="0">E3-U3</f>
        <v>-0.59642712597635694</v>
      </c>
    </row>
    <row r="4" spans="1:24" ht="15.6" thickBot="1">
      <c r="C4" s="3" t="s">
        <v>407</v>
      </c>
      <c r="D4" s="62">
        <f>'GT workings base'!V16/1000</f>
        <v>1.1283043918706692</v>
      </c>
      <c r="E4" s="63">
        <f>'GT workings base'!L16/1000</f>
        <v>0.89423407500752217</v>
      </c>
      <c r="S4" s="3"/>
      <c r="T4" s="134"/>
      <c r="U4" s="135"/>
      <c r="W4" s="53"/>
      <c r="X4" s="53"/>
    </row>
    <row r="5" spans="1:24" ht="15.6" thickBot="1">
      <c r="C5" s="4" t="s">
        <v>44</v>
      </c>
      <c r="D5" s="64">
        <f>'GT workings base'!V20/1000</f>
        <v>0</v>
      </c>
      <c r="E5" s="63">
        <f>'GT workings base'!L20/1000</f>
        <v>0</v>
      </c>
      <c r="S5" s="4" t="s">
        <v>44</v>
      </c>
      <c r="T5" s="136">
        <v>3.5</v>
      </c>
      <c r="U5" s="135">
        <v>2.5</v>
      </c>
      <c r="W5" s="53">
        <f t="shared" ref="W5:W20" si="1">D5-T5</f>
        <v>-3.5</v>
      </c>
      <c r="X5" s="53">
        <f t="shared" ref="X5:X20" si="2">E5-U5</f>
        <v>-2.5</v>
      </c>
    </row>
    <row r="6" spans="1:24" ht="15.6" thickBot="1">
      <c r="C6" s="3" t="s">
        <v>408</v>
      </c>
      <c r="D6" s="62">
        <f>'GT workings base'!V21/1000</f>
        <v>0</v>
      </c>
      <c r="E6" s="63">
        <f>'GT workings base'!L21/1000</f>
        <v>0</v>
      </c>
      <c r="S6" s="4"/>
      <c r="T6" s="136"/>
      <c r="U6" s="135"/>
      <c r="W6" s="53">
        <f t="shared" si="1"/>
        <v>0</v>
      </c>
      <c r="X6" s="53">
        <f t="shared" si="2"/>
        <v>0</v>
      </c>
    </row>
    <row r="7" spans="1:24" ht="15.6" thickBot="1">
      <c r="C7" s="4" t="s">
        <v>46</v>
      </c>
      <c r="D7" s="64">
        <f>'GT workings base'!V17/1000</f>
        <v>0.7704305528603258</v>
      </c>
      <c r="E7" s="63">
        <f>'GT workings base'!L17/1000</f>
        <v>0.60703868961485508</v>
      </c>
      <c r="S7" s="3" t="s">
        <v>46</v>
      </c>
      <c r="T7" s="134">
        <v>0.9</v>
      </c>
      <c r="U7" s="135">
        <v>0.8</v>
      </c>
      <c r="W7" s="53">
        <f t="shared" si="1"/>
        <v>-0.12956944713967422</v>
      </c>
      <c r="X7" s="53">
        <f t="shared" si="2"/>
        <v>-0.19296131038514497</v>
      </c>
    </row>
    <row r="8" spans="1:24" ht="16.2" thickBot="1">
      <c r="C8" s="6" t="s">
        <v>48</v>
      </c>
      <c r="D8" s="65">
        <f>SUM(D3:D7)</f>
        <v>2.1510288027239888</v>
      </c>
      <c r="E8" s="66">
        <f>SUM(E3:E7)</f>
        <v>1.7048456386460202</v>
      </c>
      <c r="S8" s="5" t="s">
        <v>48</v>
      </c>
      <c r="T8" s="140">
        <v>5.4</v>
      </c>
      <c r="U8" s="138">
        <v>4.0999999999999996</v>
      </c>
      <c r="W8" s="53">
        <f t="shared" si="1"/>
        <v>-3.2489711972760116</v>
      </c>
      <c r="X8" s="53">
        <f t="shared" si="2"/>
        <v>-2.3951543613539794</v>
      </c>
    </row>
    <row r="9" spans="1:24" ht="15.6" thickBot="1">
      <c r="C9" s="4" t="s">
        <v>52</v>
      </c>
      <c r="D9" s="64">
        <f>'GT workings base'!V26/1000</f>
        <v>1.1150810844209129</v>
      </c>
      <c r="E9" s="63">
        <f>'GT workings base'!L26/1000</f>
        <v>0.88225987635099723</v>
      </c>
      <c r="S9" s="3" t="s">
        <v>52</v>
      </c>
      <c r="T9" s="134">
        <v>1</v>
      </c>
      <c r="U9" s="135">
        <v>0.8</v>
      </c>
      <c r="W9" s="53">
        <f t="shared" si="1"/>
        <v>0.11508108442091292</v>
      </c>
      <c r="X9" s="53">
        <f t="shared" si="2"/>
        <v>8.2259876350997185E-2</v>
      </c>
    </row>
    <row r="10" spans="1:24" ht="15.6" thickBot="1">
      <c r="C10" s="3"/>
      <c r="D10" s="62"/>
      <c r="E10" s="63"/>
      <c r="S10" s="159"/>
      <c r="T10" s="160"/>
      <c r="U10" s="139"/>
      <c r="W10" s="53">
        <f t="shared" si="1"/>
        <v>0</v>
      </c>
      <c r="X10" s="53">
        <f t="shared" si="2"/>
        <v>0</v>
      </c>
    </row>
    <row r="11" spans="1:24" ht="15.6" thickBot="1">
      <c r="C11" s="4" t="s">
        <v>138</v>
      </c>
      <c r="D11" s="64">
        <f>'GT workings base'!V8/1000</f>
        <v>0.1866416825678523</v>
      </c>
      <c r="E11" s="63">
        <f>'GT workings base'!L8/1000</f>
        <v>0.15032504731952542</v>
      </c>
      <c r="S11" s="3" t="s">
        <v>138</v>
      </c>
      <c r="T11" s="134">
        <v>0.2</v>
      </c>
      <c r="U11" s="135">
        <v>0.1</v>
      </c>
      <c r="W11" s="53">
        <f t="shared" si="1"/>
        <v>-1.3358317432147715E-2</v>
      </c>
      <c r="X11" s="53">
        <f t="shared" si="2"/>
        <v>5.0325047319525418E-2</v>
      </c>
    </row>
    <row r="12" spans="1:24" ht="15.6" thickBot="1">
      <c r="C12" s="3" t="s">
        <v>44</v>
      </c>
      <c r="D12" s="62">
        <f>'GT workings base'!V12/1000</f>
        <v>6.1025994652696959E-2</v>
      </c>
      <c r="E12" s="63">
        <f>'GT workings base'!L12/1000</f>
        <v>4.8782496753377314E-2</v>
      </c>
      <c r="S12" s="4" t="s">
        <v>44</v>
      </c>
      <c r="T12" s="136">
        <v>0.1</v>
      </c>
      <c r="U12" s="135">
        <v>0.1</v>
      </c>
      <c r="W12" s="53">
        <f t="shared" si="1"/>
        <v>-3.8974005347303046E-2</v>
      </c>
      <c r="X12" s="53">
        <f t="shared" si="2"/>
        <v>-5.1217503246622692E-2</v>
      </c>
    </row>
    <row r="13" spans="1:24" ht="15.6" thickBot="1">
      <c r="C13" s="4" t="s">
        <v>45</v>
      </c>
      <c r="D13" s="64">
        <f>'GT workings base'!V13/1000</f>
        <v>0.10816867050646548</v>
      </c>
      <c r="E13" s="63">
        <f>'GT workings base'!L13/1000</f>
        <v>8.5269852497723217E-2</v>
      </c>
      <c r="S13" s="3" t="s">
        <v>45</v>
      </c>
      <c r="T13" s="134">
        <v>0.1</v>
      </c>
      <c r="U13" s="135">
        <v>0.1</v>
      </c>
      <c r="W13" s="53">
        <f t="shared" si="1"/>
        <v>8.1686705064654697E-3</v>
      </c>
      <c r="X13" s="53">
        <f t="shared" si="2"/>
        <v>-1.4730147502276789E-2</v>
      </c>
    </row>
    <row r="14" spans="1:24" ht="15.6" thickBot="1">
      <c r="C14" s="3" t="s">
        <v>46</v>
      </c>
      <c r="D14" s="62">
        <f>'GT workings base'!V7/1000</f>
        <v>0.3878734949068352</v>
      </c>
      <c r="E14" s="63">
        <f>'GT workings base'!L7/1000</f>
        <v>0.30674480978356433</v>
      </c>
      <c r="S14" s="4" t="s">
        <v>46</v>
      </c>
      <c r="T14" s="136">
        <v>0.4</v>
      </c>
      <c r="U14" s="135">
        <v>0.3</v>
      </c>
      <c r="W14" s="53">
        <f t="shared" si="1"/>
        <v>-1.2126505093164819E-2</v>
      </c>
      <c r="X14" s="53">
        <f t="shared" si="2"/>
        <v>6.7448097835643428E-3</v>
      </c>
    </row>
    <row r="15" spans="1:24" ht="16.2" thickBot="1">
      <c r="C15" s="5" t="s">
        <v>50</v>
      </c>
      <c r="D15" s="67">
        <f>SUM(D11:D14)</f>
        <v>0.74370984263384998</v>
      </c>
      <c r="E15" s="66">
        <f>SUM(E11:E14)</f>
        <v>0.59112220635419033</v>
      </c>
      <c r="S15" s="6" t="s">
        <v>50</v>
      </c>
      <c r="T15" s="137">
        <v>0.8</v>
      </c>
      <c r="U15" s="138">
        <v>0.6</v>
      </c>
      <c r="W15" s="53">
        <f t="shared" si="1"/>
        <v>-5.6290157366150062E-2</v>
      </c>
      <c r="X15" s="53">
        <f t="shared" si="2"/>
        <v>-8.8777936458096507E-3</v>
      </c>
    </row>
    <row r="16" spans="1:24" ht="15.6" thickBot="1">
      <c r="C16" s="3"/>
      <c r="D16" s="62"/>
      <c r="E16" s="63"/>
      <c r="S16" s="161"/>
      <c r="T16" s="160"/>
      <c r="U16" s="139"/>
      <c r="W16" s="53">
        <f t="shared" si="1"/>
        <v>0</v>
      </c>
      <c r="X16" s="53">
        <f t="shared" si="2"/>
        <v>0</v>
      </c>
    </row>
    <row r="17" spans="1:38" ht="16.2" thickBot="1">
      <c r="C17" s="5" t="s">
        <v>51</v>
      </c>
      <c r="D17" s="67">
        <f>D15+D8</f>
        <v>2.8947386453578385</v>
      </c>
      <c r="E17" s="66">
        <f>E15+E8</f>
        <v>2.2959678450002103</v>
      </c>
      <c r="S17" s="6" t="s">
        <v>51</v>
      </c>
      <c r="T17" s="137">
        <v>6.2</v>
      </c>
      <c r="U17" s="138">
        <v>4.7</v>
      </c>
      <c r="W17" s="53">
        <f t="shared" si="1"/>
        <v>-3.3052613546421616</v>
      </c>
      <c r="X17" s="53">
        <f t="shared" si="2"/>
        <v>-2.4040321549997898</v>
      </c>
    </row>
    <row r="18" spans="1:38" ht="16.2" thickBot="1">
      <c r="C18" s="6"/>
      <c r="D18" s="65"/>
      <c r="E18" s="66"/>
      <c r="S18" s="161"/>
      <c r="T18" s="160"/>
      <c r="U18" s="139"/>
      <c r="W18" s="53">
        <f t="shared" si="1"/>
        <v>0</v>
      </c>
      <c r="X18" s="53">
        <f t="shared" si="2"/>
        <v>0</v>
      </c>
    </row>
    <row r="19" spans="1:38" ht="16.2" thickBot="1">
      <c r="C19" s="5" t="s">
        <v>53</v>
      </c>
      <c r="D19" s="67">
        <f>'GT workings base'!N164/1000</f>
        <v>5.3050164815467582</v>
      </c>
      <c r="E19" s="66">
        <f>'GT workings base'!D161/1000</f>
        <v>4.6150603281741756</v>
      </c>
      <c r="S19" s="6" t="s">
        <v>53</v>
      </c>
      <c r="T19" s="137">
        <v>5.5</v>
      </c>
      <c r="U19" s="138">
        <v>4.7</v>
      </c>
      <c r="W19" s="53">
        <f t="shared" si="1"/>
        <v>-0.1949835184532418</v>
      </c>
      <c r="X19" s="53">
        <f t="shared" si="2"/>
        <v>-8.4939671825824625E-2</v>
      </c>
    </row>
    <row r="20" spans="1:38" ht="16.2" thickBot="1">
      <c r="C20" s="6" t="s">
        <v>54</v>
      </c>
      <c r="D20" s="65">
        <f>'GT workings base'!U165/1000</f>
        <v>6.7806279651171781</v>
      </c>
      <c r="E20" s="66">
        <f>'GT workings base'!K162/1000</f>
        <v>4.8364743601326152</v>
      </c>
      <c r="S20" s="5" t="s">
        <v>54</v>
      </c>
      <c r="T20" s="140">
        <v>10.1</v>
      </c>
      <c r="U20" s="141">
        <v>6.8</v>
      </c>
      <c r="W20" s="53">
        <f t="shared" si="1"/>
        <v>-3.3193720348828215</v>
      </c>
      <c r="X20" s="53">
        <f t="shared" si="2"/>
        <v>-1.9635256398673846</v>
      </c>
    </row>
    <row r="24" spans="1:38" ht="13.8" thickBot="1">
      <c r="A24" s="38" t="s">
        <v>399</v>
      </c>
    </row>
    <row r="25" spans="1:38" ht="13.8" thickBot="1">
      <c r="C25" s="7" t="s">
        <v>58</v>
      </c>
      <c r="D25" s="8" t="s">
        <v>59</v>
      </c>
      <c r="E25" s="8" t="s">
        <v>60</v>
      </c>
      <c r="F25" s="8" t="s">
        <v>61</v>
      </c>
      <c r="G25" s="8" t="s">
        <v>62</v>
      </c>
      <c r="H25" s="8" t="s">
        <v>63</v>
      </c>
      <c r="I25" s="8" t="s">
        <v>64</v>
      </c>
      <c r="J25" s="8" t="s">
        <v>65</v>
      </c>
      <c r="K25" s="8" t="s">
        <v>66</v>
      </c>
      <c r="L25" s="8" t="s">
        <v>67</v>
      </c>
      <c r="S25" s="7" t="s">
        <v>58</v>
      </c>
      <c r="T25" s="8" t="s">
        <v>59</v>
      </c>
      <c r="U25" s="8" t="s">
        <v>60</v>
      </c>
      <c r="V25" s="8" t="s">
        <v>61</v>
      </c>
      <c r="W25" s="8" t="s">
        <v>62</v>
      </c>
      <c r="X25" s="8" t="s">
        <v>63</v>
      </c>
      <c r="Y25" s="8" t="s">
        <v>64</v>
      </c>
      <c r="Z25" s="8" t="s">
        <v>65</v>
      </c>
      <c r="AA25" s="8" t="s">
        <v>66</v>
      </c>
      <c r="AB25" s="8" t="s">
        <v>67</v>
      </c>
      <c r="AD25" s="164" t="s">
        <v>59</v>
      </c>
      <c r="AE25" s="164" t="s">
        <v>60</v>
      </c>
      <c r="AF25" s="164" t="s">
        <v>61</v>
      </c>
      <c r="AG25" s="164" t="s">
        <v>62</v>
      </c>
      <c r="AH25" s="164" t="s">
        <v>63</v>
      </c>
      <c r="AI25" s="164" t="s">
        <v>64</v>
      </c>
      <c r="AJ25" s="164" t="s">
        <v>65</v>
      </c>
      <c r="AK25" s="164" t="s">
        <v>66</v>
      </c>
      <c r="AL25" s="164" t="s">
        <v>345</v>
      </c>
    </row>
    <row r="26" spans="1:38">
      <c r="C26" s="9"/>
      <c r="D26" s="49"/>
      <c r="E26" s="49"/>
      <c r="F26" s="49"/>
      <c r="G26" s="49"/>
      <c r="H26" s="49"/>
      <c r="I26" s="49"/>
      <c r="J26" s="49"/>
      <c r="K26" s="49"/>
      <c r="L26" s="49"/>
      <c r="S26" s="9"/>
      <c r="T26" s="344"/>
      <c r="U26" s="344"/>
      <c r="V26" s="344"/>
      <c r="W26" s="344"/>
      <c r="X26" s="344"/>
      <c r="Y26" s="344"/>
      <c r="Z26" s="344"/>
      <c r="AA26" s="344"/>
      <c r="AB26" s="344"/>
      <c r="AD26" s="36">
        <f t="shared" ref="AD26:AD30" si="3">D26-T26</f>
        <v>0</v>
      </c>
      <c r="AE26" s="36">
        <f t="shared" ref="AE26:AE30" si="4">E26-U26</f>
        <v>0</v>
      </c>
      <c r="AF26" s="36">
        <f t="shared" ref="AF26:AF30" si="5">F26-V26</f>
        <v>0</v>
      </c>
      <c r="AG26" s="36">
        <f t="shared" ref="AG26:AG30" si="6">G26-W26</f>
        <v>0</v>
      </c>
      <c r="AH26" s="36">
        <f t="shared" ref="AH26:AH30" si="7">H26-X26</f>
        <v>0</v>
      </c>
      <c r="AI26" s="36">
        <f t="shared" ref="AI26:AI30" si="8">I26-Y26</f>
        <v>0</v>
      </c>
      <c r="AJ26" s="36">
        <f t="shared" ref="AJ26:AJ30" si="9">J26-Z26</f>
        <v>0</v>
      </c>
      <c r="AK26" s="36">
        <f t="shared" ref="AK26:AL30" si="10">K26-AA26</f>
        <v>0</v>
      </c>
      <c r="AL26" s="36">
        <f t="shared" si="10"/>
        <v>0</v>
      </c>
    </row>
    <row r="27" spans="1:38">
      <c r="A27" t="s">
        <v>338</v>
      </c>
      <c r="C27" s="10" t="s">
        <v>414</v>
      </c>
      <c r="D27" s="42">
        <f>'GT workings base'!D15</f>
        <v>25.459307795372435</v>
      </c>
      <c r="E27" s="42">
        <f>'GT workings base'!E15</f>
        <v>14.41280752104567</v>
      </c>
      <c r="F27" s="42">
        <f>'GT workings base'!F15</f>
        <v>9.6173202079823099</v>
      </c>
      <c r="G27" s="42">
        <f>'GT workings base'!G15</f>
        <v>60.446777499796859</v>
      </c>
      <c r="H27" s="42">
        <f>'GT workings base'!H15</f>
        <v>84.880198528547851</v>
      </c>
      <c r="I27" s="42">
        <f>'GT workings base'!I15</f>
        <v>8.5249336835233791</v>
      </c>
      <c r="J27" s="42">
        <f>'GT workings base'!J15</f>
        <v>0.23152878737450566</v>
      </c>
      <c r="K27" s="42">
        <f>'GT workings base'!K15</f>
        <v>0</v>
      </c>
      <c r="L27" s="50">
        <f t="shared" ref="L27:L38" si="11">SUM(D27:K27)</f>
        <v>203.57287402364304</v>
      </c>
      <c r="S27" s="10" t="s">
        <v>433</v>
      </c>
      <c r="T27" s="335">
        <v>112</v>
      </c>
      <c r="U27" s="335">
        <v>98</v>
      </c>
      <c r="V27" s="335">
        <v>107</v>
      </c>
      <c r="W27" s="335">
        <v>137</v>
      </c>
      <c r="X27" s="335">
        <v>166</v>
      </c>
      <c r="Y27" s="335">
        <v>85</v>
      </c>
      <c r="Z27" s="335">
        <v>72</v>
      </c>
      <c r="AA27" s="335">
        <v>71</v>
      </c>
      <c r="AB27" s="336">
        <v>846</v>
      </c>
      <c r="AD27" s="42">
        <f t="shared" si="3"/>
        <v>-86.540692204627561</v>
      </c>
      <c r="AE27" s="42">
        <f t="shared" si="4"/>
        <v>-83.587192478954336</v>
      </c>
      <c r="AF27" s="42">
        <f t="shared" si="5"/>
        <v>-97.382679792017683</v>
      </c>
      <c r="AG27" s="42">
        <f t="shared" si="6"/>
        <v>-76.553222500203134</v>
      </c>
      <c r="AH27" s="42">
        <f t="shared" si="7"/>
        <v>-81.119801471452149</v>
      </c>
      <c r="AI27" s="42">
        <f t="shared" si="8"/>
        <v>-76.475066316476614</v>
      </c>
      <c r="AJ27" s="42">
        <f t="shared" si="9"/>
        <v>-71.768471212625499</v>
      </c>
      <c r="AK27" s="42">
        <f t="shared" si="10"/>
        <v>-71</v>
      </c>
      <c r="AL27" s="42">
        <f t="shared" si="10"/>
        <v>-642.42712597635693</v>
      </c>
    </row>
    <row r="28" spans="1:38">
      <c r="C28" s="10" t="s">
        <v>416</v>
      </c>
      <c r="D28" s="42">
        <f>'GT workings base'!D16</f>
        <v>97.132518315217595</v>
      </c>
      <c r="E28" s="42">
        <f>'GT workings base'!E16</f>
        <v>109.87971241227922</v>
      </c>
      <c r="F28" s="42">
        <f>'GT workings base'!F16</f>
        <v>114.43672637584547</v>
      </c>
      <c r="G28" s="42">
        <f>'GT workings base'!G16</f>
        <v>123.96977718673423</v>
      </c>
      <c r="H28" s="42">
        <f>'GT workings base'!H16</f>
        <v>138.27838395379189</v>
      </c>
      <c r="I28" s="42">
        <f>'GT workings base'!I16</f>
        <v>117.50342084599842</v>
      </c>
      <c r="J28" s="42">
        <f>'GT workings base'!J16</f>
        <v>101.87556011564801</v>
      </c>
      <c r="K28" s="42">
        <f>'GT workings base'!K16</f>
        <v>91.157975802007329</v>
      </c>
      <c r="L28" s="50">
        <f t="shared" si="11"/>
        <v>894.23407500752216</v>
      </c>
      <c r="S28" s="10"/>
      <c r="T28" s="335"/>
      <c r="U28" s="335"/>
      <c r="V28" s="335"/>
      <c r="W28" s="335"/>
      <c r="X28" s="335"/>
      <c r="Y28" s="335"/>
      <c r="Z28" s="335"/>
      <c r="AA28" s="335"/>
      <c r="AB28" s="336"/>
      <c r="AD28" s="42"/>
      <c r="AE28" s="42"/>
      <c r="AF28" s="42"/>
      <c r="AG28" s="42"/>
      <c r="AH28" s="42"/>
      <c r="AI28" s="42"/>
      <c r="AJ28" s="42"/>
      <c r="AK28" s="42"/>
      <c r="AL28" s="42"/>
    </row>
    <row r="29" spans="1:38">
      <c r="C29" s="11" t="s">
        <v>396</v>
      </c>
      <c r="D29" s="43">
        <f>'GT workings base'!D17</f>
        <v>64.482672010544718</v>
      </c>
      <c r="E29" s="43">
        <f>'GT workings base'!E17</f>
        <v>65.237874215180156</v>
      </c>
      <c r="F29" s="43">
        <f>'GT workings base'!F17</f>
        <v>70.772894725011071</v>
      </c>
      <c r="G29" s="43">
        <f>'GT workings base'!G17</f>
        <v>79.368338266410362</v>
      </c>
      <c r="H29" s="43">
        <f>'GT workings base'!H17</f>
        <v>84.317479134504765</v>
      </c>
      <c r="I29" s="43">
        <f>'GT workings base'!I17</f>
        <v>84.641346358196444</v>
      </c>
      <c r="J29" s="43">
        <f>'GT workings base'!J17</f>
        <v>80.728014781566515</v>
      </c>
      <c r="K29" s="43">
        <f>'GT workings base'!K17</f>
        <v>77.490070123441129</v>
      </c>
      <c r="L29" s="45">
        <f t="shared" si="11"/>
        <v>607.03868961485512</v>
      </c>
      <c r="S29" s="11" t="s">
        <v>417</v>
      </c>
      <c r="T29" s="337">
        <v>90</v>
      </c>
      <c r="U29" s="337">
        <v>89</v>
      </c>
      <c r="V29" s="337">
        <v>92</v>
      </c>
      <c r="W29" s="337">
        <v>92</v>
      </c>
      <c r="X29" s="337">
        <v>94</v>
      </c>
      <c r="Y29" s="337">
        <v>95</v>
      </c>
      <c r="Z29" s="337">
        <v>96</v>
      </c>
      <c r="AA29" s="337">
        <v>96</v>
      </c>
      <c r="AB29" s="338">
        <v>743</v>
      </c>
      <c r="AD29" s="43">
        <f t="shared" si="3"/>
        <v>-25.517327989455282</v>
      </c>
      <c r="AE29" s="43">
        <f t="shared" si="4"/>
        <v>-23.762125784819844</v>
      </c>
      <c r="AF29" s="43">
        <f t="shared" si="5"/>
        <v>-21.227105274988929</v>
      </c>
      <c r="AG29" s="43">
        <f t="shared" si="6"/>
        <v>-12.631661733589638</v>
      </c>
      <c r="AH29" s="43">
        <f t="shared" si="7"/>
        <v>-9.6825208654952348</v>
      </c>
      <c r="AI29" s="43">
        <f t="shared" si="8"/>
        <v>-10.358653641803556</v>
      </c>
      <c r="AJ29" s="43">
        <f t="shared" si="9"/>
        <v>-15.271985218433485</v>
      </c>
      <c r="AK29" s="43">
        <f t="shared" si="10"/>
        <v>-18.509929876558871</v>
      </c>
      <c r="AL29" s="43">
        <f t="shared" si="10"/>
        <v>-135.96131038514488</v>
      </c>
    </row>
    <row r="30" spans="1:38">
      <c r="C30" s="12" t="s">
        <v>71</v>
      </c>
      <c r="D30" s="50">
        <f>SUM(D27:D29)</f>
        <v>187.07449812113475</v>
      </c>
      <c r="E30" s="50">
        <f t="shared" ref="E30:K30" si="12">SUM(E27:E29)</f>
        <v>189.53039414850502</v>
      </c>
      <c r="F30" s="50">
        <f t="shared" si="12"/>
        <v>194.82694130883885</v>
      </c>
      <c r="G30" s="50">
        <f t="shared" si="12"/>
        <v>263.78489295294145</v>
      </c>
      <c r="H30" s="50">
        <f t="shared" si="12"/>
        <v>307.4760616168445</v>
      </c>
      <c r="I30" s="50">
        <f t="shared" si="12"/>
        <v>210.66970088771825</v>
      </c>
      <c r="J30" s="50">
        <f t="shared" si="12"/>
        <v>182.83510368458903</v>
      </c>
      <c r="K30" s="50">
        <f t="shared" si="12"/>
        <v>168.64804592544846</v>
      </c>
      <c r="L30" s="50">
        <f t="shared" si="11"/>
        <v>1704.8456386460205</v>
      </c>
      <c r="S30" s="12" t="s">
        <v>390</v>
      </c>
      <c r="T30" s="336">
        <v>201</v>
      </c>
      <c r="U30" s="336">
        <v>187</v>
      </c>
      <c r="V30" s="336">
        <v>198</v>
      </c>
      <c r="W30" s="336">
        <v>229</v>
      </c>
      <c r="X30" s="336">
        <v>260</v>
      </c>
      <c r="Y30" s="336">
        <v>179</v>
      </c>
      <c r="Z30" s="336">
        <v>167</v>
      </c>
      <c r="AA30" s="336">
        <v>166</v>
      </c>
      <c r="AB30" s="339">
        <v>1588</v>
      </c>
      <c r="AD30" s="50">
        <f t="shared" si="3"/>
        <v>-13.925501878865248</v>
      </c>
      <c r="AE30" s="50">
        <f t="shared" si="4"/>
        <v>2.5303941485050245</v>
      </c>
      <c r="AF30" s="50">
        <f t="shared" si="5"/>
        <v>-3.1730586911611454</v>
      </c>
      <c r="AG30" s="50">
        <f t="shared" si="6"/>
        <v>34.784892952941448</v>
      </c>
      <c r="AH30" s="50">
        <f t="shared" si="7"/>
        <v>47.476061616844504</v>
      </c>
      <c r="AI30" s="50">
        <f t="shared" si="8"/>
        <v>31.66970088771825</v>
      </c>
      <c r="AJ30" s="50">
        <f t="shared" si="9"/>
        <v>15.835103684589029</v>
      </c>
      <c r="AK30" s="50">
        <f t="shared" si="10"/>
        <v>2.6480459254484572</v>
      </c>
      <c r="AL30" s="50">
        <f t="shared" si="10"/>
        <v>116.84563864602046</v>
      </c>
    </row>
    <row r="31" spans="1:38">
      <c r="A31" t="s">
        <v>346</v>
      </c>
      <c r="C31" s="10" t="s">
        <v>74</v>
      </c>
      <c r="D31" s="42">
        <f>'GT workings base'!D38</f>
        <v>25.459307795372435</v>
      </c>
      <c r="E31" s="42">
        <f>'GT workings base'!E38</f>
        <v>14.41280752104567</v>
      </c>
      <c r="F31" s="42">
        <f>'GT workings base'!F38</f>
        <v>9.6173202079823099</v>
      </c>
      <c r="G31" s="42">
        <f>'GT workings base'!G38</f>
        <v>60.446777499796859</v>
      </c>
      <c r="H31" s="42">
        <f>'GT workings base'!H38</f>
        <v>84.880198528547851</v>
      </c>
      <c r="I31" s="42">
        <f>'GT workings base'!I38</f>
        <v>8.5249336835233791</v>
      </c>
      <c r="J31" s="42">
        <f>'GT workings base'!J38</f>
        <v>0.23152878737450566</v>
      </c>
      <c r="K31" s="42">
        <f>'GT workings base'!K38</f>
        <v>0</v>
      </c>
      <c r="L31" s="50">
        <f t="shared" si="11"/>
        <v>203.57287402364304</v>
      </c>
      <c r="S31" s="10" t="s">
        <v>433</v>
      </c>
      <c r="T31" s="335">
        <v>112</v>
      </c>
      <c r="U31" s="335">
        <v>98</v>
      </c>
      <c r="V31" s="335">
        <v>107</v>
      </c>
      <c r="W31" s="335">
        <v>137</v>
      </c>
      <c r="X31" s="335">
        <v>166</v>
      </c>
      <c r="Y31" s="335">
        <v>85</v>
      </c>
      <c r="Z31" s="335">
        <v>72</v>
      </c>
      <c r="AA31" s="335">
        <v>71</v>
      </c>
      <c r="AB31" s="336">
        <v>846</v>
      </c>
      <c r="AD31" s="42">
        <f t="shared" ref="AD31" si="13">D31-T31</f>
        <v>-86.540692204627561</v>
      </c>
      <c r="AE31" s="42">
        <f t="shared" ref="AE31" si="14">E31-U31</f>
        <v>-83.587192478954336</v>
      </c>
      <c r="AF31" s="42">
        <f t="shared" ref="AF31" si="15">F31-V31</f>
        <v>-97.382679792017683</v>
      </c>
      <c r="AG31" s="42">
        <f t="shared" ref="AG31" si="16">G31-W31</f>
        <v>-76.553222500203134</v>
      </c>
      <c r="AH31" s="42">
        <f t="shared" ref="AH31" si="17">H31-X31</f>
        <v>-81.119801471452149</v>
      </c>
      <c r="AI31" s="42">
        <f t="shared" ref="AI31" si="18">I31-Y31</f>
        <v>-76.475066316476614</v>
      </c>
      <c r="AJ31" s="42">
        <f t="shared" ref="AJ31" si="19">J31-Z31</f>
        <v>-71.768471212625499</v>
      </c>
      <c r="AK31" s="42">
        <f t="shared" ref="AK31" si="20">K31-AA31</f>
        <v>-71</v>
      </c>
      <c r="AL31" s="42">
        <f t="shared" ref="AL31" si="21">L31-AB31</f>
        <v>-642.42712597635693</v>
      </c>
    </row>
    <row r="32" spans="1:38">
      <c r="C32" s="10" t="s">
        <v>75</v>
      </c>
      <c r="D32" s="42">
        <f>'GT workings base'!D39</f>
        <v>97.132518315217595</v>
      </c>
      <c r="E32" s="42">
        <f>'GT workings base'!E39</f>
        <v>109.87971241227922</v>
      </c>
      <c r="F32" s="42">
        <f>'GT workings base'!F39</f>
        <v>114.43672637584547</v>
      </c>
      <c r="G32" s="42">
        <f>'GT workings base'!G39</f>
        <v>123.96977718673423</v>
      </c>
      <c r="H32" s="42">
        <f>'GT workings base'!H39</f>
        <v>138.27838395379189</v>
      </c>
      <c r="I32" s="42">
        <f>'GT workings base'!I39</f>
        <v>117.50342084599842</v>
      </c>
      <c r="J32" s="42">
        <f>'GT workings base'!J39</f>
        <v>101.87556011564801</v>
      </c>
      <c r="K32" s="42">
        <f>'GT workings base'!K39</f>
        <v>91.157975802007329</v>
      </c>
      <c r="L32" s="50">
        <f t="shared" si="11"/>
        <v>894.23407500752216</v>
      </c>
      <c r="S32" s="10"/>
      <c r="T32" s="335"/>
      <c r="U32" s="335"/>
      <c r="V32" s="335"/>
      <c r="W32" s="335"/>
      <c r="X32" s="335"/>
      <c r="Y32" s="335"/>
      <c r="Z32" s="335"/>
      <c r="AA32" s="335"/>
      <c r="AB32" s="336"/>
      <c r="AD32" s="42"/>
      <c r="AE32" s="42"/>
      <c r="AF32" s="42"/>
      <c r="AG32" s="42"/>
      <c r="AH32" s="42"/>
      <c r="AI32" s="42"/>
      <c r="AJ32" s="42"/>
      <c r="AK32" s="42"/>
      <c r="AL32" s="42"/>
    </row>
    <row r="33" spans="1:39">
      <c r="C33" s="11" t="s">
        <v>387</v>
      </c>
      <c r="D33" s="43">
        <f>'GT workings base'!D40</f>
        <v>64.482672010544718</v>
      </c>
      <c r="E33" s="43">
        <f>'GT workings base'!E40</f>
        <v>65.237874215180156</v>
      </c>
      <c r="F33" s="43">
        <f>'GT workings base'!F40</f>
        <v>70.772894725011071</v>
      </c>
      <c r="G33" s="43">
        <f>'GT workings base'!G40</f>
        <v>79.368338266410362</v>
      </c>
      <c r="H33" s="43">
        <f>'GT workings base'!H40</f>
        <v>84.317479134504765</v>
      </c>
      <c r="I33" s="43">
        <f>'GT workings base'!I40</f>
        <v>84.641346358196444</v>
      </c>
      <c r="J33" s="43">
        <f>'GT workings base'!J40</f>
        <v>80.728014781566515</v>
      </c>
      <c r="K33" s="43">
        <f>'GT workings base'!K40</f>
        <v>77.490070123441129</v>
      </c>
      <c r="L33" s="45">
        <f t="shared" si="11"/>
        <v>607.03868961485512</v>
      </c>
      <c r="S33" s="11" t="s">
        <v>417</v>
      </c>
      <c r="T33" s="337">
        <v>90</v>
      </c>
      <c r="U33" s="337">
        <v>89</v>
      </c>
      <c r="V33" s="337">
        <v>92</v>
      </c>
      <c r="W33" s="337">
        <v>92</v>
      </c>
      <c r="X33" s="337">
        <v>94</v>
      </c>
      <c r="Y33" s="337">
        <v>95</v>
      </c>
      <c r="Z33" s="337">
        <v>96</v>
      </c>
      <c r="AA33" s="337">
        <v>96</v>
      </c>
      <c r="AB33" s="338">
        <v>743</v>
      </c>
      <c r="AD33" s="43">
        <f t="shared" ref="AD33:AD35" si="22">D33-T33</f>
        <v>-25.517327989455282</v>
      </c>
      <c r="AE33" s="43">
        <f t="shared" ref="AE33:AE35" si="23">E33-U33</f>
        <v>-23.762125784819844</v>
      </c>
      <c r="AF33" s="43">
        <f t="shared" ref="AF33:AF35" si="24">F33-V33</f>
        <v>-21.227105274988929</v>
      </c>
      <c r="AG33" s="43">
        <f t="shared" ref="AG33:AG35" si="25">G33-W33</f>
        <v>-12.631661733589638</v>
      </c>
      <c r="AH33" s="43">
        <f t="shared" ref="AH33:AH35" si="26">H33-X33</f>
        <v>-9.6825208654952348</v>
      </c>
      <c r="AI33" s="43">
        <f t="shared" ref="AI33:AI35" si="27">I33-Y33</f>
        <v>-10.358653641803556</v>
      </c>
      <c r="AJ33" s="43">
        <f t="shared" ref="AJ33:AJ35" si="28">J33-Z33</f>
        <v>-15.271985218433485</v>
      </c>
      <c r="AK33" s="43">
        <f t="shared" ref="AK33:AK35" si="29">K33-AA33</f>
        <v>-18.509929876558871</v>
      </c>
      <c r="AL33" s="43">
        <f t="shared" ref="AL33:AL35" si="30">L33-AB33</f>
        <v>-135.96131038514488</v>
      </c>
    </row>
    <row r="34" spans="1:39">
      <c r="C34" s="12" t="s">
        <v>77</v>
      </c>
      <c r="D34" s="50">
        <f t="shared" ref="D34:K34" si="31">SUM(D31:D33)</f>
        <v>187.07449812113475</v>
      </c>
      <c r="E34" s="50">
        <f t="shared" si="31"/>
        <v>189.53039414850502</v>
      </c>
      <c r="F34" s="50">
        <f t="shared" si="31"/>
        <v>194.82694130883885</v>
      </c>
      <c r="G34" s="50">
        <f t="shared" si="31"/>
        <v>263.78489295294145</v>
      </c>
      <c r="H34" s="50">
        <f t="shared" si="31"/>
        <v>307.4760616168445</v>
      </c>
      <c r="I34" s="50">
        <f t="shared" si="31"/>
        <v>210.66970088771825</v>
      </c>
      <c r="J34" s="50">
        <f t="shared" si="31"/>
        <v>182.83510368458903</v>
      </c>
      <c r="K34" s="50">
        <f t="shared" si="31"/>
        <v>168.64804592544846</v>
      </c>
      <c r="L34" s="50">
        <f t="shared" si="11"/>
        <v>1704.8456386460205</v>
      </c>
      <c r="S34" s="12" t="s">
        <v>390</v>
      </c>
      <c r="T34" s="336">
        <v>201</v>
      </c>
      <c r="U34" s="336">
        <v>187</v>
      </c>
      <c r="V34" s="336">
        <v>198</v>
      </c>
      <c r="W34" s="336">
        <v>229</v>
      </c>
      <c r="X34" s="336">
        <v>260</v>
      </c>
      <c r="Y34" s="336">
        <v>179</v>
      </c>
      <c r="Z34" s="336">
        <v>167</v>
      </c>
      <c r="AA34" s="336">
        <v>166</v>
      </c>
      <c r="AB34" s="339">
        <v>1588</v>
      </c>
      <c r="AD34" s="50">
        <f t="shared" si="22"/>
        <v>-13.925501878865248</v>
      </c>
      <c r="AE34" s="50">
        <f t="shared" si="23"/>
        <v>2.5303941485050245</v>
      </c>
      <c r="AF34" s="50">
        <f t="shared" si="24"/>
        <v>-3.1730586911611454</v>
      </c>
      <c r="AG34" s="50">
        <f t="shared" si="25"/>
        <v>34.784892952941448</v>
      </c>
      <c r="AH34" s="50">
        <f t="shared" si="26"/>
        <v>47.476061616844504</v>
      </c>
      <c r="AI34" s="50">
        <f t="shared" si="27"/>
        <v>31.66970088771825</v>
      </c>
      <c r="AJ34" s="50">
        <f t="shared" si="28"/>
        <v>15.835103684589029</v>
      </c>
      <c r="AK34" s="50">
        <f t="shared" si="29"/>
        <v>2.6480459254484572</v>
      </c>
      <c r="AL34" s="50">
        <f t="shared" si="30"/>
        <v>116.84563864602046</v>
      </c>
    </row>
    <row r="35" spans="1:39">
      <c r="A35" t="s">
        <v>233</v>
      </c>
      <c r="C35" s="10" t="s">
        <v>418</v>
      </c>
      <c r="D35" s="42">
        <f>D27-(D27-D31)*$K$2</f>
        <v>25.459307795372435</v>
      </c>
      <c r="E35" s="42">
        <f t="shared" ref="E35:K35" si="32">E27-(E27-E31)*$K$2</f>
        <v>14.41280752104567</v>
      </c>
      <c r="F35" s="42">
        <f t="shared" si="32"/>
        <v>9.6173202079823099</v>
      </c>
      <c r="G35" s="42">
        <f t="shared" si="32"/>
        <v>60.446777499796859</v>
      </c>
      <c r="H35" s="42">
        <f t="shared" si="32"/>
        <v>84.880198528547851</v>
      </c>
      <c r="I35" s="42">
        <f t="shared" si="32"/>
        <v>8.5249336835233791</v>
      </c>
      <c r="J35" s="42">
        <f t="shared" si="32"/>
        <v>0.23152878737450566</v>
      </c>
      <c r="K35" s="42">
        <f t="shared" si="32"/>
        <v>0</v>
      </c>
      <c r="L35" s="50">
        <f t="shared" si="11"/>
        <v>203.57287402364304</v>
      </c>
      <c r="S35" s="10" t="s">
        <v>433</v>
      </c>
      <c r="T35" s="335">
        <v>112</v>
      </c>
      <c r="U35" s="335">
        <v>98</v>
      </c>
      <c r="V35" s="335">
        <v>107</v>
      </c>
      <c r="W35" s="335">
        <v>137</v>
      </c>
      <c r="X35" s="335">
        <v>166</v>
      </c>
      <c r="Y35" s="335">
        <v>85</v>
      </c>
      <c r="Z35" s="335">
        <v>72</v>
      </c>
      <c r="AA35" s="335">
        <v>71</v>
      </c>
      <c r="AB35" s="336">
        <v>846</v>
      </c>
      <c r="AD35" s="42">
        <f t="shared" si="22"/>
        <v>-86.540692204627561</v>
      </c>
      <c r="AE35" s="42">
        <f t="shared" si="23"/>
        <v>-83.587192478954336</v>
      </c>
      <c r="AF35" s="42">
        <f t="shared" si="24"/>
        <v>-97.382679792017683</v>
      </c>
      <c r="AG35" s="42">
        <f t="shared" si="25"/>
        <v>-76.553222500203134</v>
      </c>
      <c r="AH35" s="42">
        <f t="shared" si="26"/>
        <v>-81.119801471452149</v>
      </c>
      <c r="AI35" s="42">
        <f t="shared" si="27"/>
        <v>-76.475066316476614</v>
      </c>
      <c r="AJ35" s="42">
        <f t="shared" si="28"/>
        <v>-71.768471212625499</v>
      </c>
      <c r="AK35" s="42">
        <f t="shared" si="29"/>
        <v>-71</v>
      </c>
      <c r="AL35" s="42">
        <f t="shared" si="30"/>
        <v>-642.42712597635693</v>
      </c>
    </row>
    <row r="36" spans="1:39">
      <c r="C36" s="10" t="s">
        <v>419</v>
      </c>
      <c r="D36" s="42">
        <f t="shared" ref="D36:K36" si="33">D28-(D28-D32)*$K$2</f>
        <v>97.132518315217595</v>
      </c>
      <c r="E36" s="42">
        <f t="shared" si="33"/>
        <v>109.87971241227922</v>
      </c>
      <c r="F36" s="42">
        <f t="shared" si="33"/>
        <v>114.43672637584547</v>
      </c>
      <c r="G36" s="42">
        <f t="shared" si="33"/>
        <v>123.96977718673423</v>
      </c>
      <c r="H36" s="42">
        <f t="shared" si="33"/>
        <v>138.27838395379189</v>
      </c>
      <c r="I36" s="42">
        <f t="shared" si="33"/>
        <v>117.50342084599842</v>
      </c>
      <c r="J36" s="42">
        <f t="shared" si="33"/>
        <v>101.87556011564801</v>
      </c>
      <c r="K36" s="42">
        <f t="shared" si="33"/>
        <v>91.157975802007329</v>
      </c>
      <c r="L36" s="50">
        <f t="shared" si="11"/>
        <v>894.23407500752216</v>
      </c>
      <c r="S36" s="10"/>
      <c r="T36" s="335"/>
      <c r="U36" s="335"/>
      <c r="V36" s="335"/>
      <c r="W36" s="335"/>
      <c r="X36" s="335"/>
      <c r="Y36" s="335"/>
      <c r="Z36" s="335"/>
      <c r="AA36" s="335"/>
      <c r="AB36" s="336"/>
      <c r="AD36" s="42"/>
      <c r="AE36" s="42"/>
      <c r="AF36" s="42"/>
      <c r="AG36" s="42"/>
      <c r="AH36" s="42"/>
      <c r="AI36" s="42"/>
      <c r="AJ36" s="42"/>
      <c r="AK36" s="42"/>
      <c r="AL36" s="42"/>
    </row>
    <row r="37" spans="1:39">
      <c r="C37" s="11" t="s">
        <v>389</v>
      </c>
      <c r="D37" s="43">
        <f t="shared" ref="D37:K37" si="34">D29-(D29-D33)*$K$2</f>
        <v>64.482672010544718</v>
      </c>
      <c r="E37" s="43">
        <f t="shared" si="34"/>
        <v>65.237874215180156</v>
      </c>
      <c r="F37" s="43">
        <f t="shared" si="34"/>
        <v>70.772894725011071</v>
      </c>
      <c r="G37" s="43">
        <f t="shared" si="34"/>
        <v>79.368338266410362</v>
      </c>
      <c r="H37" s="43">
        <f t="shared" si="34"/>
        <v>84.317479134504765</v>
      </c>
      <c r="I37" s="43">
        <f t="shared" si="34"/>
        <v>84.641346358196444</v>
      </c>
      <c r="J37" s="43">
        <f t="shared" si="34"/>
        <v>80.728014781566515</v>
      </c>
      <c r="K37" s="43">
        <f t="shared" si="34"/>
        <v>77.490070123441129</v>
      </c>
      <c r="L37" s="45">
        <f t="shared" si="11"/>
        <v>607.03868961485512</v>
      </c>
      <c r="S37" s="11" t="s">
        <v>417</v>
      </c>
      <c r="T37" s="337">
        <v>90</v>
      </c>
      <c r="U37" s="337">
        <v>89</v>
      </c>
      <c r="V37" s="337">
        <v>92</v>
      </c>
      <c r="W37" s="337">
        <v>92</v>
      </c>
      <c r="X37" s="337">
        <v>94</v>
      </c>
      <c r="Y37" s="337">
        <v>95</v>
      </c>
      <c r="Z37" s="337">
        <v>96</v>
      </c>
      <c r="AA37" s="337">
        <v>96</v>
      </c>
      <c r="AB37" s="338">
        <v>743</v>
      </c>
      <c r="AD37" s="43">
        <f t="shared" ref="AD37:AD38" si="35">D37-T37</f>
        <v>-25.517327989455282</v>
      </c>
      <c r="AE37" s="43">
        <f t="shared" ref="AE37:AE38" si="36">E37-U37</f>
        <v>-23.762125784819844</v>
      </c>
      <c r="AF37" s="43">
        <f t="shared" ref="AF37:AF38" si="37">F37-V37</f>
        <v>-21.227105274988929</v>
      </c>
      <c r="AG37" s="43">
        <f t="shared" ref="AG37:AG38" si="38">G37-W37</f>
        <v>-12.631661733589638</v>
      </c>
      <c r="AH37" s="43">
        <f t="shared" ref="AH37:AH38" si="39">H37-X37</f>
        <v>-9.6825208654952348</v>
      </c>
      <c r="AI37" s="43">
        <f t="shared" ref="AI37:AI38" si="40">I37-Y37</f>
        <v>-10.358653641803556</v>
      </c>
      <c r="AJ37" s="43">
        <f t="shared" ref="AJ37:AJ38" si="41">J37-Z37</f>
        <v>-15.271985218433485</v>
      </c>
      <c r="AK37" s="43">
        <f t="shared" ref="AK37:AK38" si="42">K37-AA37</f>
        <v>-18.509929876558871</v>
      </c>
      <c r="AL37" s="43">
        <f t="shared" ref="AL37:AL38" si="43">L37-AB37</f>
        <v>-135.96131038514488</v>
      </c>
    </row>
    <row r="38" spans="1:39">
      <c r="C38" s="12" t="s">
        <v>78</v>
      </c>
      <c r="D38" s="50">
        <f t="shared" ref="D38:K38" si="44">D30-(D30-D34)*$K$2</f>
        <v>187.07449812113475</v>
      </c>
      <c r="E38" s="50">
        <f t="shared" si="44"/>
        <v>189.53039414850502</v>
      </c>
      <c r="F38" s="50">
        <f t="shared" si="44"/>
        <v>194.82694130883885</v>
      </c>
      <c r="G38" s="50">
        <f t="shared" si="44"/>
        <v>263.78489295294145</v>
      </c>
      <c r="H38" s="50">
        <f t="shared" si="44"/>
        <v>307.4760616168445</v>
      </c>
      <c r="I38" s="50">
        <f t="shared" si="44"/>
        <v>210.66970088771825</v>
      </c>
      <c r="J38" s="50">
        <f t="shared" si="44"/>
        <v>182.83510368458903</v>
      </c>
      <c r="K38" s="50">
        <f t="shared" si="44"/>
        <v>168.64804592544846</v>
      </c>
      <c r="L38" s="50">
        <f t="shared" si="11"/>
        <v>1704.8456386460205</v>
      </c>
      <c r="S38" s="12" t="s">
        <v>390</v>
      </c>
      <c r="T38" s="336">
        <v>201</v>
      </c>
      <c r="U38" s="336">
        <v>187</v>
      </c>
      <c r="V38" s="336">
        <v>198</v>
      </c>
      <c r="W38" s="336">
        <v>229</v>
      </c>
      <c r="X38" s="336">
        <v>260</v>
      </c>
      <c r="Y38" s="336">
        <v>179</v>
      </c>
      <c r="Z38" s="336">
        <v>167</v>
      </c>
      <c r="AA38" s="336">
        <v>166</v>
      </c>
      <c r="AB38" s="339">
        <v>1588</v>
      </c>
      <c r="AD38" s="50">
        <f t="shared" si="35"/>
        <v>-13.925501878865248</v>
      </c>
      <c r="AE38" s="50">
        <f t="shared" si="36"/>
        <v>2.5303941485050245</v>
      </c>
      <c r="AF38" s="50">
        <f t="shared" si="37"/>
        <v>-3.1730586911611454</v>
      </c>
      <c r="AG38" s="50">
        <f t="shared" si="38"/>
        <v>34.784892952941448</v>
      </c>
      <c r="AH38" s="50">
        <f t="shared" si="39"/>
        <v>47.476061616844504</v>
      </c>
      <c r="AI38" s="50">
        <f t="shared" si="40"/>
        <v>31.66970088771825</v>
      </c>
      <c r="AJ38" s="50">
        <f t="shared" si="41"/>
        <v>15.835103684589029</v>
      </c>
      <c r="AK38" s="50">
        <f t="shared" si="42"/>
        <v>2.6480459254484572</v>
      </c>
      <c r="AL38" s="50">
        <f t="shared" si="43"/>
        <v>116.84563864602046</v>
      </c>
    </row>
    <row r="39" spans="1:39">
      <c r="C39" s="12"/>
      <c r="D39" s="50"/>
      <c r="E39" s="50"/>
      <c r="F39" s="50"/>
      <c r="G39" s="50"/>
      <c r="H39" s="50"/>
      <c r="I39" s="50"/>
      <c r="J39" s="50"/>
      <c r="K39" s="50"/>
      <c r="L39" s="50"/>
      <c r="S39" s="12"/>
      <c r="T39" s="336"/>
      <c r="U39" s="336"/>
      <c r="V39" s="336"/>
      <c r="W39" s="336"/>
      <c r="X39" s="336"/>
      <c r="Y39" s="336"/>
      <c r="Z39" s="336"/>
      <c r="AA39" s="336"/>
      <c r="AB39" s="339"/>
      <c r="AD39" s="50"/>
      <c r="AE39" s="50"/>
      <c r="AF39" s="50"/>
      <c r="AG39" s="50"/>
      <c r="AH39" s="50"/>
      <c r="AI39" s="50"/>
      <c r="AJ39" s="50"/>
      <c r="AK39" s="50"/>
      <c r="AL39" s="50"/>
    </row>
    <row r="40" spans="1:39" ht="12.75" customHeight="1">
      <c r="C40" s="11" t="s">
        <v>79</v>
      </c>
      <c r="D40" s="43">
        <f>'GT workings base'!D121</f>
        <v>66.598521331123962</v>
      </c>
      <c r="E40" s="43">
        <f>'GT workings base'!E121</f>
        <v>67.472820316867796</v>
      </c>
      <c r="F40" s="43">
        <f>'GT workings base'!F121</f>
        <v>69.358391105946623</v>
      </c>
      <c r="G40" s="43">
        <f>'GT workings base'!G121</f>
        <v>93.907421891247139</v>
      </c>
      <c r="H40" s="43">
        <f>'GT workings base'!H121</f>
        <v>109.4614779355966</v>
      </c>
      <c r="I40" s="43">
        <f>'GT workings base'!I121</f>
        <v>74.998413516027682</v>
      </c>
      <c r="J40" s="43">
        <f>'GT workings base'!J121</f>
        <v>65.089296911713689</v>
      </c>
      <c r="K40" s="43">
        <f>'GT workings base'!K121</f>
        <v>60.03870434945965</v>
      </c>
      <c r="L40" s="45">
        <f>SUM(D40:K40)</f>
        <v>606.92504735798309</v>
      </c>
      <c r="S40" s="11" t="s">
        <v>79</v>
      </c>
      <c r="T40" s="337">
        <v>95</v>
      </c>
      <c r="U40" s="337">
        <v>88</v>
      </c>
      <c r="V40" s="337">
        <v>93</v>
      </c>
      <c r="W40" s="337">
        <v>108</v>
      </c>
      <c r="X40" s="337">
        <v>122</v>
      </c>
      <c r="Y40" s="337">
        <v>84</v>
      </c>
      <c r="Z40" s="337">
        <v>79</v>
      </c>
      <c r="AA40" s="337">
        <v>78</v>
      </c>
      <c r="AB40" s="338">
        <v>747</v>
      </c>
      <c r="AD40" s="43">
        <f t="shared" ref="AD40:AL42" si="45">D40-T40</f>
        <v>-28.401478668876038</v>
      </c>
      <c r="AE40" s="43">
        <f t="shared" si="45"/>
        <v>-20.527179683132204</v>
      </c>
      <c r="AF40" s="43">
        <f t="shared" si="45"/>
        <v>-23.641608894053377</v>
      </c>
      <c r="AG40" s="43">
        <f t="shared" si="45"/>
        <v>-14.092578108752861</v>
      </c>
      <c r="AH40" s="43">
        <f t="shared" si="45"/>
        <v>-12.538522064403395</v>
      </c>
      <c r="AI40" s="43">
        <f t="shared" si="45"/>
        <v>-9.0015864839723179</v>
      </c>
      <c r="AJ40" s="43">
        <f t="shared" si="45"/>
        <v>-13.910703088286311</v>
      </c>
      <c r="AK40" s="43">
        <f t="shared" si="45"/>
        <v>-17.96129565054035</v>
      </c>
      <c r="AL40" s="43">
        <f t="shared" si="45"/>
        <v>-140.07495264201691</v>
      </c>
    </row>
    <row r="41" spans="1:39" ht="12.75" customHeight="1">
      <c r="C41" s="10" t="s">
        <v>80</v>
      </c>
      <c r="D41" s="42">
        <f>'GT workings base'!D122</f>
        <v>120.47597679001079</v>
      </c>
      <c r="E41" s="42">
        <f>'GT workings base'!E122</f>
        <v>122.05757383163726</v>
      </c>
      <c r="F41" s="42">
        <f>'GT workings base'!F122</f>
        <v>125.46855020289223</v>
      </c>
      <c r="G41" s="42">
        <f>'GT workings base'!G122</f>
        <v>169.87747106169431</v>
      </c>
      <c r="H41" s="42">
        <f>'GT workings base'!H122</f>
        <v>198.01458368124784</v>
      </c>
      <c r="I41" s="42">
        <f>'GT workings base'!I122</f>
        <v>135.67128737169054</v>
      </c>
      <c r="J41" s="42">
        <f>'GT workings base'!J122</f>
        <v>117.74580677287534</v>
      </c>
      <c r="K41" s="42">
        <f>'GT workings base'!K122</f>
        <v>108.60934157598881</v>
      </c>
      <c r="L41" s="50">
        <f>SUM(D41:K41)</f>
        <v>1097.920591288037</v>
      </c>
      <c r="S41" s="10" t="s">
        <v>80</v>
      </c>
      <c r="T41" s="335">
        <v>107</v>
      </c>
      <c r="U41" s="335">
        <v>99</v>
      </c>
      <c r="V41" s="335">
        <v>105</v>
      </c>
      <c r="W41" s="335">
        <v>121</v>
      </c>
      <c r="X41" s="335">
        <v>138</v>
      </c>
      <c r="Y41" s="335">
        <v>95</v>
      </c>
      <c r="Z41" s="335">
        <v>89</v>
      </c>
      <c r="AA41" s="335">
        <v>88</v>
      </c>
      <c r="AB41" s="336">
        <v>842</v>
      </c>
      <c r="AD41" s="42">
        <f t="shared" si="45"/>
        <v>13.47597679001079</v>
      </c>
      <c r="AE41" s="42">
        <f t="shared" si="45"/>
        <v>23.057573831637256</v>
      </c>
      <c r="AF41" s="42">
        <f t="shared" si="45"/>
        <v>20.468550202892231</v>
      </c>
      <c r="AG41" s="42">
        <f t="shared" si="45"/>
        <v>48.877471061694308</v>
      </c>
      <c r="AH41" s="42">
        <f t="shared" si="45"/>
        <v>60.014583681247842</v>
      </c>
      <c r="AI41" s="42">
        <f t="shared" si="45"/>
        <v>40.671287371690539</v>
      </c>
      <c r="AJ41" s="42">
        <f t="shared" si="45"/>
        <v>28.745806772875341</v>
      </c>
      <c r="AK41" s="42">
        <f t="shared" si="45"/>
        <v>20.609341575988807</v>
      </c>
      <c r="AL41" s="42">
        <f t="shared" si="45"/>
        <v>255.92059128803703</v>
      </c>
    </row>
    <row r="42" spans="1:39" ht="12.75" customHeight="1">
      <c r="C42" s="39" t="s">
        <v>420</v>
      </c>
      <c r="D42" s="45">
        <f>D41+D40</f>
        <v>187.07449812113475</v>
      </c>
      <c r="E42" s="45">
        <f t="shared" ref="E42:L42" si="46">E41+E40</f>
        <v>189.53039414850505</v>
      </c>
      <c r="F42" s="45">
        <f t="shared" si="46"/>
        <v>194.82694130883885</v>
      </c>
      <c r="G42" s="45">
        <f t="shared" si="46"/>
        <v>263.78489295294145</v>
      </c>
      <c r="H42" s="45">
        <f t="shared" si="46"/>
        <v>307.47606161684445</v>
      </c>
      <c r="I42" s="45">
        <f t="shared" si="46"/>
        <v>210.66970088771822</v>
      </c>
      <c r="J42" s="45">
        <f t="shared" si="46"/>
        <v>182.83510368458903</v>
      </c>
      <c r="K42" s="45">
        <f t="shared" si="46"/>
        <v>168.64804592544846</v>
      </c>
      <c r="L42" s="45">
        <f t="shared" si="46"/>
        <v>1704.8456386460202</v>
      </c>
      <c r="S42" s="39" t="s">
        <v>432</v>
      </c>
      <c r="T42" s="338">
        <v>201</v>
      </c>
      <c r="U42" s="338">
        <v>187</v>
      </c>
      <c r="V42" s="338">
        <v>198</v>
      </c>
      <c r="W42" s="338">
        <v>229</v>
      </c>
      <c r="X42" s="338">
        <v>260</v>
      </c>
      <c r="Y42" s="338">
        <v>179</v>
      </c>
      <c r="Z42" s="338">
        <v>167</v>
      </c>
      <c r="AA42" s="338">
        <v>166</v>
      </c>
      <c r="AB42" s="340">
        <v>1588</v>
      </c>
      <c r="AD42" s="45">
        <f t="shared" si="45"/>
        <v>-13.925501878865248</v>
      </c>
      <c r="AE42" s="45">
        <f t="shared" si="45"/>
        <v>2.530394148505053</v>
      </c>
      <c r="AF42" s="45">
        <f t="shared" si="45"/>
        <v>-3.1730586911611454</v>
      </c>
      <c r="AG42" s="45">
        <f t="shared" si="45"/>
        <v>34.784892952941448</v>
      </c>
      <c r="AH42" s="45">
        <f t="shared" si="45"/>
        <v>47.476061616844447</v>
      </c>
      <c r="AI42" s="45">
        <f t="shared" si="45"/>
        <v>31.669700887718221</v>
      </c>
      <c r="AJ42" s="45">
        <f t="shared" si="45"/>
        <v>15.835103684589029</v>
      </c>
      <c r="AK42" s="45">
        <f t="shared" si="45"/>
        <v>2.6480459254484572</v>
      </c>
      <c r="AL42" s="45">
        <f t="shared" si="45"/>
        <v>116.84563864602023</v>
      </c>
    </row>
    <row r="43" spans="1:39" ht="12.75" customHeight="1">
      <c r="C43" s="12"/>
      <c r="D43" s="50"/>
      <c r="E43" s="50"/>
      <c r="F43" s="50"/>
      <c r="G43" s="50"/>
      <c r="H43" s="50"/>
      <c r="I43" s="50"/>
      <c r="J43" s="50"/>
      <c r="K43" s="50"/>
      <c r="L43" s="50"/>
      <c r="S43" s="12"/>
      <c r="T43" s="336"/>
      <c r="U43" s="336"/>
      <c r="V43" s="336"/>
      <c r="W43" s="336"/>
      <c r="X43" s="336"/>
      <c r="Y43" s="336"/>
      <c r="Z43" s="336"/>
      <c r="AA43" s="336"/>
      <c r="AB43" s="339"/>
      <c r="AD43" s="50"/>
      <c r="AE43" s="50"/>
      <c r="AF43" s="50"/>
      <c r="AG43" s="50"/>
      <c r="AH43" s="50"/>
      <c r="AI43" s="50"/>
      <c r="AJ43" s="50"/>
      <c r="AK43" s="50"/>
      <c r="AL43" s="50"/>
    </row>
    <row r="44" spans="1:39" ht="12.75" customHeight="1">
      <c r="C44" s="11" t="s">
        <v>79</v>
      </c>
      <c r="D44" s="43">
        <f>'GT workings base'!D123</f>
        <v>0</v>
      </c>
      <c r="E44" s="43">
        <f>'GT workings base'!E123</f>
        <v>0</v>
      </c>
      <c r="F44" s="43">
        <f>'GT workings base'!F123</f>
        <v>0</v>
      </c>
      <c r="G44" s="43">
        <f>'GT workings base'!G123</f>
        <v>0</v>
      </c>
      <c r="H44" s="43">
        <f>'GT workings base'!H123</f>
        <v>0</v>
      </c>
      <c r="I44" s="43">
        <f>'GT workings base'!I123</f>
        <v>0</v>
      </c>
      <c r="J44" s="43">
        <f>'GT workings base'!J123</f>
        <v>0</v>
      </c>
      <c r="K44" s="43">
        <f>'GT workings base'!K123</f>
        <v>0</v>
      </c>
      <c r="L44" s="45">
        <f>SUM(D44:K44)</f>
        <v>0</v>
      </c>
      <c r="S44" s="39"/>
      <c r="T44" s="338"/>
      <c r="U44" s="338"/>
      <c r="V44" s="338"/>
      <c r="W44" s="338"/>
      <c r="X44" s="338"/>
      <c r="Y44" s="338"/>
      <c r="Z44" s="338"/>
      <c r="AA44" s="338"/>
      <c r="AB44" s="340"/>
      <c r="AD44" s="45"/>
      <c r="AE44" s="45"/>
      <c r="AF44" s="45"/>
      <c r="AG44" s="45"/>
      <c r="AH44" s="45"/>
      <c r="AI44" s="45"/>
      <c r="AJ44" s="45"/>
      <c r="AK44" s="45"/>
      <c r="AL44" s="45"/>
    </row>
    <row r="45" spans="1:39" ht="12.75" customHeight="1">
      <c r="C45" s="10" t="s">
        <v>80</v>
      </c>
      <c r="D45" s="43">
        <f>'GT workings base'!D124</f>
        <v>0</v>
      </c>
      <c r="E45" s="43">
        <f>'GT workings base'!E124</f>
        <v>0</v>
      </c>
      <c r="F45" s="43">
        <f>'GT workings base'!F124</f>
        <v>0</v>
      </c>
      <c r="G45" s="43">
        <f>'GT workings base'!G124</f>
        <v>0</v>
      </c>
      <c r="H45" s="43">
        <f>'GT workings base'!H124</f>
        <v>0</v>
      </c>
      <c r="I45" s="43">
        <f>'GT workings base'!I124</f>
        <v>0</v>
      </c>
      <c r="J45" s="43">
        <f>'GT workings base'!J124</f>
        <v>0</v>
      </c>
      <c r="K45" s="43">
        <f>'GT workings base'!K124</f>
        <v>0</v>
      </c>
      <c r="L45" s="50">
        <f>SUM(D45:K45)</f>
        <v>0</v>
      </c>
      <c r="S45" s="39"/>
      <c r="T45" s="338"/>
      <c r="U45" s="338"/>
      <c r="V45" s="338"/>
      <c r="W45" s="338"/>
      <c r="X45" s="338"/>
      <c r="Y45" s="338"/>
      <c r="Z45" s="338"/>
      <c r="AA45" s="338"/>
      <c r="AB45" s="340"/>
      <c r="AD45" s="45"/>
      <c r="AE45" s="45"/>
      <c r="AF45" s="45"/>
      <c r="AG45" s="45"/>
      <c r="AH45" s="45"/>
      <c r="AI45" s="45"/>
      <c r="AJ45" s="45"/>
      <c r="AK45" s="45"/>
      <c r="AL45" s="45"/>
    </row>
    <row r="46" spans="1:39" ht="12.75" customHeight="1">
      <c r="C46" s="39" t="s">
        <v>422</v>
      </c>
      <c r="D46" s="45">
        <f>D45+D44</f>
        <v>0</v>
      </c>
      <c r="E46" s="45">
        <f t="shared" ref="E46:L46" si="47">E45+E44</f>
        <v>0</v>
      </c>
      <c r="F46" s="45">
        <f t="shared" si="47"/>
        <v>0</v>
      </c>
      <c r="G46" s="45">
        <f t="shared" si="47"/>
        <v>0</v>
      </c>
      <c r="H46" s="45">
        <f t="shared" si="47"/>
        <v>0</v>
      </c>
      <c r="I46" s="45">
        <f t="shared" si="47"/>
        <v>0</v>
      </c>
      <c r="J46" s="45">
        <f t="shared" si="47"/>
        <v>0</v>
      </c>
      <c r="K46" s="45">
        <f t="shared" si="47"/>
        <v>0</v>
      </c>
      <c r="L46" s="45">
        <f t="shared" si="47"/>
        <v>0</v>
      </c>
      <c r="S46" s="48"/>
      <c r="T46" s="341"/>
      <c r="U46" s="341"/>
      <c r="V46" s="341"/>
      <c r="W46" s="341"/>
      <c r="X46" s="341"/>
      <c r="Y46" s="341"/>
      <c r="Z46" s="341"/>
      <c r="AA46" s="341"/>
      <c r="AB46" s="341"/>
      <c r="AD46" s="51"/>
      <c r="AE46" s="51"/>
      <c r="AF46" s="51"/>
      <c r="AG46" s="51"/>
      <c r="AH46" s="51"/>
      <c r="AI46" s="51"/>
      <c r="AJ46" s="51"/>
      <c r="AK46" s="51"/>
      <c r="AL46" s="51"/>
    </row>
    <row r="47" spans="1:39" ht="12.75" customHeight="1">
      <c r="C47" s="48"/>
      <c r="D47" s="51"/>
      <c r="E47" s="51"/>
      <c r="F47" s="51"/>
      <c r="G47" s="51"/>
      <c r="H47" s="51"/>
      <c r="I47" s="51"/>
      <c r="J47" s="51"/>
      <c r="K47" s="51"/>
      <c r="L47" s="51"/>
      <c r="S47" s="48"/>
      <c r="T47" s="341"/>
      <c r="U47" s="341"/>
      <c r="V47" s="341"/>
      <c r="W47" s="341"/>
      <c r="X47" s="341"/>
      <c r="Y47" s="341"/>
      <c r="Z47" s="341"/>
      <c r="AA47" s="341"/>
      <c r="AB47" s="341"/>
      <c r="AD47" s="51"/>
      <c r="AE47" s="51"/>
      <c r="AF47" s="51"/>
      <c r="AG47" s="51"/>
      <c r="AH47" s="51"/>
      <c r="AI47" s="51"/>
      <c r="AJ47" s="51"/>
      <c r="AK47" s="51"/>
      <c r="AL47" s="51"/>
    </row>
    <row r="48" spans="1:39" ht="12.75" customHeight="1" thickBot="1">
      <c r="C48" s="23" t="s">
        <v>423</v>
      </c>
      <c r="D48" s="44">
        <f>D41+D45</f>
        <v>120.47597679001079</v>
      </c>
      <c r="E48" s="44">
        <f t="shared" ref="E48:L48" si="48">E41+E45</f>
        <v>122.05757383163726</v>
      </c>
      <c r="F48" s="44">
        <f t="shared" si="48"/>
        <v>125.46855020289223</v>
      </c>
      <c r="G48" s="44">
        <f t="shared" si="48"/>
        <v>169.87747106169431</v>
      </c>
      <c r="H48" s="44">
        <f t="shared" si="48"/>
        <v>198.01458368124784</v>
      </c>
      <c r="I48" s="44">
        <f t="shared" si="48"/>
        <v>135.67128737169054</v>
      </c>
      <c r="J48" s="44">
        <f t="shared" si="48"/>
        <v>117.74580677287534</v>
      </c>
      <c r="K48" s="44">
        <f t="shared" si="48"/>
        <v>108.60934157598881</v>
      </c>
      <c r="L48" s="44">
        <f t="shared" si="48"/>
        <v>1097.920591288037</v>
      </c>
      <c r="M48" s="109"/>
      <c r="N48" s="109"/>
      <c r="S48" s="23" t="s">
        <v>423</v>
      </c>
      <c r="T48" s="342">
        <v>156</v>
      </c>
      <c r="U48" s="342">
        <v>193</v>
      </c>
      <c r="V48" s="342">
        <v>300</v>
      </c>
      <c r="W48" s="342">
        <v>405</v>
      </c>
      <c r="X48" s="342">
        <v>527</v>
      </c>
      <c r="Y48" s="342">
        <v>468</v>
      </c>
      <c r="Z48" s="342">
        <v>514</v>
      </c>
      <c r="AA48" s="342">
        <v>552</v>
      </c>
      <c r="AB48" s="343">
        <v>3114</v>
      </c>
      <c r="AC48" s="109" t="e">
        <f>#REF!+#REF!</f>
        <v>#REF!</v>
      </c>
      <c r="AD48" s="44">
        <f t="shared" ref="AD48:AL48" si="49">D48-T48</f>
        <v>-35.52402320998921</v>
      </c>
      <c r="AE48" s="44">
        <f t="shared" si="49"/>
        <v>-70.942426168362744</v>
      </c>
      <c r="AF48" s="44">
        <f t="shared" si="49"/>
        <v>-174.53144979710777</v>
      </c>
      <c r="AG48" s="44">
        <f t="shared" si="49"/>
        <v>-235.12252893830569</v>
      </c>
      <c r="AH48" s="44">
        <f t="shared" si="49"/>
        <v>-328.98541631875219</v>
      </c>
      <c r="AI48" s="44">
        <f t="shared" si="49"/>
        <v>-332.32871262830946</v>
      </c>
      <c r="AJ48" s="44">
        <f t="shared" si="49"/>
        <v>-396.25419322712469</v>
      </c>
      <c r="AK48" s="44">
        <f t="shared" si="49"/>
        <v>-443.39065842401118</v>
      </c>
      <c r="AL48" s="44">
        <f t="shared" si="49"/>
        <v>-2016.079408711963</v>
      </c>
      <c r="AM48" s="109" t="e">
        <f>#REF!+#REF!</f>
        <v>#REF!</v>
      </c>
    </row>
    <row r="50" spans="1:38" ht="13.8" thickBot="1">
      <c r="M50" s="109"/>
    </row>
    <row r="51" spans="1:38" ht="13.8" thickBot="1">
      <c r="C51" s="7" t="s">
        <v>58</v>
      </c>
      <c r="D51" s="8" t="s">
        <v>59</v>
      </c>
      <c r="E51" s="8" t="s">
        <v>60</v>
      </c>
      <c r="F51" s="8" t="s">
        <v>61</v>
      </c>
      <c r="G51" s="8" t="s">
        <v>62</v>
      </c>
      <c r="H51" s="8" t="s">
        <v>63</v>
      </c>
      <c r="I51" s="8" t="s">
        <v>64</v>
      </c>
      <c r="J51" s="8" t="s">
        <v>65</v>
      </c>
      <c r="K51" s="8" t="s">
        <v>66</v>
      </c>
    </row>
    <row r="52" spans="1:38">
      <c r="C52" s="22" t="s">
        <v>91</v>
      </c>
      <c r="D52" s="41">
        <f>'GT workings base'!D135</f>
        <v>4562.0597731988728</v>
      </c>
      <c r="E52" s="41">
        <f>D56</f>
        <v>4550.4828527058562</v>
      </c>
      <c r="F52" s="41">
        <f t="shared" ref="F52:K52" si="50">E56</f>
        <v>4551.0189734347805</v>
      </c>
      <c r="G52" s="41">
        <f t="shared" si="50"/>
        <v>4596.8053250929834</v>
      </c>
      <c r="H52" s="41">
        <f t="shared" si="50"/>
        <v>4723.2877981222027</v>
      </c>
      <c r="I52" s="41">
        <f t="shared" si="50"/>
        <v>4834.3256936122825</v>
      </c>
      <c r="J52" s="41">
        <f t="shared" si="50"/>
        <v>4830.181408989386</v>
      </c>
      <c r="K52" s="41">
        <f t="shared" si="50"/>
        <v>4786.3390488626874</v>
      </c>
    </row>
    <row r="53" spans="1:38">
      <c r="C53" s="10" t="s">
        <v>86</v>
      </c>
      <c r="D53" s="42">
        <f>'GT workings base'!D136</f>
        <v>134.63441804421612</v>
      </c>
      <c r="E53" s="42">
        <f>'GT workings base'!E136</f>
        <v>148.06659958282847</v>
      </c>
      <c r="F53" s="42">
        <f>'GT workings base'!F136</f>
        <v>194.93446375185869</v>
      </c>
      <c r="G53" s="42">
        <f>'GT workings base'!G136</f>
        <v>278.28972645527188</v>
      </c>
      <c r="H53" s="42">
        <f>'GT workings base'!H136</f>
        <v>267.35662941971634</v>
      </c>
      <c r="I53" s="42">
        <f>'GT workings base'!I136</f>
        <v>156.44297209842156</v>
      </c>
      <c r="J53" s="42">
        <f>'GT workings base'!J136</f>
        <v>118.5486714458289</v>
      </c>
      <c r="K53" s="42">
        <f>'GT workings base'!K136</f>
        <v>108.60158359588414</v>
      </c>
    </row>
    <row r="54" spans="1:38">
      <c r="C54" s="11" t="s">
        <v>92</v>
      </c>
      <c r="D54" s="42">
        <f>'GT workings base'!D167</f>
        <v>-146.2113385372329</v>
      </c>
      <c r="E54" s="42">
        <f>'GT workings base'!E167</f>
        <v>-144.85340732479523</v>
      </c>
      <c r="F54" s="42">
        <f>'GT workings base'!F167</f>
        <v>-143.75882243451281</v>
      </c>
      <c r="G54" s="42">
        <f>'GT workings base'!G167</f>
        <v>-143.62994616195877</v>
      </c>
      <c r="H54" s="42">
        <f>'GT workings base'!H167</f>
        <v>-144.36654415261825</v>
      </c>
      <c r="I54" s="42">
        <f>'GT workings base'!I167</f>
        <v>-144.23491526205311</v>
      </c>
      <c r="J54" s="42">
        <f>'GT workings base'!J167</f>
        <v>-143.02394501567161</v>
      </c>
      <c r="K54" s="42">
        <f>'GT workings base'!K167</f>
        <v>-141.36922321253945</v>
      </c>
    </row>
    <row r="55" spans="1:38">
      <c r="C55" s="10" t="s">
        <v>93</v>
      </c>
      <c r="D55" s="42">
        <f>'GT workings base'!D168</f>
        <v>0</v>
      </c>
      <c r="E55" s="42">
        <f>'GT workings base'!E168</f>
        <v>-2.6770715291090248</v>
      </c>
      <c r="F55" s="42">
        <f>'GT workings base'!F168</f>
        <v>-5.3892896591430821</v>
      </c>
      <c r="G55" s="42">
        <f>'GT workings base'!G168</f>
        <v>-8.1773072640939173</v>
      </c>
      <c r="H55" s="42">
        <f>'GT workings base'!H168</f>
        <v>-11.952189777018132</v>
      </c>
      <c r="I55" s="42">
        <f>'GT workings base'!I168</f>
        <v>-16.352341459265759</v>
      </c>
      <c r="J55" s="42">
        <f>'GT workings base'!J168</f>
        <v>-19.367086556856556</v>
      </c>
      <c r="K55" s="42">
        <f>'GT workings base'!K168</f>
        <v>-21.98348764114035</v>
      </c>
      <c r="N55" s="132" t="s">
        <v>301</v>
      </c>
    </row>
    <row r="56" spans="1:38" ht="13.8" thickBot="1">
      <c r="C56" s="23" t="s">
        <v>94</v>
      </c>
      <c r="D56" s="44">
        <f>SUM(D52:D55)</f>
        <v>4550.4828527058562</v>
      </c>
      <c r="E56" s="44">
        <f t="shared" ref="E56:K56" si="51">SUM(E52:E55)</f>
        <v>4551.0189734347805</v>
      </c>
      <c r="F56" s="44">
        <f t="shared" si="51"/>
        <v>4596.8053250929834</v>
      </c>
      <c r="G56" s="44">
        <f t="shared" si="51"/>
        <v>4723.2877981222027</v>
      </c>
      <c r="H56" s="44">
        <f t="shared" si="51"/>
        <v>4834.3256936122825</v>
      </c>
      <c r="I56" s="44">
        <f t="shared" si="51"/>
        <v>4830.181408989386</v>
      </c>
      <c r="J56" s="44">
        <f t="shared" si="51"/>
        <v>4786.3390488626874</v>
      </c>
      <c r="K56" s="44">
        <f t="shared" si="51"/>
        <v>4731.5879216048916</v>
      </c>
      <c r="N56" s="133">
        <f>(K56/D56)^(1/7)-1</f>
        <v>5.5909298326373147E-3</v>
      </c>
    </row>
    <row r="58" spans="1:38">
      <c r="D58" s="53">
        <f>D56-D65-D66</f>
        <v>5.1159076974727213E-13</v>
      </c>
      <c r="E58" s="53">
        <f t="shared" ref="E58:K58" si="52">E56-E65-E66</f>
        <v>0</v>
      </c>
      <c r="F58" s="53">
        <f t="shared" si="52"/>
        <v>0</v>
      </c>
      <c r="G58" s="53">
        <f t="shared" si="52"/>
        <v>0</v>
      </c>
      <c r="H58" s="53">
        <f t="shared" si="52"/>
        <v>-4.2632564145606011E-13</v>
      </c>
      <c r="I58" s="53">
        <f t="shared" si="52"/>
        <v>8.7396756498492323E-13</v>
      </c>
      <c r="J58" s="53">
        <f t="shared" si="52"/>
        <v>1.677435967906149E-12</v>
      </c>
      <c r="K58" s="53">
        <f t="shared" si="52"/>
        <v>1.8189894035458565E-12</v>
      </c>
    </row>
    <row r="59" spans="1:38" ht="13.8" thickBot="1">
      <c r="A59" s="38" t="s">
        <v>401</v>
      </c>
    </row>
    <row r="60" spans="1:38" ht="13.8" thickBot="1">
      <c r="C60" s="7" t="s">
        <v>58</v>
      </c>
      <c r="D60" s="8" t="s">
        <v>59</v>
      </c>
      <c r="E60" s="8" t="s">
        <v>60</v>
      </c>
      <c r="F60" s="8" t="s">
        <v>61</v>
      </c>
      <c r="G60" s="8" t="s">
        <v>62</v>
      </c>
      <c r="H60" s="8" t="s">
        <v>63</v>
      </c>
      <c r="I60" s="8" t="s">
        <v>64</v>
      </c>
      <c r="J60" s="8" t="s">
        <v>65</v>
      </c>
      <c r="K60" s="8" t="s">
        <v>66</v>
      </c>
      <c r="S60" s="14" t="s">
        <v>58</v>
      </c>
      <c r="T60" s="15" t="s">
        <v>59</v>
      </c>
      <c r="U60" s="15" t="s">
        <v>60</v>
      </c>
      <c r="V60" s="15" t="s">
        <v>61</v>
      </c>
      <c r="W60" s="15" t="s">
        <v>62</v>
      </c>
      <c r="X60" s="15" t="s">
        <v>63</v>
      </c>
      <c r="Y60" s="15" t="s">
        <v>64</v>
      </c>
      <c r="Z60" s="15" t="s">
        <v>65</v>
      </c>
      <c r="AA60" s="15" t="s">
        <v>66</v>
      </c>
      <c r="AD60" s="15" t="s">
        <v>59</v>
      </c>
      <c r="AE60" s="15" t="s">
        <v>60</v>
      </c>
      <c r="AF60" s="15" t="s">
        <v>61</v>
      </c>
      <c r="AG60" s="15" t="s">
        <v>62</v>
      </c>
      <c r="AH60" s="15" t="s">
        <v>63</v>
      </c>
      <c r="AI60" s="15" t="s">
        <v>64</v>
      </c>
      <c r="AJ60" s="15" t="s">
        <v>65</v>
      </c>
      <c r="AK60" s="15" t="s">
        <v>66</v>
      </c>
      <c r="AL60" s="15" t="s">
        <v>345</v>
      </c>
    </row>
    <row r="61" spans="1:38">
      <c r="C61" s="22" t="s">
        <v>91</v>
      </c>
      <c r="D61" s="41">
        <f>'GT workings base'!D59</f>
        <v>4014.3985484751774</v>
      </c>
      <c r="E61" s="41">
        <f>'GT workings base'!E59</f>
        <v>4234.9966832448035</v>
      </c>
      <c r="F61" s="41">
        <f>'GT workings base'!F59</f>
        <v>4218.817246014868</v>
      </c>
      <c r="G61" s="41">
        <f>'GT workings base'!G59</f>
        <v>4205.3144552237063</v>
      </c>
      <c r="H61" s="41">
        <f>'GT workings base'!H59</f>
        <v>4247.4656576703437</v>
      </c>
      <c r="I61" s="41">
        <f>'GT workings base'!I59</f>
        <v>4764.9758898937098</v>
      </c>
      <c r="J61" s="41">
        <f>'GT workings base'!J59</f>
        <v>4809.4019662825494</v>
      </c>
      <c r="K61" s="41">
        <f>'GT workings base'!K59</f>
        <v>4785.5284262096275</v>
      </c>
      <c r="S61" s="24" t="s">
        <v>91</v>
      </c>
      <c r="T61" s="36">
        <v>4057</v>
      </c>
      <c r="U61" s="36">
        <v>4316</v>
      </c>
      <c r="V61" s="36">
        <v>4369</v>
      </c>
      <c r="W61" s="36">
        <v>4527</v>
      </c>
      <c r="X61" s="36">
        <v>4793</v>
      </c>
      <c r="Y61" s="36">
        <v>5635</v>
      </c>
      <c r="Z61" s="36">
        <v>5994</v>
      </c>
      <c r="AA61" s="36">
        <v>6340</v>
      </c>
      <c r="AD61" s="36">
        <f t="shared" ref="AD61:AD80" si="53">D61-T61</f>
        <v>-42.601451524822551</v>
      </c>
      <c r="AE61" s="36">
        <f t="shared" ref="AE61:AE80" si="54">E61-U61</f>
        <v>-81.003316755196465</v>
      </c>
      <c r="AF61" s="36">
        <f t="shared" ref="AF61:AF80" si="55">F61-V61</f>
        <v>-150.18275398513197</v>
      </c>
      <c r="AG61" s="36">
        <f t="shared" ref="AG61:AG80" si="56">G61-W61</f>
        <v>-321.68554477629368</v>
      </c>
      <c r="AH61" s="36">
        <f t="shared" ref="AH61:AH80" si="57">H61-X61</f>
        <v>-545.53434232965628</v>
      </c>
      <c r="AI61" s="36">
        <f t="shared" ref="AI61:AI80" si="58">I61-Y61</f>
        <v>-870.02411010629021</v>
      </c>
      <c r="AJ61" s="36">
        <f t="shared" ref="AJ61:AJ80" si="59">J61-Z61</f>
        <v>-1184.5980337174506</v>
      </c>
      <c r="AK61" s="36">
        <f t="shared" ref="AK61:AK80" si="60">K61-AA61</f>
        <v>-1554.4715737903725</v>
      </c>
      <c r="AL61" s="163">
        <f>SUM(AD61:AK61)</f>
        <v>-4750.1011269852143</v>
      </c>
    </row>
    <row r="62" spans="1:38">
      <c r="C62" s="10" t="s">
        <v>85</v>
      </c>
      <c r="D62" s="42">
        <f>'GT workings base'!D60</f>
        <v>238.90848777994489</v>
      </c>
      <c r="E62" s="42">
        <f>'GT workings base'!E60</f>
        <v>1.5889649604528906</v>
      </c>
      <c r="F62" s="42">
        <f>'GT workings base'!F60</f>
        <v>1.9371656435515117</v>
      </c>
      <c r="G62" s="42">
        <f>'GT workings base'!G60</f>
        <v>14.654700839030934</v>
      </c>
      <c r="H62" s="42">
        <f>'GT workings base'!H60</f>
        <v>475.82214045185901</v>
      </c>
      <c r="I62" s="42">
        <f>'GT workings base'!I60</f>
        <v>69.349803718573156</v>
      </c>
      <c r="J62" s="42">
        <f>'GT workings base'!J60</f>
        <v>20.779442706835688</v>
      </c>
      <c r="K62" s="42">
        <f>'GT workings base'!K60</f>
        <v>0.81062265305823133</v>
      </c>
      <c r="S62" s="17" t="s">
        <v>85</v>
      </c>
      <c r="T62" s="27">
        <v>243</v>
      </c>
      <c r="U62" s="27">
        <v>2</v>
      </c>
      <c r="V62" s="27">
        <v>2</v>
      </c>
      <c r="W62" s="27">
        <v>11</v>
      </c>
      <c r="X62" s="27">
        <v>484</v>
      </c>
      <c r="Y62" s="27">
        <v>72</v>
      </c>
      <c r="Z62" s="27">
        <v>22</v>
      </c>
      <c r="AA62" s="27">
        <v>1</v>
      </c>
      <c r="AD62" s="27">
        <f t="shared" si="53"/>
        <v>-4.0915122200551082</v>
      </c>
      <c r="AE62" s="27">
        <f t="shared" si="54"/>
        <v>-0.4110350395471094</v>
      </c>
      <c r="AF62" s="27">
        <f t="shared" si="55"/>
        <v>-6.2834356448488338E-2</v>
      </c>
      <c r="AG62" s="27">
        <f t="shared" si="56"/>
        <v>3.6547008390309337</v>
      </c>
      <c r="AH62" s="27">
        <f t="shared" si="57"/>
        <v>-8.1778595481409866</v>
      </c>
      <c r="AI62" s="27">
        <f t="shared" si="58"/>
        <v>-2.6501962814268438</v>
      </c>
      <c r="AJ62" s="27">
        <f t="shared" si="59"/>
        <v>-1.2205572931643118</v>
      </c>
      <c r="AK62" s="27">
        <f t="shared" si="60"/>
        <v>-0.18937734694176867</v>
      </c>
      <c r="AL62" s="31">
        <f t="shared" ref="AL62:AL80" si="61">SUM(AD62:AK62)</f>
        <v>-13.148671246693683</v>
      </c>
    </row>
    <row r="63" spans="1:38">
      <c r="C63" s="11" t="s">
        <v>86</v>
      </c>
      <c r="D63" s="43">
        <f>'GT workings base'!D62</f>
        <v>120.46821880990612</v>
      </c>
      <c r="E63" s="43">
        <f>'GT workings base'!E62</f>
        <v>122.04981585153259</v>
      </c>
      <c r="F63" s="43">
        <f>'GT workings base'!F62</f>
        <v>125.46079222278756</v>
      </c>
      <c r="G63" s="43">
        <f>'GT workings base'!G62</f>
        <v>169.86971308158965</v>
      </c>
      <c r="H63" s="43">
        <f>'GT workings base'!H62</f>
        <v>198.00682570114319</v>
      </c>
      <c r="I63" s="43">
        <f>'GT workings base'!I62</f>
        <v>135.66352939158588</v>
      </c>
      <c r="J63" s="43">
        <f>'GT workings base'!J62</f>
        <v>117.73804879277067</v>
      </c>
      <c r="K63" s="43">
        <f>'GT workings base'!K62</f>
        <v>108.60158359588414</v>
      </c>
      <c r="S63" s="18" t="s">
        <v>86</v>
      </c>
      <c r="T63" s="29">
        <v>156</v>
      </c>
      <c r="U63" s="29">
        <v>193</v>
      </c>
      <c r="V63" s="29">
        <v>300</v>
      </c>
      <c r="W63" s="29">
        <v>405</v>
      </c>
      <c r="X63" s="29">
        <v>527</v>
      </c>
      <c r="Y63" s="29">
        <v>468</v>
      </c>
      <c r="Z63" s="29">
        <v>514</v>
      </c>
      <c r="AA63" s="29">
        <v>552</v>
      </c>
      <c r="AD63" s="29">
        <f t="shared" si="53"/>
        <v>-35.531781190093881</v>
      </c>
      <c r="AE63" s="29">
        <f t="shared" si="54"/>
        <v>-70.950184148467415</v>
      </c>
      <c r="AF63" s="29">
        <f t="shared" si="55"/>
        <v>-174.53920777721243</v>
      </c>
      <c r="AG63" s="29">
        <f t="shared" si="56"/>
        <v>-235.13028691841035</v>
      </c>
      <c r="AH63" s="29">
        <f t="shared" si="57"/>
        <v>-328.99317429885684</v>
      </c>
      <c r="AI63" s="29">
        <f t="shared" si="58"/>
        <v>-332.33647060841412</v>
      </c>
      <c r="AJ63" s="29">
        <f t="shared" si="59"/>
        <v>-396.26195120722934</v>
      </c>
      <c r="AK63" s="29">
        <f t="shared" si="60"/>
        <v>-443.39841640411589</v>
      </c>
      <c r="AL63" s="157">
        <f t="shared" si="61"/>
        <v>-2017.1414725528002</v>
      </c>
    </row>
    <row r="64" spans="1:38">
      <c r="C64" s="10" t="s">
        <v>87</v>
      </c>
      <c r="D64" s="42">
        <f>'GT workings base'!D63</f>
        <v>-138.77857182022461</v>
      </c>
      <c r="E64" s="42">
        <f>'GT workings base'!E63</f>
        <v>-139.81821804192137</v>
      </c>
      <c r="F64" s="42">
        <f>'GT workings base'!F63</f>
        <v>-140.90074865750091</v>
      </c>
      <c r="G64" s="42">
        <f>'GT workings base'!G63</f>
        <v>-142.37321147398359</v>
      </c>
      <c r="H64" s="42">
        <f>'GT workings base'!H63</f>
        <v>-156.31873392963638</v>
      </c>
      <c r="I64" s="42">
        <f>'GT workings base'!I63</f>
        <v>-160.58725672131885</v>
      </c>
      <c r="J64" s="42">
        <f>'GT workings base'!J63</f>
        <v>-162.39103157252816</v>
      </c>
      <c r="K64" s="42">
        <f>'GT workings base'!K63</f>
        <v>-163.35271085367981</v>
      </c>
      <c r="S64" s="17" t="s">
        <v>87</v>
      </c>
      <c r="T64" s="27">
        <v>-140</v>
      </c>
      <c r="U64" s="27">
        <v>-142</v>
      </c>
      <c r="V64" s="27">
        <v>-144</v>
      </c>
      <c r="W64" s="27">
        <v>-149</v>
      </c>
      <c r="X64" s="27">
        <v>-169</v>
      </c>
      <c r="Y64" s="27">
        <v>-180</v>
      </c>
      <c r="Z64" s="27">
        <v>-190</v>
      </c>
      <c r="AA64" s="27">
        <v>-199</v>
      </c>
      <c r="AD64" s="27">
        <f t="shared" si="53"/>
        <v>1.221428179775387</v>
      </c>
      <c r="AE64" s="27">
        <f t="shared" si="54"/>
        <v>2.1817819580786306</v>
      </c>
      <c r="AF64" s="27">
        <f t="shared" si="55"/>
        <v>3.0992513424990875</v>
      </c>
      <c r="AG64" s="27">
        <f t="shared" si="56"/>
        <v>6.6267885260164121</v>
      </c>
      <c r="AH64" s="27">
        <f t="shared" si="57"/>
        <v>12.68126607036362</v>
      </c>
      <c r="AI64" s="27">
        <f t="shared" si="58"/>
        <v>19.412743278681148</v>
      </c>
      <c r="AJ64" s="27">
        <f t="shared" si="59"/>
        <v>27.608968427471837</v>
      </c>
      <c r="AK64" s="27">
        <f t="shared" si="60"/>
        <v>35.64728914632019</v>
      </c>
      <c r="AL64" s="31">
        <f t="shared" si="61"/>
        <v>108.47951692920631</v>
      </c>
    </row>
    <row r="65" spans="1:38" ht="12.75" customHeight="1">
      <c r="C65" s="39" t="s">
        <v>94</v>
      </c>
      <c r="D65" s="45">
        <f>SUM(D61:D64)</f>
        <v>4234.9966832448035</v>
      </c>
      <c r="E65" s="45">
        <f t="shared" ref="E65:K65" si="62">SUM(E61:E64)</f>
        <v>4218.817246014868</v>
      </c>
      <c r="F65" s="45">
        <f t="shared" si="62"/>
        <v>4205.3144552237063</v>
      </c>
      <c r="G65" s="45">
        <f t="shared" si="62"/>
        <v>4247.4656576703437</v>
      </c>
      <c r="H65" s="45">
        <f t="shared" si="62"/>
        <v>4764.9758898937098</v>
      </c>
      <c r="I65" s="45">
        <f t="shared" si="62"/>
        <v>4809.4019662825494</v>
      </c>
      <c r="J65" s="45">
        <f t="shared" si="62"/>
        <v>4785.5284262096275</v>
      </c>
      <c r="K65" s="45">
        <f t="shared" si="62"/>
        <v>4731.5879216048897</v>
      </c>
      <c r="S65" s="123" t="s">
        <v>94</v>
      </c>
      <c r="T65" s="157">
        <v>4316</v>
      </c>
      <c r="U65" s="157">
        <v>4369</v>
      </c>
      <c r="V65" s="157">
        <v>4527</v>
      </c>
      <c r="W65" s="157">
        <v>4793</v>
      </c>
      <c r="X65" s="157">
        <v>5635</v>
      </c>
      <c r="Y65" s="157">
        <v>5994</v>
      </c>
      <c r="Z65" s="157">
        <v>6340</v>
      </c>
      <c r="AA65" s="157">
        <v>6693</v>
      </c>
      <c r="AD65" s="157">
        <f t="shared" si="53"/>
        <v>-81.003316755196465</v>
      </c>
      <c r="AE65" s="157">
        <f t="shared" si="54"/>
        <v>-150.18275398513197</v>
      </c>
      <c r="AF65" s="157">
        <f t="shared" si="55"/>
        <v>-321.68554477629368</v>
      </c>
      <c r="AG65" s="157">
        <f t="shared" si="56"/>
        <v>-545.53434232965628</v>
      </c>
      <c r="AH65" s="157">
        <f t="shared" si="57"/>
        <v>-870.02411010629021</v>
      </c>
      <c r="AI65" s="157">
        <f t="shared" si="58"/>
        <v>-1184.5980337174506</v>
      </c>
      <c r="AJ65" s="157">
        <f t="shared" si="59"/>
        <v>-1554.4715737903725</v>
      </c>
      <c r="AK65" s="157">
        <f t="shared" si="60"/>
        <v>-1961.4120783951103</v>
      </c>
      <c r="AL65" s="157">
        <f t="shared" si="61"/>
        <v>-6668.911753855502</v>
      </c>
    </row>
    <row r="66" spans="1:38" ht="12.75" customHeight="1">
      <c r="C66" s="10" t="s">
        <v>89</v>
      </c>
      <c r="D66" s="42">
        <f>'GT workings base'!D133</f>
        <v>315.48616946105216</v>
      </c>
      <c r="E66" s="42">
        <f>'GT workings base'!E133</f>
        <v>332.20172741991223</v>
      </c>
      <c r="F66" s="42">
        <f>'GT workings base'!F133</f>
        <v>391.49086986927688</v>
      </c>
      <c r="G66" s="42">
        <f>'GT workings base'!G133</f>
        <v>475.82214045185907</v>
      </c>
      <c r="H66" s="42">
        <f>'GT workings base'!H133</f>
        <v>69.349803718573156</v>
      </c>
      <c r="I66" s="42">
        <f>'GT workings base'!I133</f>
        <v>20.779442706835688</v>
      </c>
      <c r="J66" s="42">
        <f>'GT workings base'!J133</f>
        <v>0.81062265305823133</v>
      </c>
      <c r="K66" s="42">
        <f>'GT workings base'!K133</f>
        <v>0</v>
      </c>
      <c r="S66" s="17" t="s">
        <v>89</v>
      </c>
      <c r="T66" s="27">
        <v>312</v>
      </c>
      <c r="U66" s="27">
        <v>330</v>
      </c>
      <c r="V66" s="27">
        <v>392</v>
      </c>
      <c r="W66" s="27">
        <v>484</v>
      </c>
      <c r="X66" s="27">
        <v>72</v>
      </c>
      <c r="Y66" s="27">
        <v>22</v>
      </c>
      <c r="Z66" s="27">
        <v>1</v>
      </c>
      <c r="AA66" s="27">
        <v>0</v>
      </c>
      <c r="AD66" s="27">
        <f t="shared" si="53"/>
        <v>3.4861694610521567</v>
      </c>
      <c r="AE66" s="27">
        <f t="shared" si="54"/>
        <v>2.2017274199122312</v>
      </c>
      <c r="AF66" s="27">
        <f t="shared" si="55"/>
        <v>-0.50913013072312197</v>
      </c>
      <c r="AG66" s="27">
        <f t="shared" si="56"/>
        <v>-8.1778595481409297</v>
      </c>
      <c r="AH66" s="27">
        <f t="shared" si="57"/>
        <v>-2.6501962814268438</v>
      </c>
      <c r="AI66" s="27">
        <f t="shared" si="58"/>
        <v>-1.2205572931643118</v>
      </c>
      <c r="AJ66" s="27">
        <f t="shared" si="59"/>
        <v>-0.18937734694176867</v>
      </c>
      <c r="AK66" s="27">
        <f t="shared" si="60"/>
        <v>0</v>
      </c>
      <c r="AL66" s="31">
        <f t="shared" si="61"/>
        <v>-7.0592237194325884</v>
      </c>
    </row>
    <row r="67" spans="1:38" ht="12.75" customHeight="1">
      <c r="C67" s="48"/>
      <c r="D67" s="230"/>
      <c r="E67" s="230"/>
      <c r="F67" s="230"/>
      <c r="G67" s="230"/>
      <c r="H67" s="230"/>
      <c r="I67" s="230"/>
      <c r="J67" s="230"/>
      <c r="K67" s="230"/>
      <c r="S67" s="231"/>
      <c r="T67" s="168"/>
      <c r="U67" s="168"/>
      <c r="V67" s="168"/>
      <c r="W67" s="168"/>
      <c r="X67" s="168"/>
      <c r="Y67" s="168"/>
      <c r="Z67" s="168"/>
      <c r="AA67" s="168"/>
      <c r="AD67" s="168">
        <f t="shared" si="53"/>
        <v>0</v>
      </c>
      <c r="AE67" s="168">
        <f t="shared" si="54"/>
        <v>0</v>
      </c>
      <c r="AF67" s="168">
        <f t="shared" si="55"/>
        <v>0</v>
      </c>
      <c r="AG67" s="168">
        <f t="shared" si="56"/>
        <v>0</v>
      </c>
      <c r="AH67" s="168">
        <f t="shared" si="57"/>
        <v>0</v>
      </c>
      <c r="AI67" s="168">
        <f t="shared" si="58"/>
        <v>0</v>
      </c>
      <c r="AJ67" s="168">
        <f t="shared" si="59"/>
        <v>0</v>
      </c>
      <c r="AK67" s="168">
        <f t="shared" si="60"/>
        <v>0</v>
      </c>
      <c r="AL67" s="167">
        <f t="shared" si="61"/>
        <v>0</v>
      </c>
    </row>
    <row r="68" spans="1:38" ht="13.8" thickBot="1">
      <c r="A68" s="38"/>
    </row>
    <row r="69" spans="1:38" ht="13.8" thickBot="1">
      <c r="C69" s="7" t="s">
        <v>58</v>
      </c>
      <c r="D69" s="8" t="s">
        <v>59</v>
      </c>
      <c r="E69" s="8" t="s">
        <v>60</v>
      </c>
      <c r="F69" s="8" t="s">
        <v>61</v>
      </c>
      <c r="G69" s="8" t="s">
        <v>62</v>
      </c>
      <c r="H69" s="8" t="s">
        <v>63</v>
      </c>
      <c r="I69" s="8" t="s">
        <v>64</v>
      </c>
      <c r="J69" s="8" t="s">
        <v>65</v>
      </c>
      <c r="K69" s="8" t="s">
        <v>66</v>
      </c>
      <c r="S69" s="14" t="s">
        <v>58</v>
      </c>
      <c r="T69" s="15" t="s">
        <v>59</v>
      </c>
      <c r="U69" s="15" t="s">
        <v>60</v>
      </c>
      <c r="V69" s="15" t="s">
        <v>61</v>
      </c>
      <c r="W69" s="15" t="s">
        <v>62</v>
      </c>
      <c r="X69" s="15" t="s">
        <v>63</v>
      </c>
      <c r="Y69" s="15" t="s">
        <v>64</v>
      </c>
      <c r="Z69" s="15" t="s">
        <v>65</v>
      </c>
      <c r="AA69" s="15" t="s">
        <v>66</v>
      </c>
      <c r="AD69" s="15" t="s">
        <v>59</v>
      </c>
      <c r="AE69" s="15" t="s">
        <v>60</v>
      </c>
      <c r="AF69" s="15" t="s">
        <v>61</v>
      </c>
      <c r="AG69" s="15" t="s">
        <v>62</v>
      </c>
      <c r="AH69" s="15" t="s">
        <v>63</v>
      </c>
      <c r="AI69" s="15" t="s">
        <v>64</v>
      </c>
      <c r="AJ69" s="15" t="s">
        <v>65</v>
      </c>
      <c r="AK69" s="15" t="s">
        <v>66</v>
      </c>
      <c r="AL69" s="15" t="s">
        <v>345</v>
      </c>
    </row>
    <row r="70" spans="1:38" ht="12.75" customHeight="1">
      <c r="C70" s="10" t="s">
        <v>79</v>
      </c>
      <c r="D70" s="42">
        <f>'GT workings base'!D75</f>
        <v>66.598521331123962</v>
      </c>
      <c r="E70" s="42">
        <f>'GT workings base'!E75</f>
        <v>67.472820316867796</v>
      </c>
      <c r="F70" s="42">
        <f>'GT workings base'!F75</f>
        <v>69.358391105946623</v>
      </c>
      <c r="G70" s="42">
        <f>'GT workings base'!G75</f>
        <v>93.907421891247139</v>
      </c>
      <c r="H70" s="42">
        <f>'GT workings base'!H75</f>
        <v>109.4614779355966</v>
      </c>
      <c r="I70" s="42">
        <f>'GT workings base'!I75</f>
        <v>74.998413516027682</v>
      </c>
      <c r="J70" s="42">
        <f>'GT workings base'!J75</f>
        <v>65.089296911713689</v>
      </c>
      <c r="K70" s="42">
        <f>'GT workings base'!K75</f>
        <v>60.03870434945965</v>
      </c>
      <c r="S70" s="17" t="s">
        <v>79</v>
      </c>
      <c r="T70" s="27">
        <v>100</v>
      </c>
      <c r="U70" s="27">
        <v>98</v>
      </c>
      <c r="V70" s="27">
        <v>115</v>
      </c>
      <c r="W70" s="27">
        <v>139</v>
      </c>
      <c r="X70" s="27">
        <v>165</v>
      </c>
      <c r="Y70" s="27">
        <v>126</v>
      </c>
      <c r="Z70" s="27">
        <v>126</v>
      </c>
      <c r="AA70" s="27">
        <v>130</v>
      </c>
      <c r="AD70" s="27">
        <f t="shared" si="53"/>
        <v>-33.401478668876038</v>
      </c>
      <c r="AE70" s="27">
        <f t="shared" si="54"/>
        <v>-30.527179683132204</v>
      </c>
      <c r="AF70" s="27">
        <f t="shared" si="55"/>
        <v>-45.641608894053377</v>
      </c>
      <c r="AG70" s="27">
        <f t="shared" si="56"/>
        <v>-45.092578108752861</v>
      </c>
      <c r="AH70" s="27">
        <f t="shared" si="57"/>
        <v>-55.538522064403395</v>
      </c>
      <c r="AI70" s="27">
        <f t="shared" si="58"/>
        <v>-51.001586483972318</v>
      </c>
      <c r="AJ70" s="27">
        <f t="shared" si="59"/>
        <v>-60.910703088286311</v>
      </c>
      <c r="AK70" s="27">
        <f t="shared" si="60"/>
        <v>-69.96129565054035</v>
      </c>
      <c r="AL70" s="31">
        <f t="shared" si="61"/>
        <v>-392.07495264201685</v>
      </c>
    </row>
    <row r="71" spans="1:38" ht="12.75" customHeight="1">
      <c r="C71" s="11" t="s">
        <v>98</v>
      </c>
      <c r="D71" s="43">
        <f>'GT workings base'!D76</f>
        <v>110.11544616012048</v>
      </c>
      <c r="E71" s="43">
        <f>'GT workings base'!E76</f>
        <v>110.29121834911521</v>
      </c>
      <c r="F71" s="43">
        <f>'GT workings base'!F76</f>
        <v>110.32860169190292</v>
      </c>
      <c r="G71" s="43">
        <f>'GT workings base'!G76</f>
        <v>110.3596633646699</v>
      </c>
      <c r="H71" s="43">
        <f>'GT workings base'!H76</f>
        <v>110.27343835902431</v>
      </c>
      <c r="I71" s="43">
        <f>'GT workings base'!I76</f>
        <v>110.27662588032852</v>
      </c>
      <c r="J71" s="43">
        <f>'GT workings base'!J76</f>
        <v>110.30420904525512</v>
      </c>
      <c r="K71" s="43">
        <f>'GT workings base'!K76</f>
        <v>110.31067350058066</v>
      </c>
      <c r="S71" s="18" t="s">
        <v>98</v>
      </c>
      <c r="T71" s="29">
        <v>96</v>
      </c>
      <c r="U71" s="29">
        <v>96</v>
      </c>
      <c r="V71" s="29">
        <v>96</v>
      </c>
      <c r="W71" s="29">
        <v>96</v>
      </c>
      <c r="X71" s="29">
        <v>96</v>
      </c>
      <c r="Y71" s="29">
        <v>96</v>
      </c>
      <c r="Z71" s="29">
        <v>96</v>
      </c>
      <c r="AA71" s="29">
        <v>96</v>
      </c>
      <c r="AD71" s="29">
        <f t="shared" si="53"/>
        <v>14.115446160120484</v>
      </c>
      <c r="AE71" s="29">
        <f t="shared" si="54"/>
        <v>14.291218349115212</v>
      </c>
      <c r="AF71" s="29">
        <f t="shared" si="55"/>
        <v>14.328601691902918</v>
      </c>
      <c r="AG71" s="29">
        <f t="shared" si="56"/>
        <v>14.359663364669899</v>
      </c>
      <c r="AH71" s="29">
        <f t="shared" si="57"/>
        <v>14.273438359024311</v>
      </c>
      <c r="AI71" s="29">
        <f t="shared" si="58"/>
        <v>14.276625880328524</v>
      </c>
      <c r="AJ71" s="29">
        <f t="shared" si="59"/>
        <v>14.304209045255121</v>
      </c>
      <c r="AK71" s="29">
        <f t="shared" si="60"/>
        <v>14.310673500580663</v>
      </c>
      <c r="AL71" s="157">
        <f t="shared" si="61"/>
        <v>114.25987635099713</v>
      </c>
    </row>
    <row r="72" spans="1:38" ht="12.75" customHeight="1">
      <c r="C72" s="10" t="s">
        <v>99</v>
      </c>
      <c r="D72" s="42">
        <f>'GT workings base'!D145</f>
        <v>40.732299345663577</v>
      </c>
      <c r="E72" s="42">
        <f>'GT workings base'!E145</f>
        <v>41.140781327652903</v>
      </c>
      <c r="F72" s="42">
        <f>'GT workings base'!F145</f>
        <v>41.67150939635426</v>
      </c>
      <c r="G72" s="42">
        <f>'GT workings base'!G145</f>
        <v>42.325456818061298</v>
      </c>
      <c r="H72" s="42">
        <f>'GT workings base'!H145</f>
        <v>42.803639439468029</v>
      </c>
      <c r="I72" s="42">
        <f>'GT workings base'!I145</f>
        <v>43.407117550561296</v>
      </c>
      <c r="J72" s="42">
        <f>'GT workings base'!J145</f>
        <v>44.136997829014888</v>
      </c>
      <c r="K72" s="42">
        <f>'GT workings base'!K145</f>
        <v>44.694435369650833</v>
      </c>
      <c r="S72" s="17" t="s">
        <v>99</v>
      </c>
      <c r="T72" s="27">
        <v>44</v>
      </c>
      <c r="U72" s="27">
        <v>44</v>
      </c>
      <c r="V72" s="27">
        <v>44</v>
      </c>
      <c r="W72" s="27">
        <v>44</v>
      </c>
      <c r="X72" s="27">
        <v>44</v>
      </c>
      <c r="Y72" s="27">
        <v>44</v>
      </c>
      <c r="Z72" s="27">
        <v>44</v>
      </c>
      <c r="AA72" s="27">
        <v>44</v>
      </c>
      <c r="AD72" s="27">
        <f t="shared" si="53"/>
        <v>-3.2677006543364229</v>
      </c>
      <c r="AE72" s="27">
        <f t="shared" si="54"/>
        <v>-2.8592186723470974</v>
      </c>
      <c r="AF72" s="27">
        <f t="shared" si="55"/>
        <v>-2.32849060364574</v>
      </c>
      <c r="AG72" s="27">
        <f t="shared" si="56"/>
        <v>-1.6745431819387022</v>
      </c>
      <c r="AH72" s="27">
        <f t="shared" si="57"/>
        <v>-1.1963605605319714</v>
      </c>
      <c r="AI72" s="27">
        <f t="shared" si="58"/>
        <v>-0.59288244943870438</v>
      </c>
      <c r="AJ72" s="27">
        <f t="shared" si="59"/>
        <v>0.13699782901488788</v>
      </c>
      <c r="AK72" s="27">
        <f t="shared" si="60"/>
        <v>0.69443536965083297</v>
      </c>
      <c r="AL72" s="31">
        <f t="shared" si="61"/>
        <v>-11.087762923572917</v>
      </c>
    </row>
    <row r="73" spans="1:38" ht="12.75" customHeight="1">
      <c r="C73" s="11" t="s">
        <v>100</v>
      </c>
      <c r="D73" s="43">
        <f>'GT workings base'!D79</f>
        <v>0</v>
      </c>
      <c r="E73" s="43">
        <f>'GT workings base'!E79</f>
        <v>0</v>
      </c>
      <c r="F73" s="43">
        <f>'GT workings base'!F79</f>
        <v>0</v>
      </c>
      <c r="G73" s="43">
        <f>'GT workings base'!G79</f>
        <v>0</v>
      </c>
      <c r="H73" s="43">
        <f>'GT workings base'!H79</f>
        <v>0</v>
      </c>
      <c r="I73" s="43">
        <f>'GT workings base'!I79</f>
        <v>0</v>
      </c>
      <c r="J73" s="43">
        <f>'GT workings base'!J79</f>
        <v>0</v>
      </c>
      <c r="K73" s="43">
        <f>'GT workings base'!K79</f>
        <v>0</v>
      </c>
      <c r="S73" s="18" t="s">
        <v>100</v>
      </c>
      <c r="T73" s="29">
        <v>0</v>
      </c>
      <c r="U73" s="29">
        <v>0</v>
      </c>
      <c r="V73" s="29">
        <v>0</v>
      </c>
      <c r="W73" s="29">
        <v>0</v>
      </c>
      <c r="X73" s="29">
        <v>0</v>
      </c>
      <c r="Y73" s="29">
        <v>0</v>
      </c>
      <c r="Z73" s="29">
        <v>0</v>
      </c>
      <c r="AA73" s="29">
        <v>0</v>
      </c>
      <c r="AD73" s="29">
        <f t="shared" si="53"/>
        <v>0</v>
      </c>
      <c r="AE73" s="29">
        <f t="shared" si="54"/>
        <v>0</v>
      </c>
      <c r="AF73" s="29">
        <f t="shared" si="55"/>
        <v>0</v>
      </c>
      <c r="AG73" s="29">
        <f t="shared" si="56"/>
        <v>0</v>
      </c>
      <c r="AH73" s="29">
        <f t="shared" si="57"/>
        <v>0</v>
      </c>
      <c r="AI73" s="29">
        <f t="shared" si="58"/>
        <v>0</v>
      </c>
      <c r="AJ73" s="29">
        <f t="shared" si="59"/>
        <v>0</v>
      </c>
      <c r="AK73" s="29">
        <f t="shared" si="60"/>
        <v>0</v>
      </c>
      <c r="AL73" s="157">
        <f t="shared" si="61"/>
        <v>0</v>
      </c>
    </row>
    <row r="74" spans="1:38" ht="12.75" customHeight="1">
      <c r="C74" s="10" t="s">
        <v>101</v>
      </c>
      <c r="D74" s="42">
        <f>'GT workings base'!D80</f>
        <v>-1.1295718210052885</v>
      </c>
      <c r="E74" s="42">
        <f>'GT workings base'!E80</f>
        <v>-1.1444007312827333</v>
      </c>
      <c r="F74" s="42">
        <f>'GT workings base'!F80</f>
        <v>-1.1763817360750841</v>
      </c>
      <c r="G74" s="42">
        <f>'GT workings base'!G80</f>
        <v>-1.5927557463957547</v>
      </c>
      <c r="H74" s="42">
        <f>'GT workings base'!H80</f>
        <v>-1.8565667598967899</v>
      </c>
      <c r="I74" s="42">
        <f>'GT workings base'!I80</f>
        <v>-1.2720416735170972</v>
      </c>
      <c r="J74" s="42">
        <f>'GT workings base'!J80</f>
        <v>-1.1039739947823479</v>
      </c>
      <c r="K74" s="42">
        <f>'GT workings base'!K80</f>
        <v>-1.018311326547777</v>
      </c>
      <c r="S74" s="17" t="s">
        <v>101</v>
      </c>
      <c r="T74" s="27">
        <v>-1</v>
      </c>
      <c r="U74" s="27">
        <v>-1</v>
      </c>
      <c r="V74" s="27">
        <v>-1</v>
      </c>
      <c r="W74" s="27">
        <v>-1</v>
      </c>
      <c r="X74" s="27">
        <v>-1</v>
      </c>
      <c r="Y74" s="27">
        <v>-1</v>
      </c>
      <c r="Z74" s="27">
        <v>-1</v>
      </c>
      <c r="AA74" s="27">
        <v>-1</v>
      </c>
      <c r="AD74" s="27">
        <f t="shared" si="53"/>
        <v>-0.12957182100528852</v>
      </c>
      <c r="AE74" s="27">
        <f t="shared" si="54"/>
        <v>-0.14440073128273334</v>
      </c>
      <c r="AF74" s="27">
        <f t="shared" si="55"/>
        <v>-0.17638173607508412</v>
      </c>
      <c r="AG74" s="27">
        <f t="shared" si="56"/>
        <v>-0.59275574639575468</v>
      </c>
      <c r="AH74" s="27">
        <f t="shared" si="57"/>
        <v>-0.85656675989678988</v>
      </c>
      <c r="AI74" s="27">
        <f t="shared" si="58"/>
        <v>-0.27204167351709718</v>
      </c>
      <c r="AJ74" s="27">
        <f t="shared" si="59"/>
        <v>-0.10397399478234792</v>
      </c>
      <c r="AK74" s="27">
        <f t="shared" si="60"/>
        <v>-1.8311326547777007E-2</v>
      </c>
      <c r="AL74" s="31">
        <f t="shared" si="61"/>
        <v>-2.2940037895028729</v>
      </c>
    </row>
    <row r="75" spans="1:38" ht="12.75" customHeight="1">
      <c r="C75" s="11" t="s">
        <v>102</v>
      </c>
      <c r="D75" s="43">
        <f>'GT workings base'!D82</f>
        <v>12.644268657591024</v>
      </c>
      <c r="E75" s="43">
        <f>'GT workings base'!E82</f>
        <v>14.449255534190641</v>
      </c>
      <c r="F75" s="43">
        <f>'GT workings base'!F82</f>
        <v>16.43442755908881</v>
      </c>
      <c r="G75" s="43">
        <f>'GT workings base'!G82</f>
        <v>21.583941415719533</v>
      </c>
      <c r="H75" s="43">
        <f>'GT workings base'!H82</f>
        <v>29.028375270952761</v>
      </c>
      <c r="I75" s="43">
        <f>'GT workings base'!I82</f>
        <v>22.378892169655941</v>
      </c>
      <c r="J75" s="43">
        <f>'GT workings base'!J82</f>
        <v>24.436898369417349</v>
      </c>
      <c r="K75" s="43">
        <f>'GT workings base'!K82</f>
        <v>27.98727368001045</v>
      </c>
      <c r="S75" s="18" t="s">
        <v>102</v>
      </c>
      <c r="T75" s="29">
        <v>6</v>
      </c>
      <c r="U75" s="29">
        <v>10</v>
      </c>
      <c r="V75" s="29">
        <v>15</v>
      </c>
      <c r="W75" s="29">
        <v>18</v>
      </c>
      <c r="X75" s="29">
        <v>24</v>
      </c>
      <c r="Y75" s="29">
        <v>10</v>
      </c>
      <c r="Z75" s="29">
        <v>8</v>
      </c>
      <c r="AA75" s="29">
        <v>7</v>
      </c>
      <c r="AD75" s="29">
        <f t="shared" si="53"/>
        <v>6.6442686575910237</v>
      </c>
      <c r="AE75" s="29">
        <f t="shared" si="54"/>
        <v>4.449255534190641</v>
      </c>
      <c r="AF75" s="29">
        <f t="shared" si="55"/>
        <v>1.4344275590888103</v>
      </c>
      <c r="AG75" s="29">
        <f t="shared" si="56"/>
        <v>3.5839414157195328</v>
      </c>
      <c r="AH75" s="29">
        <f t="shared" si="57"/>
        <v>5.0283752709527612</v>
      </c>
      <c r="AI75" s="29">
        <f t="shared" si="58"/>
        <v>12.378892169655941</v>
      </c>
      <c r="AJ75" s="29">
        <f t="shared" si="59"/>
        <v>16.436898369417349</v>
      </c>
      <c r="AK75" s="29">
        <f t="shared" si="60"/>
        <v>20.98727368001045</v>
      </c>
      <c r="AL75" s="157">
        <f t="shared" si="61"/>
        <v>70.943332656626509</v>
      </c>
    </row>
    <row r="76" spans="1:38" ht="12.75" customHeight="1">
      <c r="C76" s="10" t="s">
        <v>103</v>
      </c>
      <c r="D76" s="42">
        <f>'GT workings base'!D77+'GT workings base'!D78</f>
        <v>320.57707875541212</v>
      </c>
      <c r="E76" s="42">
        <f>'GT workings base'!E77+'GT workings base'!E78</f>
        <v>320.911854611693</v>
      </c>
      <c r="F76" s="42">
        <f>'GT workings base'!F77+'GT workings base'!F78</f>
        <v>321.3650843064388</v>
      </c>
      <c r="G76" s="42">
        <f>'GT workings base'!G77+'GT workings base'!G78</f>
        <v>323.70377809127632</v>
      </c>
      <c r="H76" s="42">
        <f>'GT workings base'!H77+'GT workings base'!H78</f>
        <v>359.50541867300853</v>
      </c>
      <c r="I76" s="42">
        <f>'GT workings base'!I77+'GT workings base'!I78</f>
        <v>367.13398086183554</v>
      </c>
      <c r="J76" s="42">
        <f>'GT workings base'!J77+'GT workings base'!J78</f>
        <v>368.34675583269609</v>
      </c>
      <c r="K76" s="42">
        <f>'GT workings base'!K77+'GT workings base'!K78</f>
        <v>367.21889386861164</v>
      </c>
      <c r="S76" s="17" t="s">
        <v>103</v>
      </c>
      <c r="T76" s="27">
        <v>327</v>
      </c>
      <c r="U76" s="27">
        <v>330</v>
      </c>
      <c r="V76" s="27">
        <v>338</v>
      </c>
      <c r="W76" s="27">
        <v>352</v>
      </c>
      <c r="X76" s="27">
        <v>406</v>
      </c>
      <c r="Y76" s="27">
        <v>435</v>
      </c>
      <c r="Z76" s="27">
        <v>458</v>
      </c>
      <c r="AA76" s="27">
        <v>483</v>
      </c>
      <c r="AD76" s="27">
        <f t="shared" si="53"/>
        <v>-6.4229212445878829</v>
      </c>
      <c r="AE76" s="27">
        <f t="shared" si="54"/>
        <v>-9.088145388306998</v>
      </c>
      <c r="AF76" s="27">
        <f t="shared" si="55"/>
        <v>-16.634915693561197</v>
      </c>
      <c r="AG76" s="27">
        <f t="shared" si="56"/>
        <v>-28.29622190872368</v>
      </c>
      <c r="AH76" s="27">
        <f t="shared" si="57"/>
        <v>-46.494581326991465</v>
      </c>
      <c r="AI76" s="27">
        <f t="shared" si="58"/>
        <v>-67.866019138164461</v>
      </c>
      <c r="AJ76" s="27">
        <f t="shared" si="59"/>
        <v>-89.65324416730391</v>
      </c>
      <c r="AK76" s="27">
        <f t="shared" si="60"/>
        <v>-115.78110613138836</v>
      </c>
      <c r="AL76" s="31">
        <f t="shared" si="61"/>
        <v>-380.23715499902795</v>
      </c>
    </row>
    <row r="77" spans="1:38" ht="12.75" customHeight="1">
      <c r="C77" s="11" t="s">
        <v>104</v>
      </c>
      <c r="D77" s="43">
        <f>'GT workings base'!D153</f>
        <v>-10.851901036579235</v>
      </c>
      <c r="E77" s="43">
        <f>'GT workings base'!E153</f>
        <v>-10.194796706929576</v>
      </c>
      <c r="F77" s="43">
        <f>'GT workings base'!F153</f>
        <v>-10.017694062857744</v>
      </c>
      <c r="G77" s="43">
        <f>'GT workings base'!G153</f>
        <v>-9.7197181781077724</v>
      </c>
      <c r="H77" s="43">
        <f>'GT workings base'!H153</f>
        <v>9.4000441516000119</v>
      </c>
      <c r="I77" s="43">
        <f>'GT workings base'!I153</f>
        <v>9.9425460832325108</v>
      </c>
      <c r="J77" s="43">
        <f>'GT workings base'!J153</f>
        <v>10.508782474373934</v>
      </c>
      <c r="K77" s="43">
        <f>'GT workings base'!K153</f>
        <v>11.099791707627793</v>
      </c>
      <c r="S77" s="18" t="s">
        <v>104</v>
      </c>
      <c r="T77" s="29">
        <v>-13</v>
      </c>
      <c r="U77" s="29">
        <v>-12</v>
      </c>
      <c r="V77" s="29">
        <v>-11</v>
      </c>
      <c r="W77" s="29">
        <v>-11</v>
      </c>
      <c r="X77" s="29">
        <v>9</v>
      </c>
      <c r="Y77" s="29">
        <v>10</v>
      </c>
      <c r="Z77" s="29">
        <v>10</v>
      </c>
      <c r="AA77" s="29">
        <v>11</v>
      </c>
      <c r="AD77" s="29">
        <f t="shared" si="53"/>
        <v>2.1480989634207646</v>
      </c>
      <c r="AE77" s="29">
        <f t="shared" si="54"/>
        <v>1.8052032930704236</v>
      </c>
      <c r="AF77" s="29">
        <f t="shared" si="55"/>
        <v>0.98230593714225556</v>
      </c>
      <c r="AG77" s="29">
        <f t="shared" si="56"/>
        <v>1.2802818218922276</v>
      </c>
      <c r="AH77" s="29">
        <f t="shared" si="57"/>
        <v>0.40004415160001194</v>
      </c>
      <c r="AI77" s="29">
        <f t="shared" si="58"/>
        <v>-5.7453916767489233E-2</v>
      </c>
      <c r="AJ77" s="29">
        <f t="shared" si="59"/>
        <v>0.50878247437393398</v>
      </c>
      <c r="AK77" s="29">
        <f t="shared" si="60"/>
        <v>9.9791707627792547E-2</v>
      </c>
      <c r="AL77" s="157">
        <f t="shared" si="61"/>
        <v>7.1670544323599206</v>
      </c>
    </row>
    <row r="78" spans="1:38" ht="12.75" customHeight="1">
      <c r="C78" s="12" t="s">
        <v>105</v>
      </c>
      <c r="D78" s="50">
        <f>SUM(D70:D77)</f>
        <v>538.6861413923267</v>
      </c>
      <c r="E78" s="50">
        <f t="shared" ref="E78:K78" si="63">SUM(E70:E77)</f>
        <v>542.92673270130729</v>
      </c>
      <c r="F78" s="50">
        <f t="shared" si="63"/>
        <v>547.9639382607985</v>
      </c>
      <c r="G78" s="50">
        <f t="shared" si="63"/>
        <v>580.56778765647073</v>
      </c>
      <c r="H78" s="50">
        <f t="shared" si="63"/>
        <v>658.61582706975355</v>
      </c>
      <c r="I78" s="50">
        <f t="shared" si="63"/>
        <v>626.86553438812439</v>
      </c>
      <c r="J78" s="50">
        <f t="shared" si="63"/>
        <v>621.71896646768869</v>
      </c>
      <c r="K78" s="50">
        <f t="shared" si="63"/>
        <v>620.33146114939325</v>
      </c>
      <c r="S78" s="19" t="s">
        <v>105</v>
      </c>
      <c r="T78" s="31">
        <v>559</v>
      </c>
      <c r="U78" s="31">
        <v>567</v>
      </c>
      <c r="V78" s="31">
        <v>595</v>
      </c>
      <c r="W78" s="31">
        <v>638</v>
      </c>
      <c r="X78" s="31">
        <v>744</v>
      </c>
      <c r="Y78" s="31">
        <v>720</v>
      </c>
      <c r="Z78" s="31">
        <v>742</v>
      </c>
      <c r="AA78" s="31">
        <v>770</v>
      </c>
      <c r="AD78" s="31">
        <f t="shared" si="53"/>
        <v>-20.313858607673296</v>
      </c>
      <c r="AE78" s="31">
        <f t="shared" si="54"/>
        <v>-24.073267298692713</v>
      </c>
      <c r="AF78" s="31">
        <f t="shared" si="55"/>
        <v>-47.0360617392015</v>
      </c>
      <c r="AG78" s="31">
        <f t="shared" si="56"/>
        <v>-57.432212343529272</v>
      </c>
      <c r="AH78" s="31">
        <f t="shared" si="57"/>
        <v>-85.38417293024645</v>
      </c>
      <c r="AI78" s="31">
        <f t="shared" si="58"/>
        <v>-93.134465611875612</v>
      </c>
      <c r="AJ78" s="31">
        <f t="shared" si="59"/>
        <v>-120.28103353231131</v>
      </c>
      <c r="AK78" s="31">
        <f t="shared" si="60"/>
        <v>-149.66853885060675</v>
      </c>
      <c r="AL78" s="31">
        <f t="shared" si="61"/>
        <v>-597.32361091413691</v>
      </c>
    </row>
    <row r="79" spans="1:38" ht="12.75" customHeight="1">
      <c r="C79" s="11" t="s">
        <v>106</v>
      </c>
      <c r="D79" s="43">
        <f>'GT workings base'!D89</f>
        <v>3.5</v>
      </c>
      <c r="E79" s="43">
        <f>'GT workings base'!E89</f>
        <v>2.9</v>
      </c>
      <c r="F79" s="43">
        <f>'GT workings base'!F89</f>
        <v>3</v>
      </c>
      <c r="G79" s="43">
        <f>'GT workings base'!G89</f>
        <v>3.1</v>
      </c>
      <c r="H79" s="43">
        <f>'GT workings base'!H89</f>
        <v>3</v>
      </c>
      <c r="I79" s="43">
        <f>'GT workings base'!I89</f>
        <v>3</v>
      </c>
      <c r="J79" s="43">
        <f>'GT workings base'!J89</f>
        <v>3</v>
      </c>
      <c r="K79" s="43">
        <f>'GT workings base'!K89</f>
        <v>3</v>
      </c>
      <c r="N79" s="132" t="s">
        <v>301</v>
      </c>
      <c r="S79" s="18" t="s">
        <v>106</v>
      </c>
      <c r="T79" s="29">
        <v>4</v>
      </c>
      <c r="U79" s="29">
        <v>3</v>
      </c>
      <c r="V79" s="29">
        <v>3</v>
      </c>
      <c r="W79" s="29">
        <v>3</v>
      </c>
      <c r="X79" s="29">
        <v>3</v>
      </c>
      <c r="Y79" s="29">
        <v>3</v>
      </c>
      <c r="Z79" s="29">
        <v>3</v>
      </c>
      <c r="AA79" s="29">
        <v>3</v>
      </c>
      <c r="AD79" s="29">
        <f t="shared" si="53"/>
        <v>-0.5</v>
      </c>
      <c r="AE79" s="29">
        <f t="shared" si="54"/>
        <v>-0.10000000000000009</v>
      </c>
      <c r="AF79" s="29">
        <f t="shared" si="55"/>
        <v>0</v>
      </c>
      <c r="AG79" s="29">
        <f t="shared" si="56"/>
        <v>0.10000000000000009</v>
      </c>
      <c r="AH79" s="29">
        <f t="shared" si="57"/>
        <v>0</v>
      </c>
      <c r="AI79" s="29">
        <f t="shared" si="58"/>
        <v>0</v>
      </c>
      <c r="AJ79" s="29">
        <f t="shared" si="59"/>
        <v>0</v>
      </c>
      <c r="AK79" s="29">
        <f t="shared" si="60"/>
        <v>0</v>
      </c>
      <c r="AL79" s="157">
        <f t="shared" si="61"/>
        <v>-0.5</v>
      </c>
    </row>
    <row r="80" spans="1:38" ht="12.75" customHeight="1" thickBot="1">
      <c r="A80" s="38"/>
      <c r="C80" s="13" t="s">
        <v>107</v>
      </c>
      <c r="D80" s="52">
        <f>D78+D79</f>
        <v>542.1861413923267</v>
      </c>
      <c r="E80" s="52">
        <f t="shared" ref="E80:K80" si="64">E78+E79</f>
        <v>545.82673270130726</v>
      </c>
      <c r="F80" s="52">
        <f t="shared" si="64"/>
        <v>550.9639382607985</v>
      </c>
      <c r="G80" s="52">
        <f t="shared" si="64"/>
        <v>583.66778765647075</v>
      </c>
      <c r="H80" s="52">
        <f t="shared" si="64"/>
        <v>661.61582706975355</v>
      </c>
      <c r="I80" s="52">
        <f t="shared" si="64"/>
        <v>629.86553438812439</v>
      </c>
      <c r="J80" s="52">
        <f t="shared" si="64"/>
        <v>624.71896646768869</v>
      </c>
      <c r="K80" s="52">
        <f t="shared" si="64"/>
        <v>623.33146114939325</v>
      </c>
      <c r="N80" s="133">
        <f>(K80/D80)^(1/7)-1</f>
        <v>2.0123959362085664E-2</v>
      </c>
      <c r="S80" s="21" t="s">
        <v>107</v>
      </c>
      <c r="T80" s="34">
        <v>563</v>
      </c>
      <c r="U80" s="34">
        <v>570</v>
      </c>
      <c r="V80" s="34">
        <v>598</v>
      </c>
      <c r="W80" s="34">
        <v>641</v>
      </c>
      <c r="X80" s="34">
        <v>747</v>
      </c>
      <c r="Y80" s="34">
        <v>723</v>
      </c>
      <c r="Z80" s="34">
        <v>745</v>
      </c>
      <c r="AA80" s="34">
        <v>773</v>
      </c>
      <c r="AD80" s="34">
        <f t="shared" si="53"/>
        <v>-20.813858607673296</v>
      </c>
      <c r="AE80" s="34">
        <f t="shared" si="54"/>
        <v>-24.173267298692735</v>
      </c>
      <c r="AF80" s="34">
        <f t="shared" si="55"/>
        <v>-47.0360617392015</v>
      </c>
      <c r="AG80" s="34">
        <f t="shared" si="56"/>
        <v>-57.33221234352925</v>
      </c>
      <c r="AH80" s="34">
        <f t="shared" si="57"/>
        <v>-85.38417293024645</v>
      </c>
      <c r="AI80" s="34">
        <f t="shared" si="58"/>
        <v>-93.134465611875612</v>
      </c>
      <c r="AJ80" s="34">
        <f t="shared" si="59"/>
        <v>-120.28103353231131</v>
      </c>
      <c r="AK80" s="34">
        <f t="shared" si="60"/>
        <v>-149.66853885060675</v>
      </c>
      <c r="AL80" s="34">
        <f t="shared" si="61"/>
        <v>-597.82361091413691</v>
      </c>
    </row>
    <row r="81" spans="3:38" ht="12.75" customHeight="1">
      <c r="T81" s="109"/>
      <c r="U81" s="109"/>
      <c r="V81" s="109"/>
      <c r="W81" s="109"/>
      <c r="X81" s="109"/>
      <c r="Y81" s="109"/>
      <c r="Z81" s="109"/>
      <c r="AA81" s="109"/>
      <c r="AL81" s="38"/>
    </row>
    <row r="82" spans="3:38" ht="12.75" customHeight="1" thickBot="1">
      <c r="D82" s="109">
        <f>'GT workings base'!D90-D80</f>
        <v>0</v>
      </c>
      <c r="E82" s="109">
        <f>'GT workings base'!E90-E80</f>
        <v>0</v>
      </c>
      <c r="F82" s="109">
        <f>'GT workings base'!F90-F80</f>
        <v>0</v>
      </c>
      <c r="G82" s="109">
        <f>'GT workings base'!G90-G80</f>
        <v>0</v>
      </c>
      <c r="H82" s="109">
        <f>'GT workings base'!H90-H80</f>
        <v>0</v>
      </c>
      <c r="I82" s="109">
        <f>'GT workings base'!I90-I80</f>
        <v>0</v>
      </c>
      <c r="J82" s="109">
        <f>'GT workings base'!J90-J80</f>
        <v>0</v>
      </c>
      <c r="K82" s="109">
        <f>'GT workings base'!K90-K80</f>
        <v>0</v>
      </c>
    </row>
    <row r="83" spans="3:38" ht="13.8" thickBot="1">
      <c r="C83" s="14" t="s">
        <v>58</v>
      </c>
      <c r="D83" s="15" t="s">
        <v>59</v>
      </c>
      <c r="E83" s="15" t="s">
        <v>60</v>
      </c>
      <c r="F83" s="15" t="s">
        <v>61</v>
      </c>
      <c r="G83" s="15" t="s">
        <v>62</v>
      </c>
      <c r="H83" s="15" t="s">
        <v>63</v>
      </c>
      <c r="I83" s="15" t="s">
        <v>64</v>
      </c>
      <c r="J83" s="15" t="s">
        <v>65</v>
      </c>
      <c r="K83" s="15" t="s">
        <v>66</v>
      </c>
      <c r="L83" s="15" t="s">
        <v>118</v>
      </c>
    </row>
    <row r="84" spans="3:38">
      <c r="C84" s="124"/>
      <c r="D84" s="125"/>
      <c r="E84" s="125"/>
      <c r="F84" s="125"/>
      <c r="G84" s="125"/>
      <c r="H84" s="125"/>
      <c r="I84" s="125"/>
      <c r="J84" s="125"/>
      <c r="K84" s="125"/>
      <c r="L84" s="125"/>
    </row>
    <row r="85" spans="3:38">
      <c r="C85" s="17" t="s">
        <v>406</v>
      </c>
      <c r="D85" s="126">
        <f>'GT workings base'!D15</f>
        <v>25.459307795372435</v>
      </c>
      <c r="E85" s="126">
        <f>'GT workings base'!E15</f>
        <v>14.41280752104567</v>
      </c>
      <c r="F85" s="126">
        <f>'GT workings base'!F15</f>
        <v>9.6173202079823099</v>
      </c>
      <c r="G85" s="126">
        <f>'GT workings base'!G15</f>
        <v>60.446777499796859</v>
      </c>
      <c r="H85" s="126">
        <f>'GT workings base'!H15</f>
        <v>84.880198528547851</v>
      </c>
      <c r="I85" s="126">
        <f>'GT workings base'!I15</f>
        <v>8.5249336835233791</v>
      </c>
      <c r="J85" s="126">
        <f>'GT workings base'!J15</f>
        <v>0.23152878737450566</v>
      </c>
      <c r="K85" s="126">
        <f>'GT workings base'!K15</f>
        <v>0</v>
      </c>
      <c r="L85" s="126">
        <f>SUM(D85:K85)</f>
        <v>203.57287402364304</v>
      </c>
      <c r="M85" s="53">
        <f t="shared" ref="M85:M99" si="65">E3</f>
        <v>0.20357287402364305</v>
      </c>
      <c r="N85" s="53" t="b">
        <f>M85=L85/1000</f>
        <v>1</v>
      </c>
    </row>
    <row r="86" spans="3:38">
      <c r="C86" s="17" t="s">
        <v>407</v>
      </c>
      <c r="D86" s="126">
        <f>'GT workings base'!D16</f>
        <v>97.132518315217595</v>
      </c>
      <c r="E86" s="126">
        <f>'GT workings base'!E16</f>
        <v>109.87971241227922</v>
      </c>
      <c r="F86" s="126">
        <f>'GT workings base'!F16</f>
        <v>114.43672637584547</v>
      </c>
      <c r="G86" s="126">
        <f>'GT workings base'!G16</f>
        <v>123.96977718673423</v>
      </c>
      <c r="H86" s="126">
        <f>'GT workings base'!H16</f>
        <v>138.27838395379189</v>
      </c>
      <c r="I86" s="126">
        <f>'GT workings base'!I16</f>
        <v>117.50342084599842</v>
      </c>
      <c r="J86" s="126">
        <f>'GT workings base'!J16</f>
        <v>101.87556011564801</v>
      </c>
      <c r="K86" s="126">
        <f>'GT workings base'!K16</f>
        <v>91.157975802007329</v>
      </c>
      <c r="L86" s="126">
        <f>SUM(D86:K86)</f>
        <v>894.23407500752216</v>
      </c>
      <c r="M86" s="53">
        <f t="shared" si="65"/>
        <v>0.89423407500752217</v>
      </c>
      <c r="N86" s="53" t="b">
        <f>M86=L86/1000</f>
        <v>1</v>
      </c>
    </row>
    <row r="87" spans="3:38">
      <c r="C87" s="18" t="s">
        <v>44</v>
      </c>
      <c r="D87" s="128">
        <f>'GT workings base'!D20</f>
        <v>0</v>
      </c>
      <c r="E87" s="128">
        <f>'GT workings base'!E20</f>
        <v>0</v>
      </c>
      <c r="F87" s="128">
        <f>'GT workings base'!F20</f>
        <v>0</v>
      </c>
      <c r="G87" s="128">
        <f>'GT workings base'!G20</f>
        <v>0</v>
      </c>
      <c r="H87" s="128">
        <f>'GT workings base'!H20</f>
        <v>0</v>
      </c>
      <c r="I87" s="128">
        <f>'GT workings base'!I20</f>
        <v>0</v>
      </c>
      <c r="J87" s="128">
        <f>'GT workings base'!J20</f>
        <v>0</v>
      </c>
      <c r="K87" s="128">
        <f>'GT workings base'!K20</f>
        <v>0</v>
      </c>
      <c r="L87" s="128">
        <f t="shared" ref="L87:L99" si="66">SUM(D87:K87)</f>
        <v>0</v>
      </c>
      <c r="M87" s="53">
        <f t="shared" si="65"/>
        <v>0</v>
      </c>
      <c r="N87" s="53" t="b">
        <f t="shared" ref="N87:N99" si="67">M87=L87/1000</f>
        <v>1</v>
      </c>
    </row>
    <row r="88" spans="3:38">
      <c r="C88" s="17" t="s">
        <v>408</v>
      </c>
      <c r="D88" s="126">
        <f>'GT workings base'!D21</f>
        <v>0</v>
      </c>
      <c r="E88" s="126">
        <f>'GT workings base'!E21</f>
        <v>0</v>
      </c>
      <c r="F88" s="126">
        <f>'GT workings base'!F21</f>
        <v>0</v>
      </c>
      <c r="G88" s="126">
        <f>'GT workings base'!G21</f>
        <v>0</v>
      </c>
      <c r="H88" s="126">
        <f>'GT workings base'!H21</f>
        <v>0</v>
      </c>
      <c r="I88" s="126">
        <f>'GT workings base'!I21</f>
        <v>0</v>
      </c>
      <c r="J88" s="126">
        <f>'GT workings base'!J21</f>
        <v>0</v>
      </c>
      <c r="K88" s="126">
        <f>'GT workings base'!K21</f>
        <v>0</v>
      </c>
      <c r="L88" s="126">
        <f t="shared" si="66"/>
        <v>0</v>
      </c>
      <c r="M88" s="53">
        <f t="shared" si="65"/>
        <v>0</v>
      </c>
      <c r="N88" s="53" t="b">
        <f t="shared" si="67"/>
        <v>1</v>
      </c>
    </row>
    <row r="89" spans="3:38">
      <c r="C89" s="18" t="s">
        <v>46</v>
      </c>
      <c r="D89" s="127">
        <f>'GT workings base'!D17</f>
        <v>64.482672010544718</v>
      </c>
      <c r="E89" s="127">
        <f>'GT workings base'!E17</f>
        <v>65.237874215180156</v>
      </c>
      <c r="F89" s="127">
        <f>'GT workings base'!F17</f>
        <v>70.772894725011071</v>
      </c>
      <c r="G89" s="127">
        <f>'GT workings base'!G17</f>
        <v>79.368338266410362</v>
      </c>
      <c r="H89" s="127">
        <f>'GT workings base'!H17</f>
        <v>84.317479134504765</v>
      </c>
      <c r="I89" s="127">
        <f>'GT workings base'!I17</f>
        <v>84.641346358196444</v>
      </c>
      <c r="J89" s="127">
        <f>'GT workings base'!J17</f>
        <v>80.728014781566515</v>
      </c>
      <c r="K89" s="127">
        <f>'GT workings base'!K17</f>
        <v>77.490070123441129</v>
      </c>
      <c r="L89" s="127">
        <f t="shared" si="66"/>
        <v>607.03868961485512</v>
      </c>
      <c r="M89" s="53">
        <f t="shared" si="65"/>
        <v>0.60703868961485508</v>
      </c>
      <c r="N89" s="53" t="b">
        <f t="shared" si="67"/>
        <v>1</v>
      </c>
    </row>
    <row r="90" spans="3:38">
      <c r="C90" s="19" t="s">
        <v>48</v>
      </c>
      <c r="D90" s="129">
        <f t="shared" ref="D90" si="68">SUM(D85:D89)</f>
        <v>187.07449812113475</v>
      </c>
      <c r="E90" s="129">
        <f t="shared" ref="E90:K90" si="69">SUM(E85:E89)</f>
        <v>189.53039414850502</v>
      </c>
      <c r="F90" s="129">
        <f t="shared" si="69"/>
        <v>194.82694130883885</v>
      </c>
      <c r="G90" s="129">
        <f t="shared" si="69"/>
        <v>263.78489295294145</v>
      </c>
      <c r="H90" s="129">
        <f t="shared" si="69"/>
        <v>307.4760616168445</v>
      </c>
      <c r="I90" s="129">
        <f t="shared" si="69"/>
        <v>210.66970088771825</v>
      </c>
      <c r="J90" s="129">
        <f t="shared" si="69"/>
        <v>182.83510368458903</v>
      </c>
      <c r="K90" s="129">
        <f t="shared" si="69"/>
        <v>168.64804592544846</v>
      </c>
      <c r="L90" s="129">
        <f t="shared" si="66"/>
        <v>1704.8456386460205</v>
      </c>
      <c r="M90" s="53">
        <f t="shared" si="65"/>
        <v>1.7048456386460202</v>
      </c>
      <c r="N90" s="53" t="b">
        <f t="shared" si="67"/>
        <v>1</v>
      </c>
    </row>
    <row r="91" spans="3:38">
      <c r="C91" s="18" t="s">
        <v>52</v>
      </c>
      <c r="D91" s="128">
        <f>'GT workings base'!D26</f>
        <v>110.11544616012048</v>
      </c>
      <c r="E91" s="128">
        <f>'GT workings base'!E26</f>
        <v>110.29121834911521</v>
      </c>
      <c r="F91" s="128">
        <f>'GT workings base'!F26</f>
        <v>110.32860169190292</v>
      </c>
      <c r="G91" s="128">
        <f>'GT workings base'!G26</f>
        <v>110.3596633646699</v>
      </c>
      <c r="H91" s="128">
        <f>'GT workings base'!H26</f>
        <v>110.27343835902431</v>
      </c>
      <c r="I91" s="128">
        <f>'GT workings base'!I26</f>
        <v>110.27662588032852</v>
      </c>
      <c r="J91" s="128">
        <f>'GT workings base'!J26</f>
        <v>110.30420904525512</v>
      </c>
      <c r="K91" s="128">
        <f>'GT workings base'!K26</f>
        <v>110.31067350058066</v>
      </c>
      <c r="L91" s="128">
        <f t="shared" si="66"/>
        <v>882.25987635099727</v>
      </c>
      <c r="M91" s="53">
        <f t="shared" si="65"/>
        <v>0.88225987635099723</v>
      </c>
      <c r="N91" s="53" t="b">
        <f t="shared" si="67"/>
        <v>1</v>
      </c>
    </row>
    <row r="92" spans="3:38">
      <c r="C92" s="17"/>
      <c r="D92" s="126"/>
      <c r="E92" s="126"/>
      <c r="F92" s="126"/>
      <c r="G92" s="126"/>
      <c r="H92" s="126"/>
      <c r="I92" s="126"/>
      <c r="J92" s="126"/>
      <c r="K92" s="126"/>
      <c r="L92" s="126"/>
      <c r="M92" s="53">
        <f t="shared" si="65"/>
        <v>0</v>
      </c>
      <c r="N92" s="53" t="b">
        <f t="shared" si="67"/>
        <v>1</v>
      </c>
    </row>
    <row r="93" spans="3:38">
      <c r="C93" s="18" t="s">
        <v>138</v>
      </c>
      <c r="D93" s="127">
        <f>'GT workings base'!D8</f>
        <v>33.734064323833628</v>
      </c>
      <c r="E93" s="127">
        <f>'GT workings base'!E8</f>
        <v>27.39346022326454</v>
      </c>
      <c r="F93" s="127">
        <f>'GT workings base'!F8</f>
        <v>18.58964637976759</v>
      </c>
      <c r="G93" s="127">
        <f>'GT workings base'!G8</f>
        <v>15.690053681814245</v>
      </c>
      <c r="H93" s="127">
        <f>'GT workings base'!H8</f>
        <v>14.117331818843784</v>
      </c>
      <c r="I93" s="127">
        <f>'GT workings base'!I8</f>
        <v>12.8424465294623</v>
      </c>
      <c r="J93" s="127">
        <f>'GT workings base'!J8</f>
        <v>15.120708694627556</v>
      </c>
      <c r="K93" s="127">
        <f>'GT workings base'!K8</f>
        <v>12.837335667911791</v>
      </c>
      <c r="L93" s="127">
        <f t="shared" si="66"/>
        <v>150.32504731952542</v>
      </c>
      <c r="M93" s="53">
        <f t="shared" si="65"/>
        <v>0.15032504731952542</v>
      </c>
      <c r="N93" s="53" t="b">
        <f t="shared" si="67"/>
        <v>1</v>
      </c>
    </row>
    <row r="94" spans="3:38">
      <c r="C94" s="17" t="s">
        <v>44</v>
      </c>
      <c r="D94" s="126">
        <f>'GT workings base'!D12</f>
        <v>7.1559568178343396</v>
      </c>
      <c r="E94" s="126">
        <f>'GT workings base'!E12</f>
        <v>4.9583696669587889</v>
      </c>
      <c r="F94" s="126">
        <f>'GT workings base'!F12</f>
        <v>6.5268703309989426</v>
      </c>
      <c r="G94" s="126">
        <f>'GT workings base'!G12</f>
        <v>8.9978253214108026</v>
      </c>
      <c r="H94" s="126">
        <f>'GT workings base'!H12</f>
        <v>8.0555897404504044</v>
      </c>
      <c r="I94" s="126">
        <f>'GT workings base'!I12</f>
        <v>5.1722575344308828</v>
      </c>
      <c r="J94" s="126">
        <f>'GT workings base'!J12</f>
        <v>4.1277105565726</v>
      </c>
      <c r="K94" s="126">
        <f>'GT workings base'!K12</f>
        <v>3.7879167847205548</v>
      </c>
      <c r="L94" s="126">
        <f t="shared" si="66"/>
        <v>48.782496753377316</v>
      </c>
      <c r="M94" s="53">
        <f t="shared" si="65"/>
        <v>4.8782496753377314E-2</v>
      </c>
      <c r="N94" s="53" t="b">
        <f t="shared" si="67"/>
        <v>1</v>
      </c>
    </row>
    <row r="95" spans="3:38">
      <c r="C95" s="18" t="s">
        <v>45</v>
      </c>
      <c r="D95" s="127">
        <f>'GT workings base'!D13</f>
        <v>6.3163703255204871</v>
      </c>
      <c r="E95" s="127">
        <f>'GT workings base'!E13</f>
        <v>7.5041818587940385</v>
      </c>
      <c r="F95" s="127">
        <f>'GT workings base'!F13</f>
        <v>11.666765702990109</v>
      </c>
      <c r="G95" s="127">
        <f>'GT workings base'!G13</f>
        <v>14.771156922046991</v>
      </c>
      <c r="H95" s="127">
        <f>'GT workings base'!H13</f>
        <v>13.45775622663338</v>
      </c>
      <c r="I95" s="127">
        <f>'GT workings base'!I13</f>
        <v>11.373748646385858</v>
      </c>
      <c r="J95" s="127">
        <f>'GT workings base'!J13</f>
        <v>9.8338467639554441</v>
      </c>
      <c r="K95" s="127">
        <f>'GT workings base'!K13</f>
        <v>10.346026051396899</v>
      </c>
      <c r="L95" s="127">
        <f t="shared" si="66"/>
        <v>85.269852497723221</v>
      </c>
      <c r="M95" s="53">
        <f t="shared" si="65"/>
        <v>8.5269852497723217E-2</v>
      </c>
      <c r="N95" s="53" t="b">
        <f t="shared" si="67"/>
        <v>1</v>
      </c>
    </row>
    <row r="96" spans="3:38">
      <c r="C96" s="17" t="s">
        <v>46</v>
      </c>
      <c r="D96" s="126">
        <f>'GT workings base'!D7</f>
        <v>37.780581733294433</v>
      </c>
      <c r="E96" s="126">
        <f>'GT workings base'!E7</f>
        <v>38.765251453029641</v>
      </c>
      <c r="F96" s="126">
        <f>'GT workings base'!F7</f>
        <v>38.935734544913359</v>
      </c>
      <c r="G96" s="126">
        <f>'GT workings base'!G7</f>
        <v>37.194366497168517</v>
      </c>
      <c r="H96" s="126">
        <f>'GT workings base'!H7</f>
        <v>37.663363739263652</v>
      </c>
      <c r="I96" s="126">
        <f>'GT workings base'!I7</f>
        <v>38.166072267177746</v>
      </c>
      <c r="J96" s="126">
        <f>'GT workings base'!J7</f>
        <v>38.821758225100261</v>
      </c>
      <c r="K96" s="126">
        <f>'GT workings base'!K7</f>
        <v>39.417681323616755</v>
      </c>
      <c r="L96" s="126">
        <f t="shared" si="66"/>
        <v>306.74480978356434</v>
      </c>
      <c r="M96" s="53">
        <f t="shared" si="65"/>
        <v>0.30674480978356433</v>
      </c>
      <c r="N96" s="53" t="b">
        <f t="shared" si="67"/>
        <v>1</v>
      </c>
    </row>
    <row r="97" spans="1:14">
      <c r="C97" s="123" t="s">
        <v>50</v>
      </c>
      <c r="D97" s="130">
        <f t="shared" ref="D97:K97" si="70">SUM(D93:D96)</f>
        <v>84.986973200482879</v>
      </c>
      <c r="E97" s="130">
        <f t="shared" si="70"/>
        <v>78.621263202047004</v>
      </c>
      <c r="F97" s="130">
        <f t="shared" si="70"/>
        <v>75.719016958669997</v>
      </c>
      <c r="G97" s="130">
        <f t="shared" si="70"/>
        <v>76.653402422440564</v>
      </c>
      <c r="H97" s="130">
        <f t="shared" si="70"/>
        <v>73.294041525191219</v>
      </c>
      <c r="I97" s="130">
        <f t="shared" si="70"/>
        <v>67.554524977456794</v>
      </c>
      <c r="J97" s="130">
        <f t="shared" si="70"/>
        <v>67.904024240255865</v>
      </c>
      <c r="K97" s="130">
        <f t="shared" si="70"/>
        <v>66.388959827646005</v>
      </c>
      <c r="L97" s="130">
        <f t="shared" si="66"/>
        <v>591.12220635419044</v>
      </c>
      <c r="M97" s="53">
        <f t="shared" si="65"/>
        <v>0.59112220635419033</v>
      </c>
      <c r="N97" s="53" t="b">
        <f t="shared" si="67"/>
        <v>1</v>
      </c>
    </row>
    <row r="98" spans="1:14">
      <c r="C98" s="17"/>
      <c r="D98" s="126"/>
      <c r="E98" s="126"/>
      <c r="F98" s="126"/>
      <c r="G98" s="126"/>
      <c r="H98" s="126"/>
      <c r="I98" s="126"/>
      <c r="J98" s="126"/>
      <c r="K98" s="126"/>
      <c r="L98" s="126"/>
      <c r="M98" s="53">
        <f t="shared" si="65"/>
        <v>0</v>
      </c>
      <c r="N98" s="53" t="b">
        <f t="shared" si="67"/>
        <v>1</v>
      </c>
    </row>
    <row r="99" spans="1:14" ht="13.8" thickBot="1">
      <c r="C99" s="23" t="s">
        <v>51</v>
      </c>
      <c r="D99" s="131">
        <f t="shared" ref="D99:K99" si="71">D97+D90</f>
        <v>272.06147132161766</v>
      </c>
      <c r="E99" s="131">
        <f t="shared" si="71"/>
        <v>268.151657350552</v>
      </c>
      <c r="F99" s="131">
        <f t="shared" si="71"/>
        <v>270.54595826750887</v>
      </c>
      <c r="G99" s="131">
        <f t="shared" si="71"/>
        <v>340.43829537538204</v>
      </c>
      <c r="H99" s="131">
        <f t="shared" si="71"/>
        <v>380.77010314203574</v>
      </c>
      <c r="I99" s="131">
        <f t="shared" si="71"/>
        <v>278.22422586517507</v>
      </c>
      <c r="J99" s="131">
        <f t="shared" si="71"/>
        <v>250.73912792484489</v>
      </c>
      <c r="K99" s="131">
        <f t="shared" si="71"/>
        <v>235.03700575309446</v>
      </c>
      <c r="L99" s="131">
        <f t="shared" si="66"/>
        <v>2295.9678450002107</v>
      </c>
      <c r="M99" s="53">
        <f t="shared" si="65"/>
        <v>2.2959678450002103</v>
      </c>
      <c r="N99" s="53" t="b">
        <f t="shared" si="67"/>
        <v>1</v>
      </c>
    </row>
    <row r="100" spans="1:14">
      <c r="C100" s="39"/>
      <c r="D100" s="203"/>
      <c r="E100" s="203"/>
      <c r="F100" s="203"/>
      <c r="G100" s="203"/>
      <c r="H100" s="203"/>
      <c r="I100" s="203"/>
      <c r="J100" s="203"/>
      <c r="K100" s="203"/>
      <c r="L100" s="203"/>
      <c r="M100" s="53"/>
      <c r="N100" s="53"/>
    </row>
    <row r="101" spans="1:14">
      <c r="A101" s="38" t="s">
        <v>409</v>
      </c>
    </row>
    <row r="102" spans="1:14" ht="13.8" thickBot="1">
      <c r="C102" s="38" t="s">
        <v>140</v>
      </c>
    </row>
    <row r="103" spans="1:14" ht="13.8" thickBot="1">
      <c r="C103" s="7" t="s">
        <v>58</v>
      </c>
      <c r="D103" s="8" t="s">
        <v>59</v>
      </c>
      <c r="E103" s="8" t="s">
        <v>60</v>
      </c>
      <c r="F103" s="8" t="s">
        <v>61</v>
      </c>
      <c r="G103" s="8" t="s">
        <v>62</v>
      </c>
      <c r="H103" s="8" t="s">
        <v>63</v>
      </c>
      <c r="I103" s="8" t="s">
        <v>64</v>
      </c>
      <c r="J103" s="8" t="s">
        <v>65</v>
      </c>
      <c r="K103" s="8" t="s">
        <v>66</v>
      </c>
    </row>
    <row r="104" spans="1:14">
      <c r="C104" s="22" t="s">
        <v>91</v>
      </c>
      <c r="D104" s="175">
        <f>'GT workings base'!D135+'GT workings base'!D156</f>
        <v>4615.060328174176</v>
      </c>
      <c r="E104" s="175">
        <f>'GT workings base'!E135+'GT workings base'!E156</f>
        <v>4624.7235011672965</v>
      </c>
      <c r="F104" s="175">
        <f>'GT workings base'!F135+'GT workings base'!F156</f>
        <v>4639.5782072748034</v>
      </c>
      <c r="G104" s="175">
        <f>'GT workings base'!G135+'GT workings base'!G156</f>
        <v>4695.96596767351</v>
      </c>
      <c r="H104" s="175">
        <f>'GT workings base'!H135+'GT workings base'!H156</f>
        <v>4830.4404173524917</v>
      </c>
      <c r="I104" s="175">
        <f>'GT workings base'!I135+'GT workings base'!I156</f>
        <v>4945.5652638730489</v>
      </c>
      <c r="J104" s="175">
        <f>'GT workings base'!J135+'GT workings base'!J156</f>
        <v>4940.7602410616737</v>
      </c>
      <c r="K104" s="175">
        <f>'GT workings base'!K135+'GT workings base'!K156</f>
        <v>4894.4317641578609</v>
      </c>
    </row>
    <row r="105" spans="1:14">
      <c r="C105" s="10" t="s">
        <v>86</v>
      </c>
      <c r="D105" s="176">
        <f>'GT workings base'!D136+'GT workings base'!D157</f>
        <v>166.41954602119671</v>
      </c>
      <c r="E105" s="176">
        <f>'GT workings base'!E136+'GT workings base'!E157</f>
        <v>177.47095202039407</v>
      </c>
      <c r="F105" s="176">
        <f>'GT workings base'!F136+'GT workings base'!F157</f>
        <v>223.25337609440126</v>
      </c>
      <c r="G105" s="176">
        <f>'GT workings base'!G136+'GT workings base'!G157</f>
        <v>306.95809896126462</v>
      </c>
      <c r="H105" s="176">
        <f>'GT workings base'!H136+'GT workings base'!H157</f>
        <v>294.76860095013785</v>
      </c>
      <c r="I105" s="176">
        <f>'GT workings base'!I136+'GT workings base'!I157</f>
        <v>181.70836443999042</v>
      </c>
      <c r="J105" s="176">
        <f>'GT workings base'!J136+'GT workings base'!J157</f>
        <v>143.94477651168461</v>
      </c>
      <c r="K105" s="176">
        <f>'GT workings base'!K136+'GT workings base'!K157</f>
        <v>133.43105457142374</v>
      </c>
    </row>
    <row r="106" spans="1:14">
      <c r="C106" s="11" t="s">
        <v>87</v>
      </c>
      <c r="D106" s="177">
        <f>'GT workings base'!D137+'GT workings base'!D158</f>
        <v>-156.75637302807576</v>
      </c>
      <c r="E106" s="177">
        <f>'GT workings base'!E137+'GT workings base'!E158</f>
        <v>-162.61624591288717</v>
      </c>
      <c r="F106" s="177">
        <f>'GT workings base'!F137+'GT workings base'!F158</f>
        <v>-166.86561569569517</v>
      </c>
      <c r="G106" s="177">
        <f>'GT workings base'!G137+'GT workings base'!G158</f>
        <v>-172.4836492822833</v>
      </c>
      <c r="H106" s="177">
        <f>'GT workings base'!H137+'GT workings base'!H158</f>
        <v>-179.64375442958024</v>
      </c>
      <c r="I106" s="177">
        <f>'GT workings base'!I137+'GT workings base'!I158</f>
        <v>-186.5133872513654</v>
      </c>
      <c r="J106" s="177">
        <f>'GT workings base'!J137+'GT workings base'!J158</f>
        <v>-190.27325341549812</v>
      </c>
      <c r="K106" s="177">
        <f>'GT workings base'!K137+'GT workings base'!K158</f>
        <v>-191.38845859666947</v>
      </c>
    </row>
    <row r="107" spans="1:14" ht="13.8" thickBot="1">
      <c r="C107" s="13" t="s">
        <v>94</v>
      </c>
      <c r="D107" s="178">
        <f>'GT workings base'!D138+'GT workings base'!D159</f>
        <v>4624.7235011672965</v>
      </c>
      <c r="E107" s="178">
        <f>'GT workings base'!E138+'GT workings base'!E159</f>
        <v>4639.5782072748034</v>
      </c>
      <c r="F107" s="178">
        <f>'GT workings base'!F138+'GT workings base'!F159</f>
        <v>4695.96596767351</v>
      </c>
      <c r="G107" s="178">
        <f>'GT workings base'!G138+'GT workings base'!G159</f>
        <v>4830.4404173524917</v>
      </c>
      <c r="H107" s="178">
        <f>'GT workings base'!H138+'GT workings base'!H159</f>
        <v>4945.5652638730489</v>
      </c>
      <c r="I107" s="178">
        <f>'GT workings base'!I138+'GT workings base'!I159</f>
        <v>4940.7602410616737</v>
      </c>
      <c r="J107" s="178">
        <f>'GT workings base'!J138+'GT workings base'!J159</f>
        <v>4894.4317641578609</v>
      </c>
      <c r="K107" s="178">
        <f>'GT workings base'!K138+'GT workings base'!K159</f>
        <v>4836.4743601326154</v>
      </c>
    </row>
    <row r="109" spans="1:14" ht="13.8" thickBot="1"/>
    <row r="110" spans="1:14" ht="13.8" thickBot="1">
      <c r="C110" s="7" t="s">
        <v>58</v>
      </c>
      <c r="D110" s="8" t="s">
        <v>59</v>
      </c>
      <c r="E110" s="8" t="s">
        <v>60</v>
      </c>
      <c r="F110" s="8" t="s">
        <v>61</v>
      </c>
      <c r="G110" s="8" t="s">
        <v>62</v>
      </c>
      <c r="H110" s="8" t="s">
        <v>63</v>
      </c>
      <c r="I110" s="8" t="s">
        <v>64</v>
      </c>
      <c r="J110" s="8" t="s">
        <v>65</v>
      </c>
      <c r="K110" s="8" t="s">
        <v>66</v>
      </c>
    </row>
    <row r="111" spans="1:14">
      <c r="C111" s="11" t="s">
        <v>142</v>
      </c>
      <c r="D111" s="171">
        <f>'GT workings base'!D119</f>
        <v>94.224999999999994</v>
      </c>
      <c r="E111" s="171">
        <f>'GT workings base'!E119</f>
        <v>87.484999999999999</v>
      </c>
      <c r="F111" s="171">
        <f>'GT workings base'!F119</f>
        <v>79.322999999999993</v>
      </c>
      <c r="G111" s="171">
        <f>'GT workings base'!G119</f>
        <v>58.722999999999999</v>
      </c>
      <c r="H111" s="171">
        <f>'GT workings base'!H119</f>
        <v>3.3000000000000002E-2</v>
      </c>
      <c r="I111" s="171">
        <f>'GT workings base'!I119</f>
        <v>3.3000000000000002E-2</v>
      </c>
      <c r="J111" s="171">
        <f>'GT workings base'!J119</f>
        <v>0</v>
      </c>
      <c r="K111" s="171">
        <f>'GT workings base'!K119</f>
        <v>0</v>
      </c>
    </row>
    <row r="112" spans="1:14" ht="13.8" thickBot="1">
      <c r="C112" s="40" t="s">
        <v>143</v>
      </c>
      <c r="D112" s="174">
        <f>'GT workings base'!D174</f>
        <v>14.16619923431</v>
      </c>
      <c r="E112" s="174">
        <f>'GT workings base'!E174</f>
        <v>26.016783731295874</v>
      </c>
      <c r="F112" s="174">
        <f>'GT workings base'!F174</f>
        <v>69.473671529071126</v>
      </c>
      <c r="G112" s="174">
        <f>'GT workings base'!G174</f>
        <v>108.4200133736822</v>
      </c>
      <c r="H112" s="174">
        <f>'GT workings base'!H174</f>
        <v>69.349803718573156</v>
      </c>
      <c r="I112" s="174">
        <f>'GT workings base'!I174</f>
        <v>20.779442706835688</v>
      </c>
      <c r="J112" s="174">
        <f>'GT workings base'!J174</f>
        <v>0.81062265305823133</v>
      </c>
      <c r="K112" s="174">
        <f>'GT workings base'!K174</f>
        <v>0</v>
      </c>
    </row>
    <row r="115" spans="1:14" ht="13.8" thickBot="1">
      <c r="C115" s="38" t="s">
        <v>122</v>
      </c>
    </row>
    <row r="116" spans="1:14" ht="13.8" thickBot="1">
      <c r="C116" s="7" t="s">
        <v>58</v>
      </c>
      <c r="D116" s="8" t="s">
        <v>59</v>
      </c>
      <c r="E116" s="8" t="s">
        <v>60</v>
      </c>
      <c r="F116" s="8" t="s">
        <v>61</v>
      </c>
      <c r="G116" s="8" t="s">
        <v>62</v>
      </c>
      <c r="H116" s="8" t="s">
        <v>63</v>
      </c>
      <c r="I116" s="8" t="s">
        <v>64</v>
      </c>
      <c r="J116" s="8" t="s">
        <v>65</v>
      </c>
      <c r="K116" s="8" t="s">
        <v>66</v>
      </c>
    </row>
    <row r="117" spans="1:14">
      <c r="C117" s="22" t="s">
        <v>91</v>
      </c>
      <c r="D117" s="41">
        <f>'GT workings base'!D156</f>
        <v>53.000554975302876</v>
      </c>
      <c r="E117" s="41">
        <f>'GT workings base'!E156</f>
        <v>74.240648461440642</v>
      </c>
      <c r="F117" s="41">
        <f>'GT workings base'!F156</f>
        <v>88.559233840023296</v>
      </c>
      <c r="G117" s="41">
        <f>'GT workings base'!G156</f>
        <v>99.160642580526599</v>
      </c>
      <c r="H117" s="41">
        <f>'GT workings base'!H156</f>
        <v>107.15261923028876</v>
      </c>
      <c r="I117" s="41">
        <f>'GT workings base'!I156</f>
        <v>111.23957026076641</v>
      </c>
      <c r="J117" s="41">
        <f>'GT workings base'!J156</f>
        <v>110.57883207228869</v>
      </c>
      <c r="K117" s="41">
        <f>'GT workings base'!K156</f>
        <v>108.09271529517444</v>
      </c>
    </row>
    <row r="118" spans="1:14">
      <c r="C118" s="10" t="s">
        <v>86</v>
      </c>
      <c r="D118" s="42">
        <f>'GT workings base'!D157</f>
        <v>31.785127976980597</v>
      </c>
      <c r="E118" s="42">
        <f>'GT workings base'!E157</f>
        <v>29.404352437565585</v>
      </c>
      <c r="F118" s="42">
        <f>'GT workings base'!F157</f>
        <v>28.318912342542578</v>
      </c>
      <c r="G118" s="42">
        <f>'GT workings base'!G157</f>
        <v>28.668372505992771</v>
      </c>
      <c r="H118" s="42">
        <f>'GT workings base'!H157</f>
        <v>27.411971530421514</v>
      </c>
      <c r="I118" s="42">
        <f>'GT workings base'!I157</f>
        <v>25.265392341568841</v>
      </c>
      <c r="J118" s="42">
        <f>'GT workings base'!J157</f>
        <v>25.396105065855693</v>
      </c>
      <c r="K118" s="42">
        <f>'GT workings base'!K157</f>
        <v>24.829470975539607</v>
      </c>
    </row>
    <row r="119" spans="1:14">
      <c r="C119" s="11" t="s">
        <v>87</v>
      </c>
      <c r="D119" s="43">
        <f>'GT workings base'!D158</f>
        <v>-10.545034490842841</v>
      </c>
      <c r="E119" s="43">
        <f>'GT workings base'!E158</f>
        <v>-15.085767058982928</v>
      </c>
      <c r="F119" s="43">
        <f>'GT workings base'!F158</f>
        <v>-17.717503602039272</v>
      </c>
      <c r="G119" s="43">
        <f>'GT workings base'!G158</f>
        <v>-20.676395856230613</v>
      </c>
      <c r="H119" s="43">
        <f>'GT workings base'!H158</f>
        <v>-23.325020499943864</v>
      </c>
      <c r="I119" s="43">
        <f>'GT workings base'!I158</f>
        <v>-25.926130530046557</v>
      </c>
      <c r="J119" s="43">
        <f>'GT workings base'!J158</f>
        <v>-27.88222184296994</v>
      </c>
      <c r="K119" s="43">
        <f>'GT workings base'!K158</f>
        <v>-28.035747742989653</v>
      </c>
    </row>
    <row r="120" spans="1:14" ht="13.8" thickBot="1">
      <c r="C120" s="13" t="s">
        <v>94</v>
      </c>
      <c r="D120" s="52">
        <f>'GT workings base'!D159</f>
        <v>74.240648461440642</v>
      </c>
      <c r="E120" s="52">
        <f>'GT workings base'!E159</f>
        <v>88.559233840023296</v>
      </c>
      <c r="F120" s="52">
        <f>'GT workings base'!F159</f>
        <v>99.160642580526599</v>
      </c>
      <c r="G120" s="52">
        <f>'GT workings base'!G159</f>
        <v>107.15261923028876</v>
      </c>
      <c r="H120" s="52">
        <f>'GT workings base'!H159</f>
        <v>111.23957026076641</v>
      </c>
      <c r="I120" s="52">
        <f>'GT workings base'!I159</f>
        <v>110.57883207228869</v>
      </c>
      <c r="J120" s="52">
        <f>'GT workings base'!J159</f>
        <v>108.09271529517444</v>
      </c>
      <c r="K120" s="52">
        <f>'GT workings base'!K159</f>
        <v>104.88643852772441</v>
      </c>
    </row>
    <row r="122" spans="1:14">
      <c r="A122" s="38" t="s">
        <v>402</v>
      </c>
    </row>
    <row r="123" spans="1:14" ht="13.8" thickBot="1">
      <c r="C123" s="38" t="s">
        <v>395</v>
      </c>
    </row>
    <row r="124" spans="1:14" ht="13.8" thickBot="1">
      <c r="C124" s="14" t="s">
        <v>58</v>
      </c>
      <c r="D124" s="15" t="s">
        <v>59</v>
      </c>
      <c r="E124" s="15" t="s">
        <v>60</v>
      </c>
      <c r="F124" s="15" t="s">
        <v>61</v>
      </c>
      <c r="G124" s="15" t="s">
        <v>62</v>
      </c>
      <c r="H124" s="15" t="s">
        <v>63</v>
      </c>
      <c r="I124" s="15" t="s">
        <v>64</v>
      </c>
      <c r="J124" s="15" t="s">
        <v>65</v>
      </c>
      <c r="K124" s="15" t="s">
        <v>66</v>
      </c>
      <c r="L124" s="15" t="s">
        <v>118</v>
      </c>
    </row>
    <row r="125" spans="1:14">
      <c r="C125" s="16"/>
      <c r="D125" s="26"/>
      <c r="E125" s="26"/>
      <c r="F125" s="26"/>
      <c r="G125" s="26"/>
      <c r="H125" s="26"/>
      <c r="I125" s="26"/>
      <c r="J125" s="26"/>
      <c r="K125" s="26"/>
      <c r="L125" s="26"/>
    </row>
    <row r="126" spans="1:14">
      <c r="A126" t="s">
        <v>338</v>
      </c>
      <c r="C126" s="17" t="s">
        <v>119</v>
      </c>
      <c r="D126" s="27">
        <f>'GT workings base'!D8+'GT workings base'!D12</f>
        <v>40.890021141667965</v>
      </c>
      <c r="E126" s="27">
        <f>'GT workings base'!E8+'GT workings base'!E12</f>
        <v>32.351829890223328</v>
      </c>
      <c r="F126" s="27">
        <f>'GT workings base'!F8+'GT workings base'!F12</f>
        <v>25.116516710766533</v>
      </c>
      <c r="G126" s="27">
        <f>'GT workings base'!G8+'GT workings base'!G12</f>
        <v>24.687879003225049</v>
      </c>
      <c r="H126" s="27">
        <f>'GT workings base'!H8+'GT workings base'!H12</f>
        <v>22.172921559294188</v>
      </c>
      <c r="I126" s="27">
        <f>'GT workings base'!I8+'GT workings base'!I12</f>
        <v>18.014704063893184</v>
      </c>
      <c r="J126" s="27">
        <f>'GT workings base'!J8+'GT workings base'!J12</f>
        <v>19.248419251200154</v>
      </c>
      <c r="K126" s="27">
        <f>'GT workings base'!K8+'GT workings base'!K12</f>
        <v>16.625252452632346</v>
      </c>
      <c r="L126" s="28">
        <f>SUM(D126:K126)</f>
        <v>199.10754407290273</v>
      </c>
      <c r="N126" s="53" t="b">
        <f>(E11+E12)*1000=L126</f>
        <v>1</v>
      </c>
    </row>
    <row r="127" spans="1:14">
      <c r="C127" s="18" t="s">
        <v>396</v>
      </c>
      <c r="D127" s="29">
        <f>'GT workings base'!D7+'GT workings base'!D13</f>
        <v>44.096952058814921</v>
      </c>
      <c r="E127" s="29">
        <f>'GT workings base'!E7+'GT workings base'!E13</f>
        <v>46.269433311823683</v>
      </c>
      <c r="F127" s="29">
        <f>'GT workings base'!F7+'GT workings base'!F13</f>
        <v>50.602500247903464</v>
      </c>
      <c r="G127" s="29">
        <f>'GT workings base'!G7+'GT workings base'!G13</f>
        <v>51.965523419215508</v>
      </c>
      <c r="H127" s="29">
        <f>'GT workings base'!H7+'GT workings base'!H13</f>
        <v>51.12111996589703</v>
      </c>
      <c r="I127" s="29">
        <f>'GT workings base'!I7+'GT workings base'!I13</f>
        <v>49.539820913563602</v>
      </c>
      <c r="J127" s="29">
        <f>'GT workings base'!J7+'GT workings base'!J13</f>
        <v>48.655604989055703</v>
      </c>
      <c r="K127" s="29">
        <f>'GT workings base'!K7+'GT workings base'!K13</f>
        <v>49.763707375013652</v>
      </c>
      <c r="L127" s="30">
        <f t="shared" ref="L127:L134" si="72">SUM(D127:K127)</f>
        <v>392.01466228128754</v>
      </c>
      <c r="N127" s="53" t="b">
        <f>(E13+E14)*1000=L127</f>
        <v>1</v>
      </c>
    </row>
    <row r="128" spans="1:14">
      <c r="C128" s="19" t="s">
        <v>71</v>
      </c>
      <c r="D128" s="31">
        <f>SUM(D126:D127)</f>
        <v>84.986973200482879</v>
      </c>
      <c r="E128" s="31">
        <f t="shared" ref="E128:K128" si="73">SUM(E126:E127)</f>
        <v>78.621263202047004</v>
      </c>
      <c r="F128" s="31">
        <f t="shared" si="73"/>
        <v>75.719016958669997</v>
      </c>
      <c r="G128" s="31">
        <f t="shared" si="73"/>
        <v>76.653402422440564</v>
      </c>
      <c r="H128" s="31">
        <f t="shared" si="73"/>
        <v>73.294041525191219</v>
      </c>
      <c r="I128" s="31">
        <f t="shared" si="73"/>
        <v>67.554524977456794</v>
      </c>
      <c r="J128" s="31">
        <f t="shared" si="73"/>
        <v>67.904024240255865</v>
      </c>
      <c r="K128" s="31">
        <f t="shared" si="73"/>
        <v>66.388959827646005</v>
      </c>
      <c r="L128" s="28">
        <f t="shared" si="72"/>
        <v>591.12220635419044</v>
      </c>
    </row>
    <row r="129" spans="1:16">
      <c r="A129" t="s">
        <v>346</v>
      </c>
      <c r="C129" s="17" t="s">
        <v>121</v>
      </c>
      <c r="D129" s="27">
        <f>'GT workings base'!D31+'GT workings base'!D35</f>
        <v>40.890021141667965</v>
      </c>
      <c r="E129" s="27">
        <f>'GT workings base'!E31+'GT workings base'!E35</f>
        <v>32.351829890223328</v>
      </c>
      <c r="F129" s="27">
        <f>'GT workings base'!F31+'GT workings base'!F35</f>
        <v>25.116516710766533</v>
      </c>
      <c r="G129" s="27">
        <f>'GT workings base'!G31+'GT workings base'!G35</f>
        <v>24.687879003225049</v>
      </c>
      <c r="H129" s="27">
        <f>'GT workings base'!H31+'GT workings base'!H35</f>
        <v>22.172921559294188</v>
      </c>
      <c r="I129" s="27">
        <f>'GT workings base'!I31+'GT workings base'!I35</f>
        <v>18.014704063893184</v>
      </c>
      <c r="J129" s="27">
        <f>'GT workings base'!J31+'GT workings base'!J35</f>
        <v>19.248419251200154</v>
      </c>
      <c r="K129" s="27">
        <f>'GT workings base'!K31+'GT workings base'!K35</f>
        <v>16.625252452632346</v>
      </c>
      <c r="L129" s="28">
        <f>SUM(D129:K129)</f>
        <v>199.10754407290273</v>
      </c>
      <c r="N129" s="53"/>
      <c r="P129" s="53"/>
    </row>
    <row r="130" spans="1:16">
      <c r="C130" s="18" t="s">
        <v>387</v>
      </c>
      <c r="D130" s="29">
        <f>'GT workings base'!D30+'GT workings base'!D36</f>
        <v>44.096952058814921</v>
      </c>
      <c r="E130" s="29">
        <f>'GT workings base'!E30+'GT workings base'!E36</f>
        <v>46.269433311823683</v>
      </c>
      <c r="F130" s="29">
        <f>'GT workings base'!F30+'GT workings base'!F36</f>
        <v>50.602500247903464</v>
      </c>
      <c r="G130" s="29">
        <f>'GT workings base'!G30+'GT workings base'!G36</f>
        <v>51.965523419215508</v>
      </c>
      <c r="H130" s="29">
        <f>'GT workings base'!H30+'GT workings base'!H36</f>
        <v>51.12111996589703</v>
      </c>
      <c r="I130" s="29">
        <f>'GT workings base'!I30+'GT workings base'!I36</f>
        <v>49.539820913563602</v>
      </c>
      <c r="J130" s="29">
        <f>'GT workings base'!J30+'GT workings base'!J36</f>
        <v>48.655604989055703</v>
      </c>
      <c r="K130" s="29">
        <f>'GT workings base'!K30+'GT workings base'!K36</f>
        <v>49.763707375013652</v>
      </c>
      <c r="L130" s="30">
        <f t="shared" si="72"/>
        <v>392.01466228128754</v>
      </c>
      <c r="N130" s="53"/>
      <c r="P130" s="53"/>
    </row>
    <row r="131" spans="1:16">
      <c r="C131" s="19" t="s">
        <v>77</v>
      </c>
      <c r="D131" s="31">
        <f>SUM(D129:D130)</f>
        <v>84.986973200482879</v>
      </c>
      <c r="E131" s="31">
        <f t="shared" ref="E131:K131" si="74">SUM(E129:E130)</f>
        <v>78.621263202047004</v>
      </c>
      <c r="F131" s="31">
        <f t="shared" si="74"/>
        <v>75.719016958669997</v>
      </c>
      <c r="G131" s="31">
        <f t="shared" si="74"/>
        <v>76.653402422440564</v>
      </c>
      <c r="H131" s="31">
        <f t="shared" si="74"/>
        <v>73.294041525191219</v>
      </c>
      <c r="I131" s="31">
        <f t="shared" si="74"/>
        <v>67.554524977456794</v>
      </c>
      <c r="J131" s="31">
        <f t="shared" si="74"/>
        <v>67.904024240255865</v>
      </c>
      <c r="K131" s="31">
        <f t="shared" si="74"/>
        <v>66.388959827646005</v>
      </c>
      <c r="L131" s="28">
        <f t="shared" si="72"/>
        <v>591.12220635419044</v>
      </c>
    </row>
    <row r="132" spans="1:16">
      <c r="A132" t="s">
        <v>233</v>
      </c>
      <c r="C132" s="17" t="s">
        <v>388</v>
      </c>
      <c r="D132" s="42">
        <f>D126-(D126-D129)*$K$2</f>
        <v>40.890021141667965</v>
      </c>
      <c r="E132" s="42">
        <f t="shared" ref="E132:K132" si="75">E126-(E126-E129)*$K$2</f>
        <v>32.351829890223328</v>
      </c>
      <c r="F132" s="42">
        <f t="shared" si="75"/>
        <v>25.116516710766533</v>
      </c>
      <c r="G132" s="42">
        <f t="shared" si="75"/>
        <v>24.687879003225049</v>
      </c>
      <c r="H132" s="42">
        <f t="shared" si="75"/>
        <v>22.172921559294188</v>
      </c>
      <c r="I132" s="42">
        <f t="shared" si="75"/>
        <v>18.014704063893184</v>
      </c>
      <c r="J132" s="42">
        <f t="shared" si="75"/>
        <v>19.248419251200154</v>
      </c>
      <c r="K132" s="42">
        <f t="shared" si="75"/>
        <v>16.625252452632346</v>
      </c>
      <c r="L132" s="28">
        <f>SUM(D132:K132)</f>
        <v>199.10754407290273</v>
      </c>
      <c r="N132" s="53"/>
      <c r="P132" s="53"/>
    </row>
    <row r="133" spans="1:16">
      <c r="C133" s="18" t="s">
        <v>389</v>
      </c>
      <c r="D133" s="43">
        <f>D127-(D127-D130)*$K$2</f>
        <v>44.096952058814921</v>
      </c>
      <c r="E133" s="43">
        <f t="shared" ref="E133:K133" si="76">E127-(E127-E130)*$K$2</f>
        <v>46.269433311823683</v>
      </c>
      <c r="F133" s="43">
        <f t="shared" si="76"/>
        <v>50.602500247903464</v>
      </c>
      <c r="G133" s="43">
        <f t="shared" si="76"/>
        <v>51.965523419215508</v>
      </c>
      <c r="H133" s="43">
        <f t="shared" si="76"/>
        <v>51.12111996589703</v>
      </c>
      <c r="I133" s="43">
        <f t="shared" si="76"/>
        <v>49.539820913563602</v>
      </c>
      <c r="J133" s="43">
        <f t="shared" si="76"/>
        <v>48.655604989055703</v>
      </c>
      <c r="K133" s="43">
        <f t="shared" si="76"/>
        <v>49.763707375013652</v>
      </c>
      <c r="L133" s="30">
        <f t="shared" si="72"/>
        <v>392.01466228128754</v>
      </c>
      <c r="N133" s="53"/>
      <c r="P133" s="53"/>
    </row>
    <row r="134" spans="1:16">
      <c r="C134" s="19" t="s">
        <v>78</v>
      </c>
      <c r="D134" s="50">
        <f>SUM(D132:D133)</f>
        <v>84.986973200482879</v>
      </c>
      <c r="E134" s="50">
        <f t="shared" ref="E134:K134" si="77">SUM(E132:E133)</f>
        <v>78.621263202047004</v>
      </c>
      <c r="F134" s="50">
        <f t="shared" si="77"/>
        <v>75.719016958669997</v>
      </c>
      <c r="G134" s="50">
        <f t="shared" si="77"/>
        <v>76.653402422440564</v>
      </c>
      <c r="H134" s="50">
        <f t="shared" si="77"/>
        <v>73.294041525191219</v>
      </c>
      <c r="I134" s="50">
        <f t="shared" si="77"/>
        <v>67.554524977456794</v>
      </c>
      <c r="J134" s="50">
        <f t="shared" si="77"/>
        <v>67.904024240255865</v>
      </c>
      <c r="K134" s="50">
        <f t="shared" si="77"/>
        <v>66.388959827646005</v>
      </c>
      <c r="L134" s="28">
        <f t="shared" si="72"/>
        <v>591.12220635419044</v>
      </c>
    </row>
    <row r="135" spans="1:16">
      <c r="C135" s="20"/>
      <c r="D135" s="32"/>
      <c r="E135" s="32"/>
      <c r="F135" s="32"/>
      <c r="G135" s="32"/>
      <c r="H135" s="32"/>
      <c r="I135" s="32"/>
      <c r="J135" s="32"/>
      <c r="K135" s="32"/>
      <c r="L135" s="33"/>
    </row>
    <row r="136" spans="1:16">
      <c r="C136" s="17" t="s">
        <v>79</v>
      </c>
      <c r="D136" s="27">
        <f>'GT workings base'!D179</f>
        <v>53.201845223502282</v>
      </c>
      <c r="E136" s="27">
        <f>'GT workings base'!E179</f>
        <v>49.216910764481433</v>
      </c>
      <c r="F136" s="27">
        <f>'GT workings base'!F179</f>
        <v>47.400104616127415</v>
      </c>
      <c r="G136" s="27">
        <f>'GT workings base'!G179</f>
        <v>47.985029916447793</v>
      </c>
      <c r="H136" s="27">
        <f>'GT workings base'!H179</f>
        <v>45.882069994769701</v>
      </c>
      <c r="I136" s="27">
        <f>'GT workings base'!I179</f>
        <v>42.289132635887952</v>
      </c>
      <c r="J136" s="27">
        <f>'GT workings base'!J179</f>
        <v>42.507919174400172</v>
      </c>
      <c r="K136" s="27">
        <f>'GT workings base'!K179</f>
        <v>41.559488852106398</v>
      </c>
      <c r="L136" s="28">
        <f t="shared" ref="L136:L138" si="78">SUM(D136:K136)</f>
        <v>370.04250117772312</v>
      </c>
    </row>
    <row r="137" spans="1:16">
      <c r="C137" s="18" t="s">
        <v>80</v>
      </c>
      <c r="D137" s="29">
        <f>'GT workings base'!D178</f>
        <v>31.785127976980597</v>
      </c>
      <c r="E137" s="29">
        <f>'GT workings base'!E178</f>
        <v>29.404352437565585</v>
      </c>
      <c r="F137" s="29">
        <f>'GT workings base'!F178</f>
        <v>28.318912342542578</v>
      </c>
      <c r="G137" s="29">
        <f>'GT workings base'!G178</f>
        <v>28.668372505992771</v>
      </c>
      <c r="H137" s="29">
        <f>'GT workings base'!H178</f>
        <v>27.411971530421514</v>
      </c>
      <c r="I137" s="29">
        <f>'GT workings base'!I178</f>
        <v>25.265392341568841</v>
      </c>
      <c r="J137" s="29">
        <f>'GT workings base'!J178</f>
        <v>25.396105065855693</v>
      </c>
      <c r="K137" s="29">
        <f>'GT workings base'!K178</f>
        <v>24.829470975539607</v>
      </c>
      <c r="L137" s="30">
        <f t="shared" si="78"/>
        <v>221.0797051764672</v>
      </c>
    </row>
    <row r="138" spans="1:16" ht="13.8" thickBot="1">
      <c r="C138" s="21" t="s">
        <v>390</v>
      </c>
      <c r="D138" s="34">
        <f t="shared" ref="D138:K138" si="79">SUM(D136:D137)</f>
        <v>84.986973200482879</v>
      </c>
      <c r="E138" s="34">
        <f t="shared" si="79"/>
        <v>78.621263202047018</v>
      </c>
      <c r="F138" s="34">
        <f t="shared" si="79"/>
        <v>75.719016958669997</v>
      </c>
      <c r="G138" s="34">
        <f t="shared" si="79"/>
        <v>76.653402422440564</v>
      </c>
      <c r="H138" s="34">
        <f t="shared" si="79"/>
        <v>73.294041525191219</v>
      </c>
      <c r="I138" s="34">
        <f t="shared" si="79"/>
        <v>67.554524977456794</v>
      </c>
      <c r="J138" s="34">
        <f t="shared" si="79"/>
        <v>67.904024240255865</v>
      </c>
      <c r="K138" s="34">
        <f t="shared" si="79"/>
        <v>66.388959827646005</v>
      </c>
      <c r="L138" s="35">
        <f t="shared" si="78"/>
        <v>591.12220635419044</v>
      </c>
    </row>
    <row r="140" spans="1:16" ht="13.8" thickBot="1">
      <c r="A140" s="38" t="s">
        <v>410</v>
      </c>
    </row>
    <row r="141" spans="1:16" ht="13.8" thickBot="1">
      <c r="C141" s="7" t="s">
        <v>58</v>
      </c>
      <c r="D141" s="8" t="s">
        <v>59</v>
      </c>
      <c r="E141" s="8" t="s">
        <v>60</v>
      </c>
      <c r="F141" s="8" t="s">
        <v>61</v>
      </c>
      <c r="G141" s="8" t="s">
        <v>62</v>
      </c>
      <c r="H141" s="8" t="s">
        <v>63</v>
      </c>
      <c r="I141" s="8" t="s">
        <v>64</v>
      </c>
      <c r="J141" s="8" t="s">
        <v>65</v>
      </c>
      <c r="K141" s="8" t="s">
        <v>66</v>
      </c>
    </row>
    <row r="142" spans="1:16">
      <c r="C142" s="10" t="s">
        <v>79</v>
      </c>
      <c r="D142" s="42">
        <f>'GT workings base'!D207</f>
        <v>53.201845223502282</v>
      </c>
      <c r="E142" s="42">
        <f>'GT workings base'!E207</f>
        <v>49.216910764481433</v>
      </c>
      <c r="F142" s="42">
        <f>'GT workings base'!F207</f>
        <v>47.400104616127415</v>
      </c>
      <c r="G142" s="42">
        <f>'GT workings base'!G207</f>
        <v>47.985029916447793</v>
      </c>
      <c r="H142" s="42">
        <f>'GT workings base'!H207</f>
        <v>45.882069994769701</v>
      </c>
      <c r="I142" s="42">
        <f>'GT workings base'!I207</f>
        <v>42.289132635887952</v>
      </c>
      <c r="J142" s="42">
        <f>'GT workings base'!J207</f>
        <v>42.507919174400172</v>
      </c>
      <c r="K142" s="42">
        <f>'GT workings base'!K207</f>
        <v>41.559488852106398</v>
      </c>
    </row>
    <row r="143" spans="1:16">
      <c r="C143" s="11" t="s">
        <v>98</v>
      </c>
      <c r="D143" s="43">
        <f>'GT workings base'!D208</f>
        <v>0</v>
      </c>
      <c r="E143" s="43">
        <f>'GT workings base'!E208</f>
        <v>0</v>
      </c>
      <c r="F143" s="43">
        <f>'GT workings base'!F208</f>
        <v>0</v>
      </c>
      <c r="G143" s="43">
        <f>'GT workings base'!G208</f>
        <v>0</v>
      </c>
      <c r="H143" s="43">
        <f>'GT workings base'!H208</f>
        <v>0</v>
      </c>
      <c r="I143" s="43">
        <f>'GT workings base'!I208</f>
        <v>0</v>
      </c>
      <c r="J143" s="43">
        <f>'GT workings base'!J208</f>
        <v>0</v>
      </c>
      <c r="K143" s="43">
        <f>'GT workings base'!K208</f>
        <v>0</v>
      </c>
    </row>
    <row r="144" spans="1:16">
      <c r="C144" s="11" t="s">
        <v>100</v>
      </c>
      <c r="D144" s="43">
        <f>'GT workings base'!D211</f>
        <v>0</v>
      </c>
      <c r="E144" s="43">
        <f>'GT workings base'!E211</f>
        <v>0</v>
      </c>
      <c r="F144" s="43">
        <f>'GT workings base'!F211</f>
        <v>0</v>
      </c>
      <c r="G144" s="43">
        <f>'GT workings base'!G211</f>
        <v>0</v>
      </c>
      <c r="H144" s="43">
        <f>'GT workings base'!H211</f>
        <v>0</v>
      </c>
      <c r="I144" s="43">
        <f>'GT workings base'!I211</f>
        <v>0</v>
      </c>
      <c r="J144" s="43">
        <f>'GT workings base'!J211</f>
        <v>0</v>
      </c>
      <c r="K144" s="43">
        <f>'GT workings base'!K211</f>
        <v>0</v>
      </c>
    </row>
    <row r="145" spans="3:11">
      <c r="C145" s="10" t="s">
        <v>101</v>
      </c>
      <c r="D145" s="42">
        <f>'GT workings base'!D212</f>
        <v>-0.43181154987245485</v>
      </c>
      <c r="E145" s="42">
        <f>'GT workings base'!E212</f>
        <v>-0.39947195996305995</v>
      </c>
      <c r="F145" s="42">
        <f>'GT workings base'!F212</f>
        <v>-0.34734317043598018</v>
      </c>
      <c r="G145" s="42">
        <f>'GT workings base'!G212</f>
        <v>-0.3193206524905472</v>
      </c>
      <c r="H145" s="42">
        <f>'GT workings base'!H212</f>
        <v>-0.31265626882301373</v>
      </c>
      <c r="I145" s="42">
        <f>'GT workings base'!I212</f>
        <v>-0.30799379948941219</v>
      </c>
      <c r="J145" s="42">
        <f>'GT workings base'!J212</f>
        <v>-0.32570922921081308</v>
      </c>
      <c r="K145" s="42">
        <f>'GT workings base'!K212</f>
        <v>-0.31552026220892354</v>
      </c>
    </row>
    <row r="146" spans="3:11">
      <c r="C146" s="11" t="s">
        <v>102</v>
      </c>
      <c r="D146" s="43">
        <f>'GT workings base'!D214</f>
        <v>0.8125503950547055</v>
      </c>
      <c r="E146" s="43">
        <f>'GT workings base'!E214</f>
        <v>0</v>
      </c>
      <c r="F146" s="43">
        <f>'GT workings base'!F214</f>
        <v>0</v>
      </c>
      <c r="G146" s="43">
        <f>'GT workings base'!G214</f>
        <v>0</v>
      </c>
      <c r="H146" s="43">
        <f>'GT workings base'!H214</f>
        <v>0</v>
      </c>
      <c r="I146" s="43">
        <f>'GT workings base'!I214</f>
        <v>0</v>
      </c>
      <c r="J146" s="43">
        <f>'GT workings base'!J214</f>
        <v>0</v>
      </c>
      <c r="K146" s="43">
        <f>'GT workings base'!K214</f>
        <v>0</v>
      </c>
    </row>
    <row r="147" spans="3:11">
      <c r="C147" s="10" t="s">
        <v>103</v>
      </c>
      <c r="D147" s="42">
        <f>'GT workings base'!D210+'GT workings base'!D209</f>
        <v>13.260363365149402</v>
      </c>
      <c r="E147" s="42">
        <f>'GT workings base'!E210+'GT workings base'!E209</f>
        <v>18.565813091023536</v>
      </c>
      <c r="F147" s="42">
        <f>'GT workings base'!F210+'GT workings base'!F209</f>
        <v>21.732953902360698</v>
      </c>
      <c r="G147" s="42">
        <f>'GT workings base'!G210+'GT workings base'!G209</f>
        <v>25.091248489362332</v>
      </c>
      <c r="H147" s="42">
        <f>'GT workings base'!H210+'GT workings base'!H209</f>
        <v>28.000352284604531</v>
      </c>
      <c r="I147" s="42">
        <f>'GT workings base'!I210+'GT workings base'!I209</f>
        <v>30.677016562153579</v>
      </c>
      <c r="J147" s="42">
        <f>'GT workings base'!J210+'GT workings base'!J209</f>
        <v>32.566549983372276</v>
      </c>
      <c r="K147" s="42">
        <f>'GT workings base'!K210+'GT workings base'!K209</f>
        <v>32.598494661610729</v>
      </c>
    </row>
    <row r="148" spans="3:11">
      <c r="C148" s="11" t="s">
        <v>104</v>
      </c>
      <c r="D148" s="43">
        <f>'GT workings base'!D213</f>
        <v>5.0764622252258459E-2</v>
      </c>
      <c r="E148" s="43">
        <f>'GT workings base'!E213</f>
        <v>4.5939681659865533E-2</v>
      </c>
      <c r="F148" s="43">
        <f>'GT workings base'!F213</f>
        <v>4.0903649916555401E-2</v>
      </c>
      <c r="G148" s="43">
        <f>'GT workings base'!G213</f>
        <v>3.5647291784475482E-2</v>
      </c>
      <c r="H148" s="43">
        <f>'GT workings base'!H213</f>
        <v>3.0160967984117021E-2</v>
      </c>
      <c r="I148" s="43">
        <f>'GT workings base'!I213</f>
        <v>2.4434617517492901E-2</v>
      </c>
      <c r="J148" s="43">
        <f>'GT workings base'!J213</f>
        <v>1.8457739217953989E-2</v>
      </c>
      <c r="K148" s="43">
        <f>'GT workings base'!K213</f>
        <v>1.2219372492810243E-2</v>
      </c>
    </row>
    <row r="149" spans="3:11">
      <c r="C149" s="12" t="s">
        <v>105</v>
      </c>
      <c r="D149" s="50">
        <f>SUM(D142:D148)</f>
        <v>66.893712056086187</v>
      </c>
      <c r="E149" s="50">
        <f t="shared" ref="E149:K149" si="80">SUM(E142:E148)</f>
        <v>67.429191577201777</v>
      </c>
      <c r="F149" s="50">
        <f t="shared" si="80"/>
        <v>68.826618997968694</v>
      </c>
      <c r="G149" s="50">
        <f t="shared" si="80"/>
        <v>72.792605045104054</v>
      </c>
      <c r="H149" s="50">
        <f t="shared" si="80"/>
        <v>73.599926978535336</v>
      </c>
      <c r="I149" s="50">
        <f t="shared" si="80"/>
        <v>72.682590016069625</v>
      </c>
      <c r="J149" s="50">
        <f t="shared" si="80"/>
        <v>74.76721766777959</v>
      </c>
      <c r="K149" s="50">
        <f t="shared" si="80"/>
        <v>73.854682624001015</v>
      </c>
    </row>
    <row r="150" spans="3:11">
      <c r="C150" s="11" t="s">
        <v>277</v>
      </c>
      <c r="D150" s="43">
        <f>'GT workings base'!D220</f>
        <v>94.224999999999994</v>
      </c>
      <c r="E150" s="43">
        <f>'GT workings base'!E220</f>
        <v>87.484999999999999</v>
      </c>
      <c r="F150" s="43">
        <f>'GT workings base'!F220</f>
        <v>79.322999999999993</v>
      </c>
      <c r="G150" s="43">
        <f>'GT workings base'!G220</f>
        <v>58.722999999999999</v>
      </c>
      <c r="H150" s="43">
        <f>'GT workings base'!H220</f>
        <v>3.3000000000000002E-2</v>
      </c>
      <c r="I150" s="43">
        <f>'GT workings base'!I220</f>
        <v>3.3000000000000002E-2</v>
      </c>
      <c r="J150" s="43">
        <f>'GT workings base'!J220</f>
        <v>0</v>
      </c>
      <c r="K150" s="43">
        <f>'GT workings base'!K220</f>
        <v>0</v>
      </c>
    </row>
    <row r="151" spans="3:11" ht="13.8" thickBot="1">
      <c r="C151" s="13" t="s">
        <v>107</v>
      </c>
      <c r="D151" s="52">
        <f>D149+D150</f>
        <v>161.11871205608617</v>
      </c>
      <c r="E151" s="52">
        <f t="shared" ref="E151:K151" si="81">E149+E150</f>
        <v>154.91419157720179</v>
      </c>
      <c r="F151" s="52">
        <f t="shared" si="81"/>
        <v>148.14961899796867</v>
      </c>
      <c r="G151" s="52">
        <f t="shared" si="81"/>
        <v>131.51560504510405</v>
      </c>
      <c r="H151" s="52">
        <f t="shared" si="81"/>
        <v>73.632926978535338</v>
      </c>
      <c r="I151" s="52">
        <f t="shared" si="81"/>
        <v>72.715590016069626</v>
      </c>
      <c r="J151" s="52">
        <f t="shared" si="81"/>
        <v>74.76721766777959</v>
      </c>
      <c r="K151" s="52">
        <f t="shared" si="81"/>
        <v>73.854682624001015</v>
      </c>
    </row>
    <row r="153" spans="3:11">
      <c r="D153" s="53">
        <f>'GT workings base'!D222-D151</f>
        <v>0</v>
      </c>
      <c r="E153" s="53">
        <f>'GT workings base'!E222-E151</f>
        <v>0</v>
      </c>
      <c r="F153" s="53">
        <f>'GT workings base'!F222-F151</f>
        <v>0</v>
      </c>
      <c r="G153" s="53">
        <f>'GT workings base'!G222-G151</f>
        <v>0</v>
      </c>
      <c r="H153" s="53">
        <f>'GT workings base'!H222-H151</f>
        <v>0</v>
      </c>
      <c r="I153" s="53">
        <f>'GT workings base'!I222-I151</f>
        <v>0</v>
      </c>
      <c r="J153" s="53">
        <f>'GT workings base'!J222-J151</f>
        <v>0</v>
      </c>
      <c r="K153" s="53">
        <f>'GT workings base'!K222-K151</f>
        <v>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Z286"/>
  <sheetViews>
    <sheetView zoomScale="70" zoomScaleNormal="70" workbookViewId="0">
      <pane xSplit="3" ySplit="4" topLeftCell="D252" activePane="bottomRight" state="frozen"/>
      <selection pane="topRight" activeCell="L237" sqref="L237"/>
      <selection pane="bottomLeft" activeCell="L237" sqref="L237"/>
      <selection pane="bottomRight" activeCell="L237" sqref="L237"/>
    </sheetView>
  </sheetViews>
  <sheetFormatPr defaultRowHeight="13.2"/>
  <cols>
    <col min="1" max="1" width="6.33203125" customWidth="1"/>
    <col min="2" max="2" width="16.6640625" bestFit="1" customWidth="1"/>
    <col min="3" max="3" width="54.5546875" customWidth="1"/>
    <col min="4" max="4" width="1.88671875" customWidth="1"/>
    <col min="5" max="12" width="12.109375" customWidth="1"/>
    <col min="13" max="13" width="10.109375" customWidth="1"/>
    <col min="14" max="14" width="20.109375" customWidth="1"/>
    <col min="23" max="23" width="10.109375" customWidth="1"/>
  </cols>
  <sheetData>
    <row r="1" spans="1:23">
      <c r="N1" t="s">
        <v>196</v>
      </c>
      <c r="O1" s="55">
        <f>RPI!E2</f>
        <v>1.167</v>
      </c>
      <c r="P1" s="55">
        <f>RPI!F2</f>
        <v>1.19</v>
      </c>
      <c r="Q1" s="55">
        <f>RPI!G2</f>
        <v>1.202</v>
      </c>
      <c r="R1" s="55">
        <f>RPI!H2</f>
        <v>1.228</v>
      </c>
      <c r="S1" s="55">
        <f>RPI!I2</f>
        <v>1.274</v>
      </c>
      <c r="T1" s="55">
        <f>RPI!J2</f>
        <v>1.3129999999999999</v>
      </c>
      <c r="U1" s="55">
        <f>RPI!K2</f>
        <v>1.349</v>
      </c>
      <c r="V1" s="55">
        <f>RPI!L2</f>
        <v>1.3879999999999999</v>
      </c>
    </row>
    <row r="2" spans="1:23">
      <c r="N2" t="s">
        <v>197</v>
      </c>
      <c r="O2" s="55">
        <f>RPI!E3</f>
        <v>1.1809052989340341</v>
      </c>
      <c r="P2" s="55">
        <f>RPI!F3</f>
        <v>1.1915649621504716</v>
      </c>
      <c r="Q2" s="55">
        <f>RPI!G3</f>
        <v>1.2101035068747106</v>
      </c>
      <c r="R2" s="55">
        <f>RPI!H3</f>
        <v>1.2481075235594008</v>
      </c>
      <c r="S2" s="55">
        <f>RPI!I3</f>
        <v>1.2898192491889391</v>
      </c>
      <c r="T2" s="55">
        <f>RPI!J3</f>
        <v>1.3213347752201456</v>
      </c>
      <c r="U2" s="55">
        <f>RPI!K3</f>
        <v>1.3611926463772597</v>
      </c>
      <c r="V2" s="55">
        <f>RPI!L3</f>
        <v>1.4019774447705857</v>
      </c>
    </row>
    <row r="3" spans="1:23" ht="13.8" thickBot="1">
      <c r="N3" t="s">
        <v>198</v>
      </c>
      <c r="O3" s="55">
        <f>RPI!E4</f>
        <v>1.1495010041711728</v>
      </c>
      <c r="P3" s="55"/>
      <c r="Q3" s="55"/>
      <c r="R3" s="55"/>
      <c r="S3" s="55"/>
      <c r="T3" s="55"/>
      <c r="U3" s="55"/>
      <c r="V3" s="55"/>
    </row>
    <row r="4" spans="1:23" ht="14.4" thickBot="1">
      <c r="A4" t="s">
        <v>199</v>
      </c>
      <c r="B4" t="s">
        <v>200</v>
      </c>
      <c r="E4" s="56" t="s">
        <v>59</v>
      </c>
      <c r="F4" s="56" t="s">
        <v>60</v>
      </c>
      <c r="G4" s="56" t="s">
        <v>61</v>
      </c>
      <c r="H4" s="56" t="s">
        <v>62</v>
      </c>
      <c r="I4" s="56" t="s">
        <v>63</v>
      </c>
      <c r="J4" s="56" t="s">
        <v>64</v>
      </c>
      <c r="K4" s="56" t="s">
        <v>65</v>
      </c>
      <c r="L4" s="56" t="s">
        <v>66</v>
      </c>
      <c r="M4" s="56" t="s">
        <v>118</v>
      </c>
      <c r="N4" s="522" t="s">
        <v>201</v>
      </c>
      <c r="O4" s="56" t="s">
        <v>59</v>
      </c>
      <c r="P4" s="56" t="s">
        <v>60</v>
      </c>
      <c r="Q4" s="56" t="s">
        <v>61</v>
      </c>
      <c r="R4" s="56" t="s">
        <v>62</v>
      </c>
      <c r="S4" s="56" t="s">
        <v>63</v>
      </c>
      <c r="T4" s="56" t="s">
        <v>64</v>
      </c>
      <c r="U4" s="56" t="s">
        <v>65</v>
      </c>
      <c r="V4" s="56" t="s">
        <v>66</v>
      </c>
      <c r="W4" s="56" t="s">
        <v>118</v>
      </c>
    </row>
    <row r="6" spans="1:23">
      <c r="C6" s="38" t="s">
        <v>202</v>
      </c>
    </row>
    <row r="7" spans="1:23">
      <c r="B7" t="s">
        <v>203</v>
      </c>
      <c r="C7" t="s">
        <v>204</v>
      </c>
      <c r="E7" s="196">
        <v>37.780581733294433</v>
      </c>
      <c r="F7" s="196">
        <v>38.765251453029641</v>
      </c>
      <c r="G7" s="196">
        <v>38.935734544913359</v>
      </c>
      <c r="H7" s="196">
        <v>37.194366497168517</v>
      </c>
      <c r="I7" s="196">
        <v>37.663363739263652</v>
      </c>
      <c r="J7" s="196">
        <v>38.166072267177746</v>
      </c>
      <c r="K7" s="196">
        <v>38.821758225100261</v>
      </c>
      <c r="L7" s="196">
        <v>39.417681323616755</v>
      </c>
      <c r="M7" s="53">
        <f>SUM(E7:L7)</f>
        <v>306.74480978356434</v>
      </c>
      <c r="O7" s="53">
        <f t="shared" ref="O7:V8" si="0">E7*O$1</f>
        <v>44.089938882754602</v>
      </c>
      <c r="P7" s="53">
        <f t="shared" si="0"/>
        <v>46.130649229105273</v>
      </c>
      <c r="Q7" s="53">
        <f t="shared" si="0"/>
        <v>46.800752922985858</v>
      </c>
      <c r="R7" s="53">
        <f t="shared" si="0"/>
        <v>45.67468205852294</v>
      </c>
      <c r="S7" s="53">
        <f t="shared" si="0"/>
        <v>47.983125403821894</v>
      </c>
      <c r="T7" s="53">
        <f t="shared" si="0"/>
        <v>50.112052886804378</v>
      </c>
      <c r="U7" s="53">
        <f t="shared" si="0"/>
        <v>52.370551845660252</v>
      </c>
      <c r="V7" s="53">
        <f t="shared" si="0"/>
        <v>54.711741677180051</v>
      </c>
      <c r="W7" s="53">
        <f>SUM(O7:V7)</f>
        <v>387.87349490683522</v>
      </c>
    </row>
    <row r="8" spans="1:23">
      <c r="B8" t="s">
        <v>205</v>
      </c>
      <c r="C8" t="s">
        <v>206</v>
      </c>
      <c r="E8" s="196">
        <v>33.7340643238336</v>
      </c>
      <c r="F8" s="196">
        <v>27.39346022326454</v>
      </c>
      <c r="G8" s="196">
        <v>18.58964637976759</v>
      </c>
      <c r="H8" s="196">
        <v>15.690053681814245</v>
      </c>
      <c r="I8" s="196">
        <v>14.117331818843784</v>
      </c>
      <c r="J8" s="196">
        <v>12.8424465294623</v>
      </c>
      <c r="K8" s="196">
        <v>15.120708694627556</v>
      </c>
      <c r="L8" s="196">
        <v>12.837335667911791</v>
      </c>
      <c r="M8" s="53">
        <f>SUM(E8:L8)</f>
        <v>150.3250473195254</v>
      </c>
      <c r="O8" s="53">
        <f t="shared" si="0"/>
        <v>39.367653065913814</v>
      </c>
      <c r="P8" s="53">
        <f t="shared" si="0"/>
        <v>32.5982176656848</v>
      </c>
      <c r="Q8" s="53">
        <f t="shared" si="0"/>
        <v>22.344754948480642</v>
      </c>
      <c r="R8" s="53">
        <f t="shared" si="0"/>
        <v>19.267385921267891</v>
      </c>
      <c r="S8" s="53">
        <f t="shared" si="0"/>
        <v>17.985480737206981</v>
      </c>
      <c r="T8" s="53">
        <f t="shared" si="0"/>
        <v>16.862132293184001</v>
      </c>
      <c r="U8" s="53">
        <f t="shared" si="0"/>
        <v>20.397836029052574</v>
      </c>
      <c r="V8" s="53">
        <f t="shared" si="0"/>
        <v>17.818221907061567</v>
      </c>
      <c r="W8" s="53">
        <f>SUM(O8:V8)</f>
        <v>186.64168256785226</v>
      </c>
    </row>
    <row r="9" spans="1:23">
      <c r="C9" s="38" t="s">
        <v>207</v>
      </c>
      <c r="E9" s="57">
        <f t="shared" ref="E9:M9" si="1">SUM(E7:E8)</f>
        <v>71.514646057128033</v>
      </c>
      <c r="F9" s="57">
        <f t="shared" si="1"/>
        <v>66.158711676294189</v>
      </c>
      <c r="G9" s="57">
        <f t="shared" si="1"/>
        <v>57.525380924680945</v>
      </c>
      <c r="H9" s="57">
        <f t="shared" si="1"/>
        <v>52.884420178982765</v>
      </c>
      <c r="I9" s="57">
        <f t="shared" si="1"/>
        <v>51.780695558107439</v>
      </c>
      <c r="J9" s="57">
        <f t="shared" si="1"/>
        <v>51.008518796640047</v>
      </c>
      <c r="K9" s="57">
        <f t="shared" si="1"/>
        <v>53.942466919727821</v>
      </c>
      <c r="L9" s="57">
        <f t="shared" si="1"/>
        <v>52.255016991528549</v>
      </c>
      <c r="M9" s="57">
        <f t="shared" si="1"/>
        <v>457.0698571030897</v>
      </c>
      <c r="O9" s="57">
        <f t="shared" ref="O9:W9" si="2">SUM(O7:O8)</f>
        <v>83.457591948668409</v>
      </c>
      <c r="P9" s="57">
        <f t="shared" si="2"/>
        <v>78.728866894790073</v>
      </c>
      <c r="Q9" s="57">
        <f t="shared" si="2"/>
        <v>69.145507871466492</v>
      </c>
      <c r="R9" s="57">
        <f t="shared" si="2"/>
        <v>64.942067979790835</v>
      </c>
      <c r="S9" s="57">
        <f t="shared" si="2"/>
        <v>65.968606141028872</v>
      </c>
      <c r="T9" s="57">
        <f t="shared" si="2"/>
        <v>66.974185179988382</v>
      </c>
      <c r="U9" s="57">
        <f t="shared" si="2"/>
        <v>72.768387874712829</v>
      </c>
      <c r="V9" s="57">
        <f t="shared" si="2"/>
        <v>72.529963584241614</v>
      </c>
      <c r="W9" s="57">
        <f t="shared" si="2"/>
        <v>574.51517747468745</v>
      </c>
    </row>
    <row r="10" spans="1:23">
      <c r="E10" s="53"/>
      <c r="F10" s="53"/>
      <c r="G10" s="53"/>
      <c r="H10" s="53"/>
      <c r="I10" s="53"/>
      <c r="J10" s="53"/>
      <c r="K10" s="53"/>
      <c r="L10" s="53"/>
      <c r="O10" s="53"/>
      <c r="P10" s="53"/>
      <c r="Q10" s="53"/>
      <c r="R10" s="53"/>
      <c r="S10" s="53"/>
      <c r="T10" s="53"/>
      <c r="U10" s="53"/>
      <c r="V10" s="53"/>
      <c r="W10" s="53"/>
    </row>
    <row r="11" spans="1:23">
      <c r="C11" s="38" t="s">
        <v>208</v>
      </c>
      <c r="E11" s="53"/>
      <c r="F11" s="53"/>
      <c r="G11" s="53"/>
      <c r="H11" s="53"/>
      <c r="I11" s="53"/>
      <c r="J11" s="53"/>
      <c r="K11" s="53"/>
      <c r="L11" s="53"/>
      <c r="O11" s="53"/>
      <c r="P11" s="53"/>
      <c r="Q11" s="53"/>
      <c r="R11" s="53"/>
      <c r="S11" s="53"/>
      <c r="T11" s="53"/>
      <c r="U11" s="53"/>
      <c r="V11" s="53"/>
      <c r="W11" s="53"/>
    </row>
    <row r="12" spans="1:23">
      <c r="B12" t="s">
        <v>209</v>
      </c>
      <c r="C12" t="s">
        <v>210</v>
      </c>
      <c r="E12" s="196">
        <v>19.755956161710287</v>
      </c>
      <c r="F12" s="196">
        <v>4.9640550676615947</v>
      </c>
      <c r="G12" s="196">
        <v>8.9197815696110538</v>
      </c>
      <c r="H12" s="196">
        <v>12.191499767835666</v>
      </c>
      <c r="I12" s="196">
        <v>13.477291968470052</v>
      </c>
      <c r="J12" s="196">
        <v>19.208679341930342</v>
      </c>
      <c r="K12" s="196">
        <v>16.974249516476256</v>
      </c>
      <c r="L12" s="196">
        <v>13.967101910657444</v>
      </c>
      <c r="M12" s="53">
        <f t="shared" ref="M12:M13" si="3">SUM(E12:L12)</f>
        <v>109.45861530435269</v>
      </c>
      <c r="O12" s="53">
        <f t="shared" ref="O12:V13" si="4">E12*O$1</f>
        <v>23.055200840715905</v>
      </c>
      <c r="P12" s="53">
        <f t="shared" si="4"/>
        <v>5.9072255305172972</v>
      </c>
      <c r="Q12" s="53">
        <f t="shared" si="4"/>
        <v>10.721577446672486</v>
      </c>
      <c r="R12" s="53">
        <f t="shared" si="4"/>
        <v>14.971161714902196</v>
      </c>
      <c r="S12" s="53">
        <f t="shared" si="4"/>
        <v>17.170069967830845</v>
      </c>
      <c r="T12" s="53">
        <f t="shared" si="4"/>
        <v>25.220995975954537</v>
      </c>
      <c r="U12" s="53">
        <f t="shared" si="4"/>
        <v>22.898262597726468</v>
      </c>
      <c r="V12" s="53">
        <f t="shared" si="4"/>
        <v>19.386337451992532</v>
      </c>
      <c r="W12" s="53">
        <f>SUM(O12:V12)</f>
        <v>139.33083152631227</v>
      </c>
    </row>
    <row r="13" spans="1:23">
      <c r="B13" t="s">
        <v>211</v>
      </c>
      <c r="C13" t="s">
        <v>212</v>
      </c>
      <c r="E13" s="196">
        <v>6.3163697463774593</v>
      </c>
      <c r="F13" s="196">
        <v>7.5127863565785153</v>
      </c>
      <c r="G13" s="196">
        <v>11.755221166240313</v>
      </c>
      <c r="H13" s="196">
        <v>14.858131955957658</v>
      </c>
      <c r="I13" s="196">
        <v>9.9935426477652847</v>
      </c>
      <c r="J13" s="196">
        <v>12.155160387098473</v>
      </c>
      <c r="K13" s="196">
        <v>12.398863612479254</v>
      </c>
      <c r="L13" s="196">
        <v>11.187952086317051</v>
      </c>
      <c r="M13" s="53">
        <f t="shared" si="3"/>
        <v>86.178027958814013</v>
      </c>
      <c r="O13" s="53">
        <f t="shared" si="4"/>
        <v>7.3712034940224953</v>
      </c>
      <c r="P13" s="53">
        <f t="shared" si="4"/>
        <v>8.9402157643284337</v>
      </c>
      <c r="Q13" s="53">
        <f t="shared" si="4"/>
        <v>14.129775841820855</v>
      </c>
      <c r="R13" s="53">
        <f t="shared" si="4"/>
        <v>18.245786041916006</v>
      </c>
      <c r="S13" s="53">
        <f t="shared" si="4"/>
        <v>12.731773333252972</v>
      </c>
      <c r="T13" s="53">
        <f t="shared" si="4"/>
        <v>15.959725588260294</v>
      </c>
      <c r="U13" s="53">
        <f t="shared" si="4"/>
        <v>16.726067013234513</v>
      </c>
      <c r="V13" s="53">
        <f t="shared" si="4"/>
        <v>15.528877495808064</v>
      </c>
      <c r="W13" s="53">
        <f>SUM(O13:V13)</f>
        <v>109.63342457264363</v>
      </c>
    </row>
    <row r="14" spans="1:23">
      <c r="E14" s="53"/>
      <c r="F14" s="53"/>
      <c r="G14" s="53"/>
      <c r="H14" s="53"/>
      <c r="I14" s="53"/>
      <c r="J14" s="53"/>
      <c r="K14" s="53"/>
      <c r="L14" s="53"/>
      <c r="M14" s="53"/>
      <c r="O14" s="53"/>
      <c r="P14" s="53"/>
      <c r="Q14" s="53"/>
      <c r="R14" s="53"/>
      <c r="S14" s="53"/>
      <c r="T14" s="53"/>
      <c r="U14" s="53"/>
      <c r="V14" s="53"/>
      <c r="W14" s="53"/>
    </row>
    <row r="15" spans="1:23">
      <c r="C15" s="38" t="s">
        <v>213</v>
      </c>
      <c r="O15" s="53"/>
      <c r="P15" s="53"/>
      <c r="Q15" s="53"/>
      <c r="R15" s="53"/>
      <c r="S15" s="53"/>
      <c r="T15" s="53"/>
      <c r="U15" s="53"/>
      <c r="V15" s="53"/>
      <c r="W15" s="53"/>
    </row>
    <row r="16" spans="1:23">
      <c r="B16" t="s">
        <v>214</v>
      </c>
      <c r="C16" t="s">
        <v>215</v>
      </c>
      <c r="E16" s="196">
        <v>15.115777414489674</v>
      </c>
      <c r="F16" s="196">
        <v>6.1585183187658412</v>
      </c>
      <c r="G16" s="196">
        <v>1.2279992437177505</v>
      </c>
      <c r="H16" s="196">
        <v>1.0586494644799558</v>
      </c>
      <c r="I16" s="196">
        <v>5.9459563895617578</v>
      </c>
      <c r="J16" s="196">
        <v>5.0594200163138892</v>
      </c>
      <c r="K16" s="196">
        <v>0.23152878737450566</v>
      </c>
      <c r="L16" s="196">
        <v>0</v>
      </c>
      <c r="M16" s="53">
        <f>SUM(E16:L16)</f>
        <v>34.797849634703375</v>
      </c>
      <c r="O16" s="53">
        <f t="shared" ref="O16:V18" si="5">E16*O$1</f>
        <v>17.640112242709449</v>
      </c>
      <c r="P16" s="53">
        <f t="shared" si="5"/>
        <v>7.3286367993313508</v>
      </c>
      <c r="Q16" s="53">
        <f t="shared" si="5"/>
        <v>1.476055090948736</v>
      </c>
      <c r="R16" s="53">
        <f t="shared" si="5"/>
        <v>1.3000215423813857</v>
      </c>
      <c r="S16" s="53">
        <f t="shared" si="5"/>
        <v>7.5751484403016791</v>
      </c>
      <c r="T16" s="53">
        <f t="shared" si="5"/>
        <v>6.6430184814201363</v>
      </c>
      <c r="U16" s="53">
        <f t="shared" si="5"/>
        <v>0.31233233416820816</v>
      </c>
      <c r="V16" s="53">
        <f t="shared" si="5"/>
        <v>0</v>
      </c>
      <c r="W16" s="53">
        <f>SUM(O16:V16)</f>
        <v>42.275324931260947</v>
      </c>
    </row>
    <row r="17" spans="2:23">
      <c r="B17" t="s">
        <v>216</v>
      </c>
      <c r="C17" t="s">
        <v>217</v>
      </c>
      <c r="E17" s="196">
        <v>97.132518315217595</v>
      </c>
      <c r="F17" s="196">
        <v>109.87971241227922</v>
      </c>
      <c r="G17" s="196">
        <v>114.43672637584547</v>
      </c>
      <c r="H17" s="196">
        <v>123.96977718673423</v>
      </c>
      <c r="I17" s="196">
        <v>138.27838395379189</v>
      </c>
      <c r="J17" s="196">
        <v>117.50342084599842</v>
      </c>
      <c r="K17" s="196">
        <v>101.87556011564801</v>
      </c>
      <c r="L17" s="196">
        <v>91.157975802007329</v>
      </c>
      <c r="M17" s="53">
        <f>SUM(E17:L17)</f>
        <v>894.23407500752216</v>
      </c>
      <c r="O17" s="53">
        <f t="shared" si="5"/>
        <v>113.35364887385894</v>
      </c>
      <c r="P17" s="53">
        <f t="shared" si="5"/>
        <v>130.75685777061227</v>
      </c>
      <c r="Q17" s="53">
        <f t="shared" si="5"/>
        <v>137.55294510376623</v>
      </c>
      <c r="R17" s="53">
        <f t="shared" si="5"/>
        <v>152.23488638530964</v>
      </c>
      <c r="S17" s="53">
        <f t="shared" si="5"/>
        <v>176.16666115713087</v>
      </c>
      <c r="T17" s="53">
        <f t="shared" si="5"/>
        <v>154.28199157079592</v>
      </c>
      <c r="U17" s="53">
        <f t="shared" si="5"/>
        <v>137.43013059600918</v>
      </c>
      <c r="V17" s="53">
        <f t="shared" si="5"/>
        <v>126.52727041318616</v>
      </c>
      <c r="W17" s="53">
        <f>SUM(O17:V17)</f>
        <v>1128.3043918706692</v>
      </c>
    </row>
    <row r="18" spans="2:23">
      <c r="B18" t="s">
        <v>218</v>
      </c>
      <c r="C18" t="s">
        <v>204</v>
      </c>
      <c r="E18" s="196">
        <v>64.482672010544718</v>
      </c>
      <c r="F18" s="196">
        <v>65.237874215180156</v>
      </c>
      <c r="G18" s="196">
        <v>70.772894725011071</v>
      </c>
      <c r="H18" s="196">
        <v>79.368338266410362</v>
      </c>
      <c r="I18" s="196">
        <v>84.317479134504765</v>
      </c>
      <c r="J18" s="196">
        <v>84.641346358196444</v>
      </c>
      <c r="K18" s="196">
        <v>80.728014781566515</v>
      </c>
      <c r="L18" s="196">
        <v>77.490070123441129</v>
      </c>
      <c r="M18" s="53">
        <f>SUM(E18:L18)</f>
        <v>607.03868961485512</v>
      </c>
      <c r="O18" s="53">
        <f t="shared" si="5"/>
        <v>75.251278236305694</v>
      </c>
      <c r="P18" s="53">
        <f t="shared" si="5"/>
        <v>77.633070316064376</v>
      </c>
      <c r="Q18" s="53">
        <f t="shared" si="5"/>
        <v>85.069019459463306</v>
      </c>
      <c r="R18" s="53">
        <f t="shared" si="5"/>
        <v>97.464319391151918</v>
      </c>
      <c r="S18" s="53">
        <f t="shared" si="5"/>
        <v>107.42046841735907</v>
      </c>
      <c r="T18" s="53">
        <f t="shared" si="5"/>
        <v>111.13408776831193</v>
      </c>
      <c r="U18" s="53">
        <f t="shared" si="5"/>
        <v>108.90209194033322</v>
      </c>
      <c r="V18" s="53">
        <f t="shared" si="5"/>
        <v>107.55621733133628</v>
      </c>
      <c r="W18" s="53">
        <f>SUM(O18:V18)</f>
        <v>770.43055286032575</v>
      </c>
    </row>
    <row r="19" spans="2:23">
      <c r="O19" s="53"/>
      <c r="P19" s="53"/>
      <c r="Q19" s="53"/>
      <c r="R19" s="53"/>
      <c r="S19" s="53"/>
      <c r="T19" s="53"/>
      <c r="U19" s="53"/>
      <c r="V19" s="53"/>
      <c r="W19" s="53"/>
    </row>
    <row r="20" spans="2:23">
      <c r="C20" s="38" t="s">
        <v>219</v>
      </c>
      <c r="O20" s="53"/>
      <c r="P20" s="53"/>
      <c r="Q20" s="53"/>
      <c r="R20" s="53"/>
      <c r="S20" s="53"/>
      <c r="T20" s="53"/>
      <c r="U20" s="53"/>
      <c r="V20" s="53"/>
      <c r="W20" s="53"/>
    </row>
    <row r="21" spans="2:23">
      <c r="B21" t="s">
        <v>220</v>
      </c>
      <c r="C21" t="s">
        <v>206</v>
      </c>
      <c r="E21" s="196">
        <v>26.93604464906883</v>
      </c>
      <c r="F21" s="196">
        <v>19.510949672305049</v>
      </c>
      <c r="G21" s="196">
        <v>-3.895985875942312</v>
      </c>
      <c r="H21" s="196">
        <v>-15.83053713675862</v>
      </c>
      <c r="I21" s="196">
        <v>4.0808157869617645</v>
      </c>
      <c r="J21" s="196">
        <v>3.3617866266992991</v>
      </c>
      <c r="K21" s="196">
        <v>-22.618844944848529</v>
      </c>
      <c r="L21" s="196">
        <v>-27.683993902785797</v>
      </c>
      <c r="M21" s="53">
        <f>SUM(E21:L21)</f>
        <v>-16.139765125300322</v>
      </c>
      <c r="O21" s="53">
        <f t="shared" ref="O21:V22" si="6">E21*O$1</f>
        <v>31.434364105463324</v>
      </c>
      <c r="P21" s="53">
        <f t="shared" si="6"/>
        <v>23.218030110043006</v>
      </c>
      <c r="Q21" s="53">
        <f t="shared" si="6"/>
        <v>-4.6829750228826592</v>
      </c>
      <c r="R21" s="53">
        <f t="shared" si="6"/>
        <v>-19.439899603939587</v>
      </c>
      <c r="S21" s="53">
        <f t="shared" si="6"/>
        <v>5.1989593125892881</v>
      </c>
      <c r="T21" s="53">
        <f t="shared" si="6"/>
        <v>4.4140258408561799</v>
      </c>
      <c r="U21" s="53">
        <f t="shared" si="6"/>
        <v>-30.512821830600664</v>
      </c>
      <c r="V21" s="53">
        <f t="shared" si="6"/>
        <v>-38.425383537066686</v>
      </c>
      <c r="W21" s="53">
        <f>SUM(O21:V21)</f>
        <v>-28.795700625537791</v>
      </c>
    </row>
    <row r="22" spans="2:23">
      <c r="B22" t="s">
        <v>221</v>
      </c>
      <c r="C22" t="s">
        <v>204</v>
      </c>
      <c r="E22" s="196">
        <v>3.4860000000000002</v>
      </c>
      <c r="F22" s="196">
        <v>1.9990000000000001</v>
      </c>
      <c r="G22" s="196">
        <v>2.0979999999999999</v>
      </c>
      <c r="H22" s="196">
        <v>2.8820000000000001</v>
      </c>
      <c r="I22" s="196">
        <v>3.7022064285714298</v>
      </c>
      <c r="J22" s="196">
        <v>2.5631782312925169</v>
      </c>
      <c r="K22" s="196">
        <v>1.4961976478727097</v>
      </c>
      <c r="L22" s="196">
        <v>0.94824897959183674</v>
      </c>
      <c r="M22" s="53">
        <f>SUM(E22:L22)</f>
        <v>19.174831287328495</v>
      </c>
      <c r="O22" s="53">
        <f t="shared" si="6"/>
        <v>4.0681620000000001</v>
      </c>
      <c r="P22" s="53">
        <f t="shared" si="6"/>
        <v>2.3788100000000001</v>
      </c>
      <c r="Q22" s="53">
        <f t="shared" si="6"/>
        <v>2.5217959999999997</v>
      </c>
      <c r="R22" s="53">
        <f t="shared" si="6"/>
        <v>3.5390960000000002</v>
      </c>
      <c r="S22" s="53">
        <f t="shared" si="6"/>
        <v>4.7166109900000013</v>
      </c>
      <c r="T22" s="53">
        <f t="shared" si="6"/>
        <v>3.3654530176870745</v>
      </c>
      <c r="U22" s="53">
        <f t="shared" si="6"/>
        <v>2.0183706269802855</v>
      </c>
      <c r="V22" s="53">
        <f t="shared" si="6"/>
        <v>1.3161695836734693</v>
      </c>
      <c r="W22" s="53">
        <f>SUM(O22:V22)</f>
        <v>23.924468218340834</v>
      </c>
    </row>
    <row r="23" spans="2:23">
      <c r="O23" s="53"/>
      <c r="P23" s="53"/>
      <c r="Q23" s="53"/>
      <c r="R23" s="53"/>
      <c r="S23" s="53"/>
      <c r="T23" s="53"/>
      <c r="U23" s="53"/>
      <c r="V23" s="53"/>
      <c r="W23" s="53"/>
    </row>
    <row r="24" spans="2:23" ht="15.6">
      <c r="C24" s="59" t="s">
        <v>222</v>
      </c>
      <c r="D24" s="60"/>
      <c r="E24" s="61">
        <f t="shared" ref="E24:M24" si="7">SUM(E16:E22)</f>
        <v>207.15301238932079</v>
      </c>
      <c r="F24" s="61">
        <f t="shared" si="7"/>
        <v>202.78605461853027</v>
      </c>
      <c r="G24" s="61">
        <f t="shared" si="7"/>
        <v>184.63963446863198</v>
      </c>
      <c r="H24" s="61">
        <f t="shared" si="7"/>
        <v>191.44822778086595</v>
      </c>
      <c r="I24" s="61">
        <f t="shared" si="7"/>
        <v>236.32484169339162</v>
      </c>
      <c r="J24" s="61">
        <f t="shared" si="7"/>
        <v>213.12915207850057</v>
      </c>
      <c r="K24" s="61">
        <f t="shared" si="7"/>
        <v>161.71245638761323</v>
      </c>
      <c r="L24" s="61">
        <f t="shared" si="7"/>
        <v>141.91230100225448</v>
      </c>
      <c r="M24" s="61">
        <f t="shared" si="7"/>
        <v>1539.1056804191089</v>
      </c>
      <c r="N24" s="116" t="s">
        <v>223</v>
      </c>
      <c r="O24" s="61">
        <f t="shared" ref="O24:W24" si="8">SUM(O16:O22)</f>
        <v>241.74756545833742</v>
      </c>
      <c r="P24" s="61">
        <f t="shared" si="8"/>
        <v>241.31540499605097</v>
      </c>
      <c r="Q24" s="61">
        <f t="shared" si="8"/>
        <v>221.93684063129561</v>
      </c>
      <c r="R24" s="61">
        <f t="shared" si="8"/>
        <v>235.09842371490336</v>
      </c>
      <c r="S24" s="61">
        <f t="shared" si="8"/>
        <v>301.07784831738093</v>
      </c>
      <c r="T24" s="61">
        <f t="shared" si="8"/>
        <v>279.83857667907125</v>
      </c>
      <c r="U24" s="61">
        <f t="shared" si="8"/>
        <v>218.15010366689023</v>
      </c>
      <c r="V24" s="61">
        <f t="shared" si="8"/>
        <v>196.97427379112921</v>
      </c>
      <c r="W24" s="61">
        <f t="shared" si="8"/>
        <v>1936.1390372550586</v>
      </c>
    </row>
    <row r="25" spans="2:23">
      <c r="O25" s="53"/>
      <c r="P25" s="53"/>
      <c r="Q25" s="53"/>
      <c r="R25" s="53"/>
      <c r="S25" s="53"/>
      <c r="T25" s="53"/>
      <c r="U25" s="53"/>
      <c r="V25" s="53"/>
      <c r="W25" s="53"/>
    </row>
    <row r="26" spans="2:23">
      <c r="C26" s="38" t="s">
        <v>224</v>
      </c>
      <c r="D26" s="38"/>
      <c r="O26" s="53"/>
      <c r="P26" s="53"/>
      <c r="Q26" s="53"/>
      <c r="R26" s="53"/>
      <c r="S26" s="53"/>
      <c r="T26" s="53"/>
      <c r="U26" s="53"/>
      <c r="V26" s="53"/>
      <c r="W26" s="53"/>
    </row>
    <row r="27" spans="2:23">
      <c r="B27" t="s">
        <v>225</v>
      </c>
      <c r="C27" t="s">
        <v>226</v>
      </c>
      <c r="E27" s="197">
        <v>110.11544616012048</v>
      </c>
      <c r="F27" s="197">
        <v>110.29121834911521</v>
      </c>
      <c r="G27" s="197">
        <v>110.32860169190292</v>
      </c>
      <c r="H27" s="197">
        <v>110.3596633646699</v>
      </c>
      <c r="I27" s="197">
        <v>110.27343835902431</v>
      </c>
      <c r="J27" s="197">
        <v>110.27662588032852</v>
      </c>
      <c r="K27" s="197">
        <v>110.30420904525512</v>
      </c>
      <c r="L27" s="197">
        <v>110.31067350058066</v>
      </c>
      <c r="M27" s="58">
        <f>SUM(E27:L27)</f>
        <v>882.25987635099727</v>
      </c>
      <c r="O27" s="58">
        <f t="shared" ref="O27:V27" si="9">E27*O$1</f>
        <v>128.5047256688606</v>
      </c>
      <c r="P27" s="58">
        <f t="shared" si="9"/>
        <v>131.2465498354471</v>
      </c>
      <c r="Q27" s="58">
        <f t="shared" si="9"/>
        <v>132.6149792336673</v>
      </c>
      <c r="R27" s="58">
        <f t="shared" si="9"/>
        <v>135.52166661181462</v>
      </c>
      <c r="S27" s="58">
        <f t="shared" si="9"/>
        <v>140.48836046939698</v>
      </c>
      <c r="T27" s="58">
        <f t="shared" si="9"/>
        <v>144.79320978087134</v>
      </c>
      <c r="U27" s="58">
        <f t="shared" si="9"/>
        <v>148.80037800204914</v>
      </c>
      <c r="V27" s="58">
        <f t="shared" si="9"/>
        <v>153.11121481880596</v>
      </c>
      <c r="W27" s="58">
        <f>SUM(O27:V27)</f>
        <v>1115.0810844209129</v>
      </c>
    </row>
    <row r="28" spans="2:23">
      <c r="O28" s="53"/>
      <c r="P28" s="53"/>
      <c r="Q28" s="53"/>
      <c r="R28" s="53"/>
      <c r="S28" s="53"/>
      <c r="T28" s="53"/>
      <c r="U28" s="53"/>
      <c r="V28" s="53"/>
      <c r="W28" s="53"/>
    </row>
    <row r="29" spans="2:23">
      <c r="O29" s="53"/>
      <c r="P29" s="53"/>
      <c r="Q29" s="53"/>
      <c r="R29" s="53"/>
      <c r="S29" s="53"/>
      <c r="T29" s="53"/>
      <c r="U29" s="53"/>
      <c r="V29" s="53"/>
      <c r="W29" s="53"/>
    </row>
    <row r="30" spans="2:23">
      <c r="C30" s="38" t="s">
        <v>227</v>
      </c>
    </row>
    <row r="31" spans="2:23">
      <c r="B31" t="s">
        <v>228</v>
      </c>
      <c r="C31" t="s">
        <v>204</v>
      </c>
      <c r="E31" s="223">
        <v>41.699866198630083</v>
      </c>
      <c r="F31" s="223">
        <v>46.51847835898819</v>
      </c>
      <c r="G31" s="223">
        <v>47.63954440588418</v>
      </c>
      <c r="H31" s="223">
        <v>48.004193757227398</v>
      </c>
      <c r="I31" s="223">
        <v>47.08448854248897</v>
      </c>
      <c r="J31" s="223">
        <v>46.922097376968786</v>
      </c>
      <c r="K31" s="223">
        <v>51.220621837579515</v>
      </c>
      <c r="L31" s="223">
        <v>50.605633409933802</v>
      </c>
      <c r="M31" s="53">
        <f>SUM(E31:L31)</f>
        <v>379.69492388770095</v>
      </c>
      <c r="O31" s="53">
        <f t="shared" ref="O31:V32" si="10">E31*O$1</f>
        <v>48.663743853801307</v>
      </c>
      <c r="P31" s="53">
        <f t="shared" si="10"/>
        <v>55.356989247195941</v>
      </c>
      <c r="Q31" s="53">
        <f t="shared" si="10"/>
        <v>57.26273237587278</v>
      </c>
      <c r="R31" s="53">
        <f t="shared" si="10"/>
        <v>58.94914993387524</v>
      </c>
      <c r="S31" s="53">
        <f t="shared" si="10"/>
        <v>59.985638403130949</v>
      </c>
      <c r="T31" s="53">
        <f t="shared" si="10"/>
        <v>61.608713855960012</v>
      </c>
      <c r="U31" s="53">
        <f t="shared" si="10"/>
        <v>69.096618858894757</v>
      </c>
      <c r="V31" s="53">
        <f t="shared" si="10"/>
        <v>70.240619172988119</v>
      </c>
      <c r="W31" s="53">
        <f>SUM(O31:V31)</f>
        <v>481.16420570171908</v>
      </c>
    </row>
    <row r="32" spans="2:23">
      <c r="B32" t="s">
        <v>229</v>
      </c>
      <c r="C32" t="s">
        <v>206</v>
      </c>
      <c r="E32" s="223">
        <v>17.708206798473</v>
      </c>
      <c r="F32" s="223">
        <v>27.278753771610219</v>
      </c>
      <c r="G32" s="223">
        <v>35.75243758954386</v>
      </c>
      <c r="H32" s="223">
        <v>26.81232176716134</v>
      </c>
      <c r="I32" s="223">
        <v>20.750828623113414</v>
      </c>
      <c r="J32" s="223">
        <v>24.906302843121455</v>
      </c>
      <c r="K32" s="223">
        <v>32.094958211103815</v>
      </c>
      <c r="L32" s="223">
        <v>26.804437578569235</v>
      </c>
      <c r="M32" s="53">
        <f>SUM(E32:L32)</f>
        <v>212.10824718269637</v>
      </c>
      <c r="O32" s="53">
        <f t="shared" si="10"/>
        <v>20.665477333817993</v>
      </c>
      <c r="P32" s="53">
        <f t="shared" si="10"/>
        <v>32.46171698821616</v>
      </c>
      <c r="Q32" s="53">
        <f t="shared" si="10"/>
        <v>42.974429982631719</v>
      </c>
      <c r="R32" s="53">
        <f t="shared" si="10"/>
        <v>32.925531130074127</v>
      </c>
      <c r="S32" s="53">
        <f t="shared" si="10"/>
        <v>26.436555665846491</v>
      </c>
      <c r="T32" s="53">
        <f t="shared" si="10"/>
        <v>32.701975633018471</v>
      </c>
      <c r="U32" s="53">
        <f t="shared" si="10"/>
        <v>43.296098626779049</v>
      </c>
      <c r="V32" s="53">
        <f t="shared" si="10"/>
        <v>37.204559359054095</v>
      </c>
      <c r="W32" s="53">
        <f>SUM(O32:V32)</f>
        <v>268.66634471943809</v>
      </c>
    </row>
    <row r="33" spans="2:23">
      <c r="C33" s="38" t="s">
        <v>207</v>
      </c>
      <c r="E33" s="57">
        <f t="shared" ref="E33:M33" si="11">SUM(E31:E32)</f>
        <v>59.408072997103083</v>
      </c>
      <c r="F33" s="57">
        <f t="shared" si="11"/>
        <v>73.797232130598417</v>
      </c>
      <c r="G33" s="57">
        <f t="shared" si="11"/>
        <v>83.39198199542804</v>
      </c>
      <c r="H33" s="57">
        <f t="shared" si="11"/>
        <v>74.816515524388734</v>
      </c>
      <c r="I33" s="57">
        <f t="shared" si="11"/>
        <v>67.83531716560239</v>
      </c>
      <c r="J33" s="57">
        <f t="shared" si="11"/>
        <v>71.828400220090245</v>
      </c>
      <c r="K33" s="57">
        <f t="shared" si="11"/>
        <v>83.31558004868333</v>
      </c>
      <c r="L33" s="57">
        <f t="shared" si="11"/>
        <v>77.410070988503037</v>
      </c>
      <c r="M33" s="57">
        <f t="shared" si="11"/>
        <v>591.8031710703973</v>
      </c>
      <c r="N33" s="116" t="s">
        <v>223</v>
      </c>
      <c r="O33" s="57">
        <f t="shared" ref="O33:W33" si="12">SUM(O31:O32)</f>
        <v>69.329221187619297</v>
      </c>
      <c r="P33" s="57">
        <f t="shared" si="12"/>
        <v>87.818706235412094</v>
      </c>
      <c r="Q33" s="57">
        <f t="shared" si="12"/>
        <v>100.23716235850449</v>
      </c>
      <c r="R33" s="57">
        <f t="shared" si="12"/>
        <v>91.874681063949367</v>
      </c>
      <c r="S33" s="57">
        <f t="shared" si="12"/>
        <v>86.422194068977433</v>
      </c>
      <c r="T33" s="57">
        <f t="shared" si="12"/>
        <v>94.310689488978483</v>
      </c>
      <c r="U33" s="57">
        <f t="shared" si="12"/>
        <v>112.39271748567381</v>
      </c>
      <c r="V33" s="57">
        <f t="shared" si="12"/>
        <v>107.44517853204221</v>
      </c>
      <c r="W33" s="57">
        <f t="shared" si="12"/>
        <v>749.83055042115711</v>
      </c>
    </row>
    <row r="34" spans="2:23">
      <c r="E34" s="53"/>
      <c r="F34" s="53"/>
      <c r="G34" s="53"/>
      <c r="H34" s="53"/>
      <c r="I34" s="53"/>
      <c r="J34" s="53"/>
      <c r="K34" s="53"/>
      <c r="L34" s="53"/>
      <c r="O34" s="53"/>
      <c r="P34" s="53"/>
      <c r="Q34" s="53"/>
      <c r="R34" s="53"/>
      <c r="S34" s="53"/>
      <c r="T34" s="53"/>
      <c r="U34" s="53"/>
      <c r="V34" s="53"/>
      <c r="W34" s="53"/>
    </row>
    <row r="35" spans="2:23">
      <c r="C35" s="38" t="s">
        <v>230</v>
      </c>
      <c r="E35" s="53"/>
      <c r="F35" s="53"/>
      <c r="G35" s="53"/>
      <c r="H35" s="53"/>
      <c r="I35" s="53"/>
      <c r="J35" s="53"/>
      <c r="K35" s="53"/>
      <c r="L35" s="53"/>
      <c r="O35" s="53"/>
      <c r="P35" s="53"/>
      <c r="Q35" s="53"/>
      <c r="R35" s="53"/>
      <c r="S35" s="53"/>
      <c r="T35" s="53"/>
      <c r="U35" s="53"/>
      <c r="V35" s="53"/>
      <c r="W35" s="53"/>
    </row>
    <row r="36" spans="2:23">
      <c r="B36" t="s">
        <v>29</v>
      </c>
      <c r="C36" t="s">
        <v>210</v>
      </c>
      <c r="E36" s="223">
        <v>0</v>
      </c>
      <c r="F36" s="223">
        <v>0</v>
      </c>
      <c r="G36" s="223">
        <v>0</v>
      </c>
      <c r="H36" s="223">
        <v>0</v>
      </c>
      <c r="I36" s="223">
        <v>0</v>
      </c>
      <c r="J36" s="223">
        <v>0</v>
      </c>
      <c r="K36" s="223">
        <v>0</v>
      </c>
      <c r="L36" s="223">
        <v>0</v>
      </c>
      <c r="M36" s="53">
        <f t="shared" ref="M36:M37" si="13">SUM(E36:L36)</f>
        <v>0</v>
      </c>
      <c r="O36" s="53">
        <f t="shared" ref="O36:V37" si="14">E36*O$1</f>
        <v>0</v>
      </c>
      <c r="P36" s="53">
        <f t="shared" si="14"/>
        <v>0</v>
      </c>
      <c r="Q36" s="53">
        <f t="shared" si="14"/>
        <v>0</v>
      </c>
      <c r="R36" s="53">
        <f t="shared" si="14"/>
        <v>0</v>
      </c>
      <c r="S36" s="53">
        <f t="shared" si="14"/>
        <v>0</v>
      </c>
      <c r="T36" s="53">
        <f t="shared" si="14"/>
        <v>0</v>
      </c>
      <c r="U36" s="53">
        <f t="shared" si="14"/>
        <v>0</v>
      </c>
      <c r="V36" s="53">
        <f t="shared" si="14"/>
        <v>0</v>
      </c>
      <c r="W36" s="53">
        <f>SUM(O36:V36)</f>
        <v>0</v>
      </c>
    </row>
    <row r="37" spans="2:23">
      <c r="B37" t="s">
        <v>29</v>
      </c>
      <c r="C37" t="s">
        <v>212</v>
      </c>
      <c r="E37" s="223">
        <v>0</v>
      </c>
      <c r="F37" s="223">
        <v>0</v>
      </c>
      <c r="G37" s="223">
        <v>0</v>
      </c>
      <c r="H37" s="223">
        <v>0</v>
      </c>
      <c r="I37" s="223">
        <v>0</v>
      </c>
      <c r="J37" s="223">
        <v>0</v>
      </c>
      <c r="K37" s="223">
        <v>0</v>
      </c>
      <c r="L37" s="223">
        <v>0</v>
      </c>
      <c r="M37" s="53">
        <f t="shared" si="13"/>
        <v>0</v>
      </c>
      <c r="O37" s="53">
        <f t="shared" si="14"/>
        <v>0</v>
      </c>
      <c r="P37" s="53">
        <f t="shared" si="14"/>
        <v>0</v>
      </c>
      <c r="Q37" s="53">
        <f t="shared" si="14"/>
        <v>0</v>
      </c>
      <c r="R37" s="53">
        <f t="shared" si="14"/>
        <v>0</v>
      </c>
      <c r="S37" s="53">
        <f t="shared" si="14"/>
        <v>0</v>
      </c>
      <c r="T37" s="53">
        <f t="shared" si="14"/>
        <v>0</v>
      </c>
      <c r="U37" s="53">
        <f t="shared" si="14"/>
        <v>0</v>
      </c>
      <c r="V37" s="53">
        <f t="shared" si="14"/>
        <v>0</v>
      </c>
      <c r="W37" s="53">
        <f>SUM(O37:V37)</f>
        <v>0</v>
      </c>
    </row>
    <row r="38" spans="2:23">
      <c r="E38" s="223"/>
      <c r="F38" s="223"/>
      <c r="G38" s="223"/>
      <c r="H38" s="223"/>
      <c r="I38" s="223"/>
      <c r="J38" s="223"/>
      <c r="K38" s="223"/>
      <c r="L38" s="223"/>
      <c r="M38" s="53"/>
      <c r="O38" s="53"/>
      <c r="P38" s="53"/>
      <c r="Q38" s="53"/>
      <c r="R38" s="53"/>
      <c r="S38" s="53"/>
      <c r="T38" s="53"/>
      <c r="U38" s="53"/>
      <c r="V38" s="53"/>
      <c r="W38" s="53"/>
    </row>
    <row r="39" spans="2:23">
      <c r="E39" s="53"/>
      <c r="F39" s="53"/>
      <c r="G39" s="53"/>
      <c r="H39" s="53"/>
      <c r="I39" s="53"/>
      <c r="J39" s="53"/>
      <c r="K39" s="53"/>
      <c r="L39" s="53"/>
      <c r="M39" s="53"/>
      <c r="O39" s="53"/>
      <c r="P39" s="53"/>
      <c r="Q39" s="53"/>
      <c r="R39" s="53"/>
      <c r="S39" s="53"/>
      <c r="T39" s="53"/>
      <c r="U39" s="53"/>
      <c r="V39" s="53"/>
      <c r="W39" s="53"/>
    </row>
    <row r="40" spans="2:23">
      <c r="C40" s="38" t="s">
        <v>231</v>
      </c>
      <c r="O40" s="53"/>
      <c r="P40" s="53"/>
      <c r="Q40" s="53"/>
      <c r="R40" s="53"/>
      <c r="S40" s="53"/>
      <c r="T40" s="53"/>
      <c r="U40" s="53"/>
      <c r="V40" s="53"/>
      <c r="W40" s="53"/>
    </row>
    <row r="41" spans="2:23">
      <c r="C41" t="s">
        <v>215</v>
      </c>
      <c r="E41" s="223">
        <v>2.9582169044297091</v>
      </c>
      <c r="F41" s="223">
        <v>1.2243087640771908</v>
      </c>
      <c r="G41" s="223">
        <v>1.1459862431889645</v>
      </c>
      <c r="H41" s="223">
        <v>1.3744988226661938</v>
      </c>
      <c r="I41" s="223">
        <v>2.087771093729021</v>
      </c>
      <c r="J41" s="223">
        <v>1.8720804721429822</v>
      </c>
      <c r="K41" s="223">
        <v>0.23152878737450566</v>
      </c>
      <c r="L41" s="223">
        <v>0</v>
      </c>
      <c r="M41" s="53">
        <f>SUM(E41:L41)</f>
        <v>10.894391087608568</v>
      </c>
      <c r="O41" s="53">
        <f t="shared" ref="O41:V43" si="15">E41*O$1</f>
        <v>3.4522391274694706</v>
      </c>
      <c r="P41" s="53">
        <f t="shared" si="15"/>
        <v>1.456927429251857</v>
      </c>
      <c r="Q41" s="53">
        <f t="shared" si="15"/>
        <v>1.3774754643131353</v>
      </c>
      <c r="R41" s="53">
        <f t="shared" si="15"/>
        <v>1.6878845542340859</v>
      </c>
      <c r="S41" s="53">
        <f t="shared" si="15"/>
        <v>2.6598203734107728</v>
      </c>
      <c r="T41" s="53">
        <f t="shared" si="15"/>
        <v>2.4580416599237354</v>
      </c>
      <c r="U41" s="53">
        <f t="shared" si="15"/>
        <v>0.31233233416820816</v>
      </c>
      <c r="V41" s="53">
        <f t="shared" si="15"/>
        <v>0</v>
      </c>
      <c r="W41" s="53">
        <f>SUM(O41:V41)</f>
        <v>13.404720942771263</v>
      </c>
    </row>
    <row r="42" spans="2:23">
      <c r="C42" t="s">
        <v>217</v>
      </c>
      <c r="E42" s="223">
        <v>84.412647460068129</v>
      </c>
      <c r="F42" s="223">
        <v>84.426118363020379</v>
      </c>
      <c r="G42" s="223">
        <v>96.668457165131684</v>
      </c>
      <c r="H42" s="223">
        <v>108.73278726876114</v>
      </c>
      <c r="I42" s="223">
        <v>148.82406083636715</v>
      </c>
      <c r="J42" s="223">
        <v>141.71011772354387</v>
      </c>
      <c r="K42" s="223">
        <v>101.87556011564801</v>
      </c>
      <c r="L42" s="223">
        <v>91.157975802007329</v>
      </c>
      <c r="M42" s="53">
        <f>SUM(E42:L42)</f>
        <v>857.80772473454761</v>
      </c>
      <c r="O42" s="53">
        <f t="shared" si="15"/>
        <v>98.50955958589951</v>
      </c>
      <c r="P42" s="53">
        <f t="shared" si="15"/>
        <v>100.46708085199424</v>
      </c>
      <c r="Q42" s="53">
        <f t="shared" si="15"/>
        <v>116.19548551248828</v>
      </c>
      <c r="R42" s="53">
        <f t="shared" si="15"/>
        <v>133.52386276603869</v>
      </c>
      <c r="S42" s="53">
        <f t="shared" si="15"/>
        <v>189.60185350553175</v>
      </c>
      <c r="T42" s="53">
        <f t="shared" si="15"/>
        <v>186.06538457101311</v>
      </c>
      <c r="U42" s="53">
        <f t="shared" si="15"/>
        <v>137.43013059600918</v>
      </c>
      <c r="V42" s="53">
        <f t="shared" si="15"/>
        <v>126.52727041318616</v>
      </c>
      <c r="W42" s="53">
        <f>SUM(O42:V42)</f>
        <v>1088.320627802161</v>
      </c>
    </row>
    <row r="43" spans="2:23">
      <c r="C43" t="s">
        <v>204</v>
      </c>
      <c r="E43" s="223">
        <v>65.770492168050964</v>
      </c>
      <c r="F43" s="223">
        <v>69.562897994563102</v>
      </c>
      <c r="G43" s="223">
        <v>69.821628465241361</v>
      </c>
      <c r="H43" s="223">
        <v>78.837907674222691</v>
      </c>
      <c r="I43" s="223">
        <v>84.566652630838604</v>
      </c>
      <c r="J43" s="223">
        <v>89.350849029837235</v>
      </c>
      <c r="K43" s="223">
        <v>80.728014781566515</v>
      </c>
      <c r="L43" s="223">
        <v>77.490070123441129</v>
      </c>
      <c r="M43" s="53">
        <f>SUM(E43:L43)</f>
        <v>616.12851286776151</v>
      </c>
      <c r="O43" s="53">
        <f t="shared" si="15"/>
        <v>76.754164360115482</v>
      </c>
      <c r="P43" s="53">
        <f t="shared" si="15"/>
        <v>82.779848613530092</v>
      </c>
      <c r="Q43" s="53">
        <f t="shared" si="15"/>
        <v>83.925597415220111</v>
      </c>
      <c r="R43" s="53">
        <f t="shared" si="15"/>
        <v>96.812950623945468</v>
      </c>
      <c r="S43" s="53">
        <f t="shared" si="15"/>
        <v>107.73791545168838</v>
      </c>
      <c r="T43" s="53">
        <f t="shared" si="15"/>
        <v>117.31766477617629</v>
      </c>
      <c r="U43" s="53">
        <f t="shared" si="15"/>
        <v>108.90209194033322</v>
      </c>
      <c r="V43" s="53">
        <f t="shared" si="15"/>
        <v>107.55621733133628</v>
      </c>
      <c r="W43" s="53">
        <f>SUM(O43:V43)</f>
        <v>781.78645051234537</v>
      </c>
    </row>
    <row r="44" spans="2:23">
      <c r="O44" s="53"/>
      <c r="P44" s="53"/>
      <c r="Q44" s="53"/>
      <c r="R44" s="53"/>
      <c r="S44" s="53"/>
      <c r="T44" s="53"/>
      <c r="U44" s="53"/>
      <c r="V44" s="53"/>
      <c r="W44" s="53"/>
    </row>
    <row r="45" spans="2:23">
      <c r="C45" s="38" t="s">
        <v>232</v>
      </c>
      <c r="O45" s="53"/>
      <c r="P45" s="53"/>
      <c r="Q45" s="53"/>
      <c r="R45" s="53"/>
      <c r="S45" s="53"/>
      <c r="T45" s="53"/>
      <c r="U45" s="53"/>
      <c r="V45" s="53"/>
      <c r="W45" s="53"/>
    </row>
    <row r="46" spans="2:23">
      <c r="C46" t="s">
        <v>215</v>
      </c>
      <c r="E46" s="223">
        <v>0</v>
      </c>
      <c r="F46" s="223">
        <v>0</v>
      </c>
      <c r="G46" s="223">
        <v>0</v>
      </c>
      <c r="H46" s="223">
        <v>0</v>
      </c>
      <c r="I46" s="223">
        <v>0</v>
      </c>
      <c r="J46" s="223">
        <v>0</v>
      </c>
      <c r="K46" s="223">
        <v>0</v>
      </c>
      <c r="L46" s="223">
        <v>0</v>
      </c>
      <c r="M46" s="53">
        <f>SUM(E46:L46)</f>
        <v>0</v>
      </c>
      <c r="O46" s="53">
        <f t="shared" ref="O46:V48" si="16">E46*O$1</f>
        <v>0</v>
      </c>
      <c r="P46" s="53">
        <f t="shared" si="16"/>
        <v>0</v>
      </c>
      <c r="Q46" s="53">
        <f t="shared" si="16"/>
        <v>0</v>
      </c>
      <c r="R46" s="53">
        <f t="shared" si="16"/>
        <v>0</v>
      </c>
      <c r="S46" s="53">
        <f t="shared" si="16"/>
        <v>0</v>
      </c>
      <c r="T46" s="53">
        <f t="shared" si="16"/>
        <v>0</v>
      </c>
      <c r="U46" s="53">
        <f t="shared" si="16"/>
        <v>0</v>
      </c>
      <c r="V46" s="53">
        <f t="shared" si="16"/>
        <v>0</v>
      </c>
      <c r="W46" s="53">
        <f>SUM(O46:V46)</f>
        <v>0</v>
      </c>
    </row>
    <row r="47" spans="2:23">
      <c r="C47" t="s">
        <v>217</v>
      </c>
      <c r="E47" s="223">
        <v>30.596778486736145</v>
      </c>
      <c r="F47" s="223">
        <v>23.745902746828513</v>
      </c>
      <c r="G47" s="223">
        <v>14.533066995382825</v>
      </c>
      <c r="H47" s="223">
        <v>28.27216890418439</v>
      </c>
      <c r="I47" s="223">
        <v>60.68126151550959</v>
      </c>
      <c r="J47" s="223">
        <v>52.532114425923453</v>
      </c>
      <c r="K47" s="223">
        <v>-22.618844944848529</v>
      </c>
      <c r="L47" s="223">
        <v>-27.683993902785797</v>
      </c>
      <c r="M47" s="53">
        <f>SUM(E47:L47)</f>
        <v>160.05845422693059</v>
      </c>
      <c r="O47" s="53">
        <f t="shared" si="16"/>
        <v>35.706440494021081</v>
      </c>
      <c r="P47" s="53">
        <f t="shared" si="16"/>
        <v>28.25762426872593</v>
      </c>
      <c r="Q47" s="53">
        <f t="shared" si="16"/>
        <v>17.468746528450154</v>
      </c>
      <c r="R47" s="53">
        <f t="shared" si="16"/>
        <v>34.718223414338432</v>
      </c>
      <c r="S47" s="53">
        <f t="shared" si="16"/>
        <v>77.307927170759214</v>
      </c>
      <c r="T47" s="53">
        <f t="shared" si="16"/>
        <v>68.974666241237486</v>
      </c>
      <c r="U47" s="53">
        <f t="shared" si="16"/>
        <v>-30.512821830600664</v>
      </c>
      <c r="V47" s="53">
        <f t="shared" si="16"/>
        <v>-38.425383537066686</v>
      </c>
      <c r="W47" s="53">
        <f>SUM(O47:V47)</f>
        <v>193.49542274986493</v>
      </c>
    </row>
    <row r="48" spans="2:23">
      <c r="C48" t="s">
        <v>204</v>
      </c>
      <c r="E48" s="223">
        <v>5.1391669682040586</v>
      </c>
      <c r="F48" s="223">
        <v>3.6238570864328419</v>
      </c>
      <c r="G48" s="223">
        <v>5.1058779803852907</v>
      </c>
      <c r="H48" s="223">
        <v>6.4390097736229128</v>
      </c>
      <c r="I48" s="223">
        <v>8.313750805347766</v>
      </c>
      <c r="J48" s="223">
        <v>6.6508282347017227</v>
      </c>
      <c r="K48" s="223">
        <v>1.4961976478727097</v>
      </c>
      <c r="L48" s="223">
        <v>0.94824897959183674</v>
      </c>
      <c r="M48" s="53">
        <f>SUM(E48:L48)</f>
        <v>37.716937476159146</v>
      </c>
      <c r="O48" s="53">
        <f t="shared" si="16"/>
        <v>5.9974078518941365</v>
      </c>
      <c r="P48" s="53">
        <f t="shared" si="16"/>
        <v>4.3123899328550817</v>
      </c>
      <c r="Q48" s="53">
        <f t="shared" si="16"/>
        <v>6.1372653324231194</v>
      </c>
      <c r="R48" s="53">
        <f t="shared" si="16"/>
        <v>7.9071040020089365</v>
      </c>
      <c r="S48" s="53">
        <f t="shared" si="16"/>
        <v>10.591718526013054</v>
      </c>
      <c r="T48" s="53">
        <f t="shared" si="16"/>
        <v>8.7325374721633615</v>
      </c>
      <c r="U48" s="53">
        <f t="shared" si="16"/>
        <v>2.0183706269802855</v>
      </c>
      <c r="V48" s="53">
        <f t="shared" si="16"/>
        <v>1.3161695836734693</v>
      </c>
      <c r="W48" s="53">
        <f>SUM(O48:V48)</f>
        <v>47.012963328011438</v>
      </c>
    </row>
    <row r="49" spans="1:23">
      <c r="O49" s="53"/>
      <c r="P49" s="53"/>
      <c r="Q49" s="53"/>
      <c r="R49" s="53"/>
      <c r="S49" s="53"/>
      <c r="T49" s="53"/>
      <c r="U49" s="53"/>
      <c r="V49" s="53"/>
      <c r="W49" s="53"/>
    </row>
    <row r="50" spans="1:23" ht="15.6">
      <c r="C50" s="59" t="s">
        <v>222</v>
      </c>
      <c r="D50" s="60"/>
      <c r="E50" s="61">
        <f t="shared" ref="E50:M50" si="17">SUM(E41:E48)</f>
        <v>188.87730198748901</v>
      </c>
      <c r="F50" s="61">
        <f t="shared" si="17"/>
        <v>182.58308495492201</v>
      </c>
      <c r="G50" s="61">
        <f t="shared" si="17"/>
        <v>187.27501684933011</v>
      </c>
      <c r="H50" s="61">
        <f t="shared" si="17"/>
        <v>223.65637244345731</v>
      </c>
      <c r="I50" s="61">
        <f t="shared" si="17"/>
        <v>304.47349688179213</v>
      </c>
      <c r="J50" s="61">
        <f t="shared" si="17"/>
        <v>292.11598988614929</v>
      </c>
      <c r="K50" s="61">
        <f t="shared" si="17"/>
        <v>161.71245638761323</v>
      </c>
      <c r="L50" s="61">
        <f t="shared" si="17"/>
        <v>141.91230100225448</v>
      </c>
      <c r="M50" s="61">
        <f t="shared" si="17"/>
        <v>1682.6060203930074</v>
      </c>
      <c r="N50" s="116" t="s">
        <v>223</v>
      </c>
      <c r="O50" s="61">
        <f t="shared" ref="O50:W50" si="18">SUM(O41:O48)</f>
        <v>220.41981141939968</v>
      </c>
      <c r="P50" s="61">
        <f t="shared" si="18"/>
        <v>217.2738710963572</v>
      </c>
      <c r="Q50" s="61">
        <f t="shared" si="18"/>
        <v>225.1045702528948</v>
      </c>
      <c r="R50" s="61">
        <f t="shared" si="18"/>
        <v>274.65002536056562</v>
      </c>
      <c r="S50" s="61">
        <f t="shared" si="18"/>
        <v>387.89923502740317</v>
      </c>
      <c r="T50" s="61">
        <f t="shared" si="18"/>
        <v>383.54829472051404</v>
      </c>
      <c r="U50" s="61">
        <f t="shared" si="18"/>
        <v>218.15010366689023</v>
      </c>
      <c r="V50" s="61">
        <f t="shared" si="18"/>
        <v>196.97427379112921</v>
      </c>
      <c r="W50" s="61">
        <f t="shared" si="18"/>
        <v>2124.0201853351537</v>
      </c>
    </row>
    <row r="51" spans="1:23" ht="15.6">
      <c r="C51" s="59"/>
      <c r="D51" s="60"/>
      <c r="E51" s="61"/>
      <c r="F51" s="61"/>
      <c r="G51" s="61"/>
      <c r="H51" s="61"/>
      <c r="I51" s="61"/>
      <c r="J51" s="61"/>
      <c r="K51" s="61"/>
      <c r="L51" s="61"/>
      <c r="M51" s="61"/>
      <c r="O51" s="61"/>
      <c r="P51" s="61"/>
      <c r="Q51" s="61"/>
      <c r="R51" s="61"/>
      <c r="S51" s="61"/>
      <c r="T51" s="61"/>
      <c r="U51" s="61"/>
      <c r="V51" s="61"/>
      <c r="W51" s="61"/>
    </row>
    <row r="52" spans="1:23" ht="15.6">
      <c r="A52" t="s">
        <v>233</v>
      </c>
      <c r="C52" s="59"/>
      <c r="D52" s="60"/>
      <c r="E52" s="61"/>
      <c r="F52" s="61"/>
      <c r="G52" s="61"/>
      <c r="H52" s="61"/>
      <c r="I52" s="61"/>
      <c r="J52" s="61"/>
      <c r="K52" s="61"/>
      <c r="L52" s="61"/>
      <c r="M52" s="61"/>
      <c r="O52" s="61"/>
      <c r="P52" s="61"/>
      <c r="Q52" s="61"/>
      <c r="R52" s="61"/>
      <c r="S52" s="61"/>
      <c r="T52" s="61"/>
      <c r="U52" s="61"/>
      <c r="V52" s="61"/>
      <c r="W52" s="61"/>
    </row>
    <row r="53" spans="1:23" ht="15.6">
      <c r="C53" s="59" t="s">
        <v>234</v>
      </c>
      <c r="D53" s="60"/>
      <c r="E53" s="61">
        <f>SUM(E16:E18)-(SUM(E16:E18)-SUM(E41:E43))*(1-'NGGT AIP 2019'!$D$14)</f>
        <v>163.52078546393818</v>
      </c>
      <c r="F53" s="61">
        <f>SUM(F16:F18)-(SUM(F16:F18)-SUM(F41:F43))*(1-'NGGT AIP 2019'!$D$14)</f>
        <v>166.68094824446905</v>
      </c>
      <c r="G53" s="61">
        <f>SUM(G16:G18)-(SUM(G16:G18)-SUM(G41:G43))*(1-'NGGT AIP 2019'!$D$14)</f>
        <v>175.90875320080741</v>
      </c>
      <c r="H53" s="61">
        <f>SUM(H16:H18)-(SUM(H16:H18)-SUM(H41:H43))*(1-'NGGT AIP 2019'!$D$14)</f>
        <v>195.74388507251882</v>
      </c>
      <c r="I53" s="61">
        <f>SUM(I16:I18)-(SUM(I16:I18)-SUM(I41:I43))*(1-'NGGT AIP 2019'!$D$14)</f>
        <v>232.42635192438118</v>
      </c>
      <c r="J53" s="61">
        <f>SUM(J16:J18)-(SUM(J16:J18)-SUM(J41:J43))*(1-'NGGT AIP 2019'!$D$14)</f>
        <v>221.61234882331735</v>
      </c>
      <c r="K53" s="61">
        <f>SUM(K16:K18)-(SUM(K16:K18)-SUM(K41:K43))*(1-'NGGT AIP 2019'!$D$14)</f>
        <v>182.83510368458903</v>
      </c>
      <c r="L53" s="61">
        <f>SUM(L16:L18)-(SUM(L16:L18)-SUM(L41:L43))*(1-'NGGT AIP 2019'!$D$14)</f>
        <v>168.64804592544846</v>
      </c>
      <c r="M53" s="61">
        <f>SUM(M16:M18)-(SUM(M16:M18)-SUM(M41:M43))*(1-'NGGT AIP 2019'!$D$14)</f>
        <v>1507.3762223394695</v>
      </c>
      <c r="O53" s="61"/>
      <c r="P53" s="61"/>
      <c r="Q53" s="61"/>
      <c r="R53" s="61"/>
      <c r="S53" s="61"/>
      <c r="T53" s="61"/>
      <c r="U53" s="61"/>
      <c r="V53" s="61"/>
      <c r="W53" s="61"/>
    </row>
    <row r="54" spans="1:23" ht="15.6">
      <c r="C54" s="60" t="s">
        <v>235</v>
      </c>
      <c r="D54" s="60"/>
      <c r="E54" s="471">
        <f>E53*(1-'NGGT AIP 2019'!$D$11)</f>
        <v>58.867482767017741</v>
      </c>
      <c r="F54" s="471">
        <f>F53*(1-'NGGT AIP 2019'!$D$11)</f>
        <v>60.005141368008857</v>
      </c>
      <c r="G54" s="471">
        <f>G53*(1-'NGGT AIP 2019'!$D$11)</f>
        <v>63.327151152290668</v>
      </c>
      <c r="H54" s="471">
        <f>H53*(1-'NGGT AIP 2019'!$D$11)</f>
        <v>70.46779862610677</v>
      </c>
      <c r="I54" s="471">
        <f>I53*(1-'NGGT AIP 2019'!$D$11)</f>
        <v>83.673486692777217</v>
      </c>
      <c r="J54" s="471">
        <f>J53*(1-'NGGT AIP 2019'!$D$11)</f>
        <v>79.780445576394243</v>
      </c>
      <c r="K54" s="471">
        <f>K53*(1-'NGGT AIP 2019'!$D$11)</f>
        <v>65.820637326452044</v>
      </c>
      <c r="L54" s="471">
        <f>L53*(1-'NGGT AIP 2019'!$D$11)</f>
        <v>60.71329653316144</v>
      </c>
      <c r="M54" s="471">
        <f>M53*(1-'NGGT AIP 2019'!$D$11)</f>
        <v>542.65544004220897</v>
      </c>
      <c r="O54" s="61"/>
      <c r="P54" s="61"/>
      <c r="Q54" s="61"/>
      <c r="R54" s="61"/>
      <c r="S54" s="61"/>
      <c r="T54" s="61"/>
      <c r="U54" s="61"/>
      <c r="V54" s="61"/>
      <c r="W54" s="61"/>
    </row>
    <row r="55" spans="1:23" ht="15.6">
      <c r="C55" s="60" t="s">
        <v>165</v>
      </c>
      <c r="D55" s="60"/>
      <c r="E55" s="471">
        <f>E53*('NGGT AIP 2019'!$D$11)</f>
        <v>104.65330269692043</v>
      </c>
      <c r="F55" s="471">
        <f>F53*('NGGT AIP 2019'!$D$11)</f>
        <v>106.6758068764602</v>
      </c>
      <c r="G55" s="471">
        <f>G53*('NGGT AIP 2019'!$D$11)</f>
        <v>112.58160204851674</v>
      </c>
      <c r="H55" s="471">
        <f>H53*('NGGT AIP 2019'!$D$11)</f>
        <v>125.27608644641205</v>
      </c>
      <c r="I55" s="471">
        <f>I53*('NGGT AIP 2019'!$D$11)</f>
        <v>148.75286523160395</v>
      </c>
      <c r="J55" s="471">
        <f>J53*('NGGT AIP 2019'!$D$11)</f>
        <v>141.8319032469231</v>
      </c>
      <c r="K55" s="471">
        <f>K53*('NGGT AIP 2019'!$D$11)</f>
        <v>117.01446635813699</v>
      </c>
      <c r="L55" s="471">
        <f>L53*('NGGT AIP 2019'!$D$11)</f>
        <v>107.93474939228702</v>
      </c>
      <c r="M55" s="471">
        <f>M53*('NGGT AIP 2019'!$D$11)</f>
        <v>964.72078229726048</v>
      </c>
      <c r="O55" s="61"/>
      <c r="P55" s="61"/>
      <c r="Q55" s="61"/>
      <c r="R55" s="61"/>
      <c r="S55" s="61"/>
      <c r="T55" s="61"/>
      <c r="U55" s="61"/>
      <c r="V55" s="61"/>
      <c r="W55" s="61"/>
    </row>
    <row r="56" spans="1:23" ht="15.6">
      <c r="C56" s="59"/>
      <c r="D56" s="60"/>
      <c r="E56" s="61"/>
      <c r="F56" s="61"/>
      <c r="G56" s="61"/>
      <c r="H56" s="61"/>
      <c r="I56" s="61"/>
      <c r="J56" s="61"/>
      <c r="K56" s="61"/>
      <c r="L56" s="61"/>
      <c r="M56" s="61"/>
      <c r="O56" s="61"/>
      <c r="P56" s="61"/>
      <c r="Q56" s="61"/>
      <c r="R56" s="61"/>
      <c r="S56" s="61"/>
      <c r="T56" s="61"/>
      <c r="U56" s="61"/>
      <c r="V56" s="61"/>
      <c r="W56" s="61"/>
    </row>
    <row r="57" spans="1:23" ht="15.6">
      <c r="C57" s="59" t="s">
        <v>236</v>
      </c>
      <c r="D57" s="60"/>
      <c r="E57" s="61">
        <f>SUM(E21:E22)-(SUM(E21:E22)-SUM(E46:E48))*(1-'NGGT AIP 2019'!$D$14)</f>
        <v>33.397829100356802</v>
      </c>
      <c r="F57" s="61">
        <f>SUM(F21:F22)-(SUM(F21:F22)-SUM(F46:F48))*(1-'NGGT AIP 2019'!$D$14)</f>
        <v>24.791443362440582</v>
      </c>
      <c r="G57" s="61">
        <f>SUM(G21:G22)-(SUM(G21:G22)-SUM(G46:G48))*(1-'NGGT AIP 2019'!$D$14)</f>
        <v>10.20669540101553</v>
      </c>
      <c r="H57" s="61">
        <f>SUM(H21:H22)-(SUM(H21:H22)-SUM(H46:H48))*(1-'NGGT AIP 2019'!$D$14)</f>
        <v>13.7409037193983</v>
      </c>
      <c r="I57" s="61">
        <f>SUM(I21:I22)-(SUM(I21:I22)-SUM(I46:I48))*(1-'NGGT AIP 2019'!$D$14)</f>
        <v>42.061736674514727</v>
      </c>
      <c r="J57" s="61">
        <f>SUM(J21:J22)-(SUM(J21:J22)-SUM(J46:J48))*(1-'NGGT AIP 2019'!$D$14)</f>
        <v>35.749432427466495</v>
      </c>
      <c r="K57" s="61">
        <f>SUM(K21:K22)-(SUM(K21:K22)-SUM(K46:K48))*(1-'NGGT AIP 2019'!$D$14)</f>
        <v>-21.122647296975821</v>
      </c>
      <c r="L57" s="61">
        <f>SUM(L21:L22)-(SUM(L21:L22)-SUM(L46:L48))*(1-'NGGT AIP 2019'!$D$14)</f>
        <v>-26.735744923193959</v>
      </c>
      <c r="M57" s="61">
        <f>SUM(M21:M22)-(SUM(M21:M22)-SUM(M46:M48))*(1-'NGGT AIP 2019'!$D$14)</f>
        <v>112.08964846502266</v>
      </c>
      <c r="O57" s="61"/>
      <c r="P57" s="61"/>
      <c r="Q57" s="61"/>
      <c r="R57" s="61"/>
      <c r="S57" s="61"/>
      <c r="T57" s="61"/>
      <c r="U57" s="61"/>
      <c r="V57" s="61"/>
      <c r="W57" s="61"/>
    </row>
    <row r="58" spans="1:23" ht="15.6">
      <c r="C58" s="60" t="s">
        <v>235</v>
      </c>
      <c r="D58" s="60"/>
      <c r="E58" s="471">
        <f>E57*(1-'NGGT AIP 2019'!$D$12)</f>
        <v>3.3397829100356793</v>
      </c>
      <c r="F58" s="471">
        <f>F57*(1-'NGGT AIP 2019'!$D$12)</f>
        <v>2.4791443362440577</v>
      </c>
      <c r="G58" s="471">
        <f>G57*(1-'NGGT AIP 2019'!$D$12)</f>
        <v>1.0206695401015529</v>
      </c>
      <c r="H58" s="471">
        <f>H57*(1-'NGGT AIP 2019'!$D$12)</f>
        <v>1.3740903719398296</v>
      </c>
      <c r="I58" s="471">
        <f>I57*(1-'NGGT AIP 2019'!$D$12)</f>
        <v>4.2061736674514716</v>
      </c>
      <c r="J58" s="471">
        <f>J57*(1-'NGGT AIP 2019'!$D$12)</f>
        <v>3.5749432427466488</v>
      </c>
      <c r="K58" s="471">
        <f>K57*(1-'NGGT AIP 2019'!$D$12)</f>
        <v>-2.1122647296975816</v>
      </c>
      <c r="L58" s="471">
        <f>L57*(1-'NGGT AIP 2019'!$D$12)</f>
        <v>-2.6735744923193954</v>
      </c>
      <c r="M58" s="471">
        <f>M57*(1-'NGGT AIP 2019'!$D$12)</f>
        <v>11.208964846502264</v>
      </c>
      <c r="O58" s="61"/>
      <c r="P58" s="61"/>
      <c r="Q58" s="61"/>
      <c r="R58" s="61"/>
      <c r="S58" s="61"/>
      <c r="T58" s="61"/>
      <c r="U58" s="61"/>
      <c r="V58" s="61"/>
      <c r="W58" s="61"/>
    </row>
    <row r="59" spans="1:23" ht="15.6">
      <c r="C59" s="60" t="s">
        <v>165</v>
      </c>
      <c r="D59" s="60"/>
      <c r="E59" s="471">
        <f>E57*'NGGT AIP 2019'!$D$12</f>
        <v>30.058046190321122</v>
      </c>
      <c r="F59" s="471">
        <f>F57*'NGGT AIP 2019'!$D$12</f>
        <v>22.312299026196523</v>
      </c>
      <c r="G59" s="471">
        <f>G57*'NGGT AIP 2019'!$D$12</f>
        <v>9.1860258609139773</v>
      </c>
      <c r="H59" s="471">
        <f>H57*'NGGT AIP 2019'!$D$12</f>
        <v>12.366813347458471</v>
      </c>
      <c r="I59" s="471">
        <f>I57*'NGGT AIP 2019'!$D$12</f>
        <v>37.855563007063253</v>
      </c>
      <c r="J59" s="471">
        <f>J57*'NGGT AIP 2019'!$D$12</f>
        <v>32.174489184719846</v>
      </c>
      <c r="K59" s="471">
        <f>K57*'NGGT AIP 2019'!$D$12</f>
        <v>-19.010382567278238</v>
      </c>
      <c r="L59" s="471">
        <f>L57*'NGGT AIP 2019'!$D$12</f>
        <v>-24.062170430874563</v>
      </c>
      <c r="M59" s="471">
        <f>M57*'NGGT AIP 2019'!$D$12</f>
        <v>100.88068361852039</v>
      </c>
      <c r="O59" s="61"/>
      <c r="P59" s="61"/>
      <c r="Q59" s="61"/>
      <c r="R59" s="61"/>
      <c r="S59" s="61"/>
      <c r="T59" s="61"/>
      <c r="U59" s="61"/>
      <c r="V59" s="61"/>
      <c r="W59" s="61"/>
    </row>
    <row r="60" spans="1:23" ht="15.6">
      <c r="C60" s="59"/>
      <c r="D60" s="60"/>
      <c r="E60" s="61"/>
      <c r="F60" s="61"/>
      <c r="G60" s="61"/>
      <c r="H60" s="61"/>
      <c r="I60" s="61"/>
      <c r="J60" s="61"/>
      <c r="K60" s="61"/>
      <c r="L60" s="61"/>
      <c r="M60" s="61"/>
      <c r="O60" s="61"/>
      <c r="P60" s="61"/>
      <c r="Q60" s="61"/>
      <c r="R60" s="61"/>
      <c r="S60" s="61"/>
      <c r="T60" s="61"/>
      <c r="U60" s="61"/>
      <c r="V60" s="61"/>
      <c r="W60" s="61"/>
    </row>
    <row r="61" spans="1:23" ht="15.6">
      <c r="C61" s="59"/>
      <c r="D61" s="60"/>
      <c r="E61" s="61"/>
      <c r="F61" s="61"/>
      <c r="G61" s="61"/>
      <c r="H61" s="61"/>
      <c r="I61" s="61"/>
      <c r="J61" s="61"/>
      <c r="K61" s="61"/>
      <c r="L61" s="61"/>
      <c r="M61" s="61"/>
      <c r="O61" s="61"/>
      <c r="P61" s="61"/>
      <c r="Q61" s="61"/>
      <c r="R61" s="61"/>
      <c r="S61" s="61"/>
      <c r="T61" s="61"/>
      <c r="U61" s="61"/>
      <c r="V61" s="61"/>
      <c r="W61" s="61"/>
    </row>
    <row r="62" spans="1:23" ht="15.6">
      <c r="C62" s="59"/>
      <c r="D62" s="60"/>
      <c r="E62" s="61"/>
      <c r="F62" s="61"/>
      <c r="G62" s="61"/>
      <c r="H62" s="61"/>
      <c r="I62" s="61"/>
      <c r="J62" s="61"/>
      <c r="K62" s="61"/>
      <c r="L62" s="61"/>
      <c r="M62" s="61"/>
      <c r="O62" s="61"/>
      <c r="P62" s="61"/>
      <c r="Q62" s="61"/>
      <c r="R62" s="61"/>
      <c r="S62" s="61"/>
      <c r="T62" s="61"/>
      <c r="U62" s="61"/>
      <c r="V62" s="61"/>
      <c r="W62" s="61"/>
    </row>
    <row r="63" spans="1:23" ht="15.6">
      <c r="C63" s="59"/>
      <c r="D63" s="60"/>
      <c r="E63" s="61"/>
      <c r="F63" s="61"/>
      <c r="G63" s="61"/>
      <c r="H63" s="61"/>
      <c r="I63" s="61"/>
      <c r="J63" s="61"/>
      <c r="K63" s="61"/>
      <c r="L63" s="61"/>
      <c r="M63" s="61"/>
      <c r="O63" s="61"/>
      <c r="P63" s="61"/>
      <c r="Q63" s="61"/>
      <c r="R63" s="61"/>
      <c r="S63" s="61"/>
      <c r="T63" s="61"/>
      <c r="U63" s="61"/>
      <c r="V63" s="61"/>
      <c r="W63" s="61"/>
    </row>
    <row r="64" spans="1:23" ht="15.6">
      <c r="C64" s="59"/>
      <c r="D64" s="60"/>
      <c r="E64" s="61"/>
      <c r="F64" s="61"/>
      <c r="G64" s="61"/>
      <c r="H64" s="61"/>
      <c r="I64" s="61"/>
      <c r="J64" s="61"/>
      <c r="K64" s="61"/>
      <c r="L64" s="61"/>
      <c r="M64" s="61"/>
      <c r="O64" s="61"/>
      <c r="P64" s="61"/>
      <c r="Q64" s="61"/>
      <c r="R64" s="61"/>
      <c r="S64" s="61"/>
      <c r="T64" s="61"/>
      <c r="U64" s="61"/>
      <c r="V64" s="61"/>
      <c r="W64" s="61"/>
    </row>
    <row r="65" spans="1:23" ht="15.6">
      <c r="C65" s="59"/>
      <c r="D65" s="60"/>
      <c r="E65" s="61"/>
      <c r="F65" s="61"/>
      <c r="G65" s="61"/>
      <c r="H65" s="61"/>
      <c r="I65" s="61"/>
      <c r="J65" s="61"/>
      <c r="K65" s="61"/>
      <c r="L65" s="61"/>
      <c r="M65" s="61"/>
      <c r="O65" s="61"/>
      <c r="P65" s="61"/>
      <c r="Q65" s="61"/>
      <c r="R65" s="61"/>
      <c r="S65" s="61"/>
      <c r="T65" s="61"/>
      <c r="U65" s="61"/>
      <c r="V65" s="61"/>
      <c r="W65" s="61"/>
    </row>
    <row r="66" spans="1:23" ht="15.6">
      <c r="C66" s="59"/>
      <c r="D66" s="60"/>
      <c r="E66" s="61"/>
      <c r="F66" s="61"/>
      <c r="G66" s="61"/>
      <c r="H66" s="61"/>
      <c r="I66" s="61"/>
      <c r="J66" s="61"/>
      <c r="K66" s="61"/>
      <c r="L66" s="61"/>
      <c r="M66" s="61"/>
      <c r="O66" s="61"/>
      <c r="P66" s="61"/>
      <c r="Q66" s="61"/>
      <c r="R66" s="61"/>
      <c r="S66" s="61"/>
      <c r="T66" s="61"/>
      <c r="U66" s="61"/>
      <c r="V66" s="61"/>
      <c r="W66" s="61"/>
    </row>
    <row r="67" spans="1:23" ht="15.6">
      <c r="C67" s="59"/>
      <c r="D67" s="60"/>
      <c r="E67" s="61"/>
      <c r="F67" s="61"/>
      <c r="G67" s="61"/>
      <c r="H67" s="61"/>
      <c r="I67" s="61"/>
      <c r="J67" s="61"/>
      <c r="K67" s="61"/>
      <c r="L67" s="61"/>
      <c r="M67" s="61"/>
      <c r="O67" s="61"/>
      <c r="P67" s="61"/>
      <c r="Q67" s="61"/>
      <c r="R67" s="61"/>
      <c r="S67" s="61"/>
      <c r="T67" s="61"/>
      <c r="U67" s="61"/>
      <c r="V67" s="61"/>
      <c r="W67" s="61"/>
    </row>
    <row r="68" spans="1:23">
      <c r="O68" s="53"/>
      <c r="P68" s="53"/>
      <c r="Q68" s="53"/>
      <c r="R68" s="53"/>
      <c r="S68" s="53"/>
      <c r="T68" s="53"/>
      <c r="U68" s="53"/>
      <c r="V68" s="53"/>
      <c r="W68" s="53"/>
    </row>
    <row r="69" spans="1:23">
      <c r="E69" s="53"/>
      <c r="F69" s="53"/>
      <c r="G69" s="53"/>
      <c r="H69" s="53"/>
      <c r="I69" s="53"/>
      <c r="J69" s="53"/>
      <c r="K69" s="53"/>
      <c r="L69" s="53"/>
      <c r="M69" s="53"/>
    </row>
    <row r="70" spans="1:23" s="195" customFormat="1">
      <c r="E70" s="196"/>
      <c r="F70" s="196"/>
      <c r="G70" s="196"/>
      <c r="H70" s="196"/>
      <c r="I70" s="196"/>
      <c r="J70" s="196"/>
      <c r="K70" s="196"/>
      <c r="L70" s="196"/>
      <c r="M70" s="196"/>
    </row>
    <row r="71" spans="1:23" ht="13.8" thickBot="1"/>
    <row r="72" spans="1:23" ht="16.8">
      <c r="A72" s="68"/>
      <c r="B72" s="440"/>
      <c r="C72" s="69" t="s">
        <v>237</v>
      </c>
      <c r="D72" s="445"/>
      <c r="E72" s="70">
        <v>41729</v>
      </c>
      <c r="F72" s="71">
        <v>42094</v>
      </c>
      <c r="G72" s="71">
        <v>42460</v>
      </c>
      <c r="H72" s="71">
        <v>42825</v>
      </c>
      <c r="I72" s="71">
        <v>43190</v>
      </c>
      <c r="J72" s="71">
        <v>43555</v>
      </c>
      <c r="K72" s="71">
        <v>43921</v>
      </c>
      <c r="L72" s="72">
        <v>44286</v>
      </c>
      <c r="M72" s="73" t="s">
        <v>238</v>
      </c>
    </row>
    <row r="73" spans="1:23" ht="16.8">
      <c r="A73" s="74"/>
      <c r="B73" s="441"/>
      <c r="C73" s="75" t="s">
        <v>239</v>
      </c>
      <c r="E73" s="76" t="s">
        <v>240</v>
      </c>
      <c r="F73" s="77" t="s">
        <v>240</v>
      </c>
      <c r="G73" s="77" t="s">
        <v>240</v>
      </c>
      <c r="H73" s="77" t="s">
        <v>240</v>
      </c>
      <c r="I73" s="77" t="s">
        <v>240</v>
      </c>
      <c r="J73" s="77" t="s">
        <v>240</v>
      </c>
      <c r="K73" s="77" t="s">
        <v>240</v>
      </c>
      <c r="L73" s="78" t="s">
        <v>240</v>
      </c>
      <c r="M73" s="79" t="s">
        <v>240</v>
      </c>
    </row>
    <row r="74" spans="1:23" ht="16.8">
      <c r="A74" s="80"/>
      <c r="B74" s="442"/>
      <c r="C74" s="81" t="s">
        <v>207</v>
      </c>
      <c r="E74" s="82"/>
      <c r="F74" s="83"/>
      <c r="G74" s="83"/>
      <c r="H74" s="83"/>
      <c r="I74" s="83"/>
      <c r="J74" s="83"/>
      <c r="K74" s="83"/>
      <c r="L74" s="84"/>
      <c r="M74" s="85"/>
    </row>
    <row r="75" spans="1:23" ht="16.8">
      <c r="A75" s="86">
        <v>1</v>
      </c>
      <c r="B75" s="443"/>
      <c r="C75" s="75" t="s">
        <v>241</v>
      </c>
      <c r="E75" s="87">
        <v>135.40290514511022</v>
      </c>
      <c r="F75" s="88">
        <v>129.69626785945837</v>
      </c>
      <c r="G75" s="88">
        <v>122.44539677624959</v>
      </c>
      <c r="H75" s="88">
        <v>138.30728077748014</v>
      </c>
      <c r="I75" s="88">
        <v>187.32372483409489</v>
      </c>
      <c r="J75" s="88">
        <v>174.66063618982008</v>
      </c>
      <c r="K75" s="88">
        <v>98.735424205597113</v>
      </c>
      <c r="L75" s="89">
        <v>84.547171145114234</v>
      </c>
      <c r="M75" s="90">
        <v>1071.1188069329246</v>
      </c>
    </row>
    <row r="76" spans="1:23" ht="16.8">
      <c r="A76" s="86">
        <v>2</v>
      </c>
      <c r="B76" s="443"/>
      <c r="C76" s="75" t="s">
        <v>242</v>
      </c>
      <c r="E76" s="87">
        <v>61.581501976631344</v>
      </c>
      <c r="F76" s="88">
        <v>61.848854438240252</v>
      </c>
      <c r="G76" s="88">
        <v>63.66056444900282</v>
      </c>
      <c r="H76" s="88">
        <v>71.061558693651662</v>
      </c>
      <c r="I76" s="88">
        <v>86.919028606122794</v>
      </c>
      <c r="J76" s="88">
        <v>82.416792444856242</v>
      </c>
      <c r="K76" s="88">
        <v>62.977032182016117</v>
      </c>
      <c r="L76" s="89">
        <v>57.365129857140253</v>
      </c>
      <c r="M76" s="90">
        <v>547.83046264766153</v>
      </c>
    </row>
    <row r="77" spans="1:23" ht="16.8">
      <c r="A77" s="86">
        <v>3</v>
      </c>
      <c r="B77" s="443"/>
      <c r="C77" s="75" t="s">
        <v>243</v>
      </c>
      <c r="E77" s="87">
        <v>196.98440712174158</v>
      </c>
      <c r="F77" s="88">
        <v>191.54512229769864</v>
      </c>
      <c r="G77" s="88">
        <v>186.10596122525243</v>
      </c>
      <c r="H77" s="88">
        <v>209.36883947113182</v>
      </c>
      <c r="I77" s="88">
        <v>274.24275344021765</v>
      </c>
      <c r="J77" s="88">
        <v>257.07742863467632</v>
      </c>
      <c r="K77" s="88">
        <v>161.71245638761323</v>
      </c>
      <c r="L77" s="89">
        <v>141.91230100225448</v>
      </c>
      <c r="M77" s="90">
        <v>1618.9492695805864</v>
      </c>
      <c r="Q77" s="118"/>
    </row>
    <row r="78" spans="1:23" ht="16.8">
      <c r="A78" s="80"/>
      <c r="B78" s="442"/>
      <c r="C78" s="81" t="s">
        <v>244</v>
      </c>
      <c r="E78" s="82"/>
      <c r="F78" s="83"/>
      <c r="G78" s="83"/>
      <c r="H78" s="83"/>
      <c r="I78" s="83"/>
      <c r="J78" s="83"/>
      <c r="K78" s="83"/>
      <c r="L78" s="84"/>
      <c r="M78" s="85"/>
    </row>
    <row r="79" spans="1:23" ht="16.8">
      <c r="A79" s="86">
        <v>4</v>
      </c>
      <c r="B79" s="443"/>
      <c r="C79" s="75" t="s">
        <v>245</v>
      </c>
      <c r="E79" s="87">
        <v>4014.3985484751774</v>
      </c>
      <c r="F79" s="88">
        <v>4276.4049861842705</v>
      </c>
      <c r="G79" s="88">
        <v>4266.9440584723898</v>
      </c>
      <c r="H79" s="88">
        <v>4249.3281809886448</v>
      </c>
      <c r="I79" s="88">
        <v>4258.8864410723863</v>
      </c>
      <c r="J79" s="88">
        <v>4554.6845752923846</v>
      </c>
      <c r="K79" s="88">
        <v>4588.7149674643842</v>
      </c>
      <c r="L79" s="89">
        <v>4548.7457623074679</v>
      </c>
      <c r="M79" s="90">
        <v>0</v>
      </c>
    </row>
    <row r="80" spans="1:23" ht="16.8">
      <c r="A80" s="86">
        <v>5</v>
      </c>
      <c r="B80" s="443"/>
      <c r="C80" s="75" t="s">
        <v>246</v>
      </c>
      <c r="E80" s="87">
        <v>238.90848777994489</v>
      </c>
      <c r="F80" s="88">
        <v>1.5889649604528906</v>
      </c>
      <c r="G80" s="88">
        <v>1.9371656435515117</v>
      </c>
      <c r="H80" s="88">
        <v>14.654700839030934</v>
      </c>
      <c r="I80" s="88">
        <v>260.23741664922477</v>
      </c>
      <c r="J80" s="88">
        <v>13.932209297896886</v>
      </c>
      <c r="K80" s="88">
        <v>18.476860279771643</v>
      </c>
      <c r="L80" s="89">
        <v>0.81062265305823133</v>
      </c>
      <c r="M80" s="90">
        <v>550.54642810293183</v>
      </c>
    </row>
    <row r="81" spans="1:13" ht="16.8">
      <c r="A81" s="86">
        <v>6</v>
      </c>
      <c r="B81" s="443"/>
      <c r="C81" s="75" t="s">
        <v>247</v>
      </c>
      <c r="E81" s="87">
        <v>4253.3070362551225</v>
      </c>
      <c r="F81" s="88">
        <v>4277.9939511447237</v>
      </c>
      <c r="G81" s="88">
        <v>4268.8812241159412</v>
      </c>
      <c r="H81" s="88">
        <v>4263.9828818276756</v>
      </c>
      <c r="I81" s="88">
        <v>4519.1238577216109</v>
      </c>
      <c r="J81" s="88">
        <v>4568.6167845902819</v>
      </c>
      <c r="K81" s="88">
        <v>4607.1918277441555</v>
      </c>
      <c r="L81" s="89">
        <v>4549.556384960526</v>
      </c>
      <c r="M81" s="90">
        <v>0</v>
      </c>
    </row>
    <row r="82" spans="1:13" ht="16.8">
      <c r="A82" s="86">
        <v>7</v>
      </c>
      <c r="B82" s="443"/>
      <c r="C82" s="75" t="s">
        <v>248</v>
      </c>
      <c r="E82" s="87">
        <v>161.87652174937244</v>
      </c>
      <c r="F82" s="88">
        <v>129.68850987935372</v>
      </c>
      <c r="G82" s="88">
        <v>122.43763879614492</v>
      </c>
      <c r="H82" s="88">
        <v>138.29952279737549</v>
      </c>
      <c r="I82" s="88">
        <v>187.31596685399023</v>
      </c>
      <c r="J82" s="88">
        <v>174.65287820971542</v>
      </c>
      <c r="K82" s="88">
        <v>98.727666225492442</v>
      </c>
      <c r="L82" s="89">
        <v>84.539413165009563</v>
      </c>
      <c r="M82" s="90">
        <v>1097.5381176764542</v>
      </c>
    </row>
    <row r="83" spans="1:13" ht="16.8">
      <c r="A83" s="86">
        <v>8</v>
      </c>
      <c r="B83" s="443"/>
      <c r="C83" s="75" t="s">
        <v>249</v>
      </c>
      <c r="E83" s="87">
        <v>-138.77857182022461</v>
      </c>
      <c r="F83" s="88">
        <v>-140.7384025516873</v>
      </c>
      <c r="G83" s="88">
        <v>-141.99068192344066</v>
      </c>
      <c r="H83" s="88">
        <v>-143.39596355266457</v>
      </c>
      <c r="I83" s="88">
        <v>-151.75524928321607</v>
      </c>
      <c r="J83" s="88">
        <v>-154.55469533561347</v>
      </c>
      <c r="K83" s="88">
        <v>-157.17373166217976</v>
      </c>
      <c r="L83" s="89">
        <v>-157.71295799739192</v>
      </c>
      <c r="M83" s="90">
        <v>-1186.1002541264181</v>
      </c>
    </row>
    <row r="84" spans="1:13" ht="16.8">
      <c r="A84" s="86">
        <v>9</v>
      </c>
      <c r="B84" s="443"/>
      <c r="C84" s="75" t="s">
        <v>250</v>
      </c>
      <c r="E84" s="87">
        <v>4276.4049861842705</v>
      </c>
      <c r="F84" s="88">
        <v>4266.9440584723898</v>
      </c>
      <c r="G84" s="88">
        <v>4249.3281809886448</v>
      </c>
      <c r="H84" s="88">
        <v>4258.8864410723863</v>
      </c>
      <c r="I84" s="88">
        <v>4554.6845752923846</v>
      </c>
      <c r="J84" s="88">
        <v>4588.7149674643842</v>
      </c>
      <c r="K84" s="88">
        <v>4548.7457623074679</v>
      </c>
      <c r="L84" s="89">
        <v>4476.3828401281435</v>
      </c>
      <c r="M84" s="90">
        <v>0</v>
      </c>
    </row>
    <row r="85" spans="1:13" ht="16.8">
      <c r="A85" s="80"/>
      <c r="B85" s="442"/>
      <c r="C85" s="81" t="s">
        <v>251</v>
      </c>
      <c r="E85" s="91"/>
      <c r="F85" s="92"/>
      <c r="G85" s="92"/>
      <c r="H85" s="92"/>
      <c r="I85" s="92"/>
      <c r="J85" s="92"/>
      <c r="K85" s="92"/>
      <c r="L85" s="93"/>
      <c r="M85" s="94"/>
    </row>
    <row r="86" spans="1:13" ht="16.8">
      <c r="A86" s="86">
        <v>10</v>
      </c>
      <c r="B86" s="443"/>
      <c r="C86" s="75" t="s">
        <v>252</v>
      </c>
      <c r="E86" s="87">
        <v>66.598521331123962</v>
      </c>
      <c r="F86" s="88">
        <v>67.472820316867796</v>
      </c>
      <c r="G86" s="88">
        <v>69.358391105946623</v>
      </c>
      <c r="H86" s="88">
        <v>93.907421891247139</v>
      </c>
      <c r="I86" s="88">
        <v>109.4614779355966</v>
      </c>
      <c r="J86" s="88">
        <v>74.998413516027682</v>
      </c>
      <c r="K86" s="88">
        <v>65.089296911713689</v>
      </c>
      <c r="L86" s="89">
        <v>60.03870434945965</v>
      </c>
      <c r="M86" s="90">
        <v>606.92504735798309</v>
      </c>
    </row>
    <row r="87" spans="1:13" ht="16.8">
      <c r="A87" s="86">
        <v>11</v>
      </c>
      <c r="B87" s="443"/>
      <c r="C87" s="75" t="s">
        <v>253</v>
      </c>
      <c r="E87" s="87">
        <v>110.11544616012048</v>
      </c>
      <c r="F87" s="88">
        <v>110.29121834911521</v>
      </c>
      <c r="G87" s="88">
        <v>110.32860169190292</v>
      </c>
      <c r="H87" s="88">
        <v>110.3596633646699</v>
      </c>
      <c r="I87" s="88">
        <v>110.27343835902431</v>
      </c>
      <c r="J87" s="88">
        <v>110.27662588032852</v>
      </c>
      <c r="K87" s="88">
        <v>110.30420904525512</v>
      </c>
      <c r="L87" s="89">
        <v>110.31067350058066</v>
      </c>
      <c r="M87" s="90">
        <v>882.25987635099727</v>
      </c>
    </row>
    <row r="88" spans="1:13" ht="16.8">
      <c r="A88" s="86">
        <v>12</v>
      </c>
      <c r="B88" s="443"/>
      <c r="C88" s="75" t="s">
        <v>254</v>
      </c>
      <c r="E88" s="87">
        <v>138.77857182022461</v>
      </c>
      <c r="F88" s="88">
        <v>139.81821804192137</v>
      </c>
      <c r="G88" s="88">
        <v>140.90074865750091</v>
      </c>
      <c r="H88" s="88">
        <v>142.37321147398359</v>
      </c>
      <c r="I88" s="88">
        <v>156.31873392963638</v>
      </c>
      <c r="J88" s="88">
        <v>160.58725672131885</v>
      </c>
      <c r="K88" s="88">
        <v>162.39103157252816</v>
      </c>
      <c r="L88" s="89">
        <v>163.35271085367981</v>
      </c>
      <c r="M88" s="90">
        <v>1204.5204830707937</v>
      </c>
    </row>
    <row r="89" spans="1:13" ht="16.8">
      <c r="A89" s="86">
        <v>13</v>
      </c>
      <c r="B89" s="443"/>
      <c r="C89" s="75" t="s">
        <v>255</v>
      </c>
      <c r="E89" s="87">
        <v>181.79850693518748</v>
      </c>
      <c r="F89" s="88">
        <v>181.09363656977166</v>
      </c>
      <c r="G89" s="88">
        <v>180.46433564893792</v>
      </c>
      <c r="H89" s="88">
        <v>181.33056661729273</v>
      </c>
      <c r="I89" s="88">
        <v>203.18668474337215</v>
      </c>
      <c r="J89" s="88">
        <v>206.54672414051672</v>
      </c>
      <c r="K89" s="88">
        <v>205.9557242601679</v>
      </c>
      <c r="L89" s="89">
        <v>203.86618301493181</v>
      </c>
      <c r="M89" s="90">
        <v>1544.2423619301783</v>
      </c>
    </row>
    <row r="90" spans="1:13" ht="16.8">
      <c r="A90" s="86">
        <v>14</v>
      </c>
      <c r="B90" s="443"/>
      <c r="C90" s="75" t="s">
        <v>256</v>
      </c>
      <c r="E90" s="87">
        <v>0</v>
      </c>
      <c r="F90" s="88">
        <v>0</v>
      </c>
      <c r="G90" s="88">
        <v>0</v>
      </c>
      <c r="H90" s="88">
        <v>0</v>
      </c>
      <c r="I90" s="88">
        <v>0</v>
      </c>
      <c r="J90" s="88">
        <v>0</v>
      </c>
      <c r="K90" s="88">
        <v>0</v>
      </c>
      <c r="L90" s="89">
        <v>0</v>
      </c>
      <c r="M90" s="90">
        <v>0</v>
      </c>
    </row>
    <row r="91" spans="1:13" ht="16.8">
      <c r="A91" s="86">
        <v>15</v>
      </c>
      <c r="B91" s="443"/>
      <c r="C91" s="75" t="s">
        <v>257</v>
      </c>
      <c r="E91" s="87">
        <v>-1.1295718210052885</v>
      </c>
      <c r="F91" s="88">
        <v>-1.1444007312827333</v>
      </c>
      <c r="G91" s="88">
        <v>-1.1763817360750841</v>
      </c>
      <c r="H91" s="88">
        <v>-1.5927557463957547</v>
      </c>
      <c r="I91" s="88">
        <v>-1.8565667598967899</v>
      </c>
      <c r="J91" s="88">
        <v>-1.2720416735170972</v>
      </c>
      <c r="K91" s="88">
        <v>-1.1039739947823479</v>
      </c>
      <c r="L91" s="89">
        <v>-1.018311326547777</v>
      </c>
      <c r="M91" s="90">
        <v>-10.294003789502874</v>
      </c>
    </row>
    <row r="92" spans="1:13" ht="16.8">
      <c r="A92" s="86">
        <v>16</v>
      </c>
      <c r="B92" s="443"/>
      <c r="C92" s="75" t="s">
        <v>258</v>
      </c>
      <c r="E92" s="87">
        <v>29.880398309084342</v>
      </c>
      <c r="F92" s="88">
        <v>30.94598462072333</v>
      </c>
      <c r="G92" s="88">
        <v>31.653815333496517</v>
      </c>
      <c r="H92" s="88">
        <v>32.605738639953522</v>
      </c>
      <c r="I92" s="88">
        <v>52.203683591068042</v>
      </c>
      <c r="J92" s="88">
        <v>53.34966363379381</v>
      </c>
      <c r="K92" s="88">
        <v>54.645780303388818</v>
      </c>
      <c r="L92" s="89">
        <v>55.794227077278627</v>
      </c>
      <c r="M92" s="90">
        <v>341.07929150878692</v>
      </c>
    </row>
    <row r="93" spans="1:13" ht="16.8">
      <c r="A93" s="86">
        <v>17</v>
      </c>
      <c r="B93" s="443"/>
      <c r="C93" s="75" t="s">
        <v>259</v>
      </c>
      <c r="E93" s="87">
        <v>12.644268657591024</v>
      </c>
      <c r="F93" s="88">
        <v>14.449255534190641</v>
      </c>
      <c r="G93" s="88">
        <v>16.435572510903615</v>
      </c>
      <c r="H93" s="88">
        <v>21.586082980434373</v>
      </c>
      <c r="I93" s="88">
        <v>29.031743034658568</v>
      </c>
      <c r="J93" s="88">
        <v>22.383317417943779</v>
      </c>
      <c r="K93" s="88">
        <v>24.442401135955986</v>
      </c>
      <c r="L93" s="89">
        <v>27.993942375584766</v>
      </c>
      <c r="M93" s="90">
        <v>168.96658364726272</v>
      </c>
    </row>
    <row r="94" spans="1:13" ht="16.8">
      <c r="A94" s="80"/>
      <c r="B94" s="442"/>
      <c r="C94" s="81" t="s">
        <v>260</v>
      </c>
      <c r="E94" s="91"/>
      <c r="F94" s="92"/>
      <c r="G94" s="92"/>
      <c r="H94" s="92"/>
      <c r="I94" s="92"/>
      <c r="J94" s="92"/>
      <c r="K94" s="92"/>
      <c r="L94" s="93"/>
      <c r="M94" s="94"/>
    </row>
    <row r="95" spans="1:13" ht="16.8">
      <c r="A95" s="86">
        <v>18</v>
      </c>
      <c r="B95" s="443"/>
      <c r="C95" s="75" t="s">
        <v>252</v>
      </c>
      <c r="E95" s="87">
        <v>61.581501976631344</v>
      </c>
      <c r="F95" s="88">
        <v>61.848854438240252</v>
      </c>
      <c r="G95" s="88">
        <v>63.66056444900282</v>
      </c>
      <c r="H95" s="88">
        <v>71.061558693651662</v>
      </c>
      <c r="I95" s="88">
        <v>86.919028606122794</v>
      </c>
      <c r="J95" s="88">
        <v>82.416792444856242</v>
      </c>
      <c r="K95" s="88">
        <v>62.977032182016117</v>
      </c>
      <c r="L95" s="89">
        <v>57.365129857140253</v>
      </c>
      <c r="M95" s="90">
        <v>547.83046264766153</v>
      </c>
    </row>
    <row r="96" spans="1:13" ht="16.8">
      <c r="A96" s="86">
        <v>19</v>
      </c>
      <c r="B96" s="443"/>
      <c r="C96" s="75" t="s">
        <v>253</v>
      </c>
      <c r="E96" s="87">
        <v>110.11544616012048</v>
      </c>
      <c r="F96" s="88">
        <v>110.29121834911521</v>
      </c>
      <c r="G96" s="88">
        <v>110.32860169190292</v>
      </c>
      <c r="H96" s="88">
        <v>110.3596633646699</v>
      </c>
      <c r="I96" s="88">
        <v>110.27343835902431</v>
      </c>
      <c r="J96" s="88">
        <v>110.27662588032852</v>
      </c>
      <c r="K96" s="88">
        <v>110.30420904525512</v>
      </c>
      <c r="L96" s="89">
        <v>110.31067350058066</v>
      </c>
      <c r="M96" s="90">
        <v>882.25987635099727</v>
      </c>
    </row>
    <row r="97" spans="1:13" ht="16.8">
      <c r="A97" s="86">
        <v>20</v>
      </c>
      <c r="B97" s="443"/>
      <c r="C97" s="75" t="s">
        <v>254</v>
      </c>
      <c r="E97" s="87">
        <v>138.77857182022461</v>
      </c>
      <c r="F97" s="88">
        <v>140.7384025516873</v>
      </c>
      <c r="G97" s="88">
        <v>141.99068192344066</v>
      </c>
      <c r="H97" s="88">
        <v>143.39596355266457</v>
      </c>
      <c r="I97" s="88">
        <v>151.75524928321607</v>
      </c>
      <c r="J97" s="88">
        <v>154.55469533561347</v>
      </c>
      <c r="K97" s="88">
        <v>157.17373166217976</v>
      </c>
      <c r="L97" s="89">
        <v>157.71295799739192</v>
      </c>
      <c r="M97" s="90">
        <v>1186.1002541264181</v>
      </c>
    </row>
    <row r="98" spans="1:13" ht="16.8">
      <c r="A98" s="86">
        <v>21</v>
      </c>
      <c r="B98" s="443"/>
      <c r="C98" s="75" t="s">
        <v>255</v>
      </c>
      <c r="E98" s="87">
        <v>182.66634561954751</v>
      </c>
      <c r="F98" s="88">
        <v>177.88344939231771</v>
      </c>
      <c r="G98" s="88">
        <v>172.98361868389711</v>
      </c>
      <c r="H98" s="88">
        <v>168.71884687351289</v>
      </c>
      <c r="I98" s="88">
        <v>175.24359076952567</v>
      </c>
      <c r="J98" s="88">
        <v>168.31415255177211</v>
      </c>
      <c r="K98" s="88">
        <v>159.19675910123959</v>
      </c>
      <c r="L98" s="89">
        <v>143.5615873919923</v>
      </c>
      <c r="M98" s="90">
        <v>1348.568350383805</v>
      </c>
    </row>
    <row r="99" spans="1:13" ht="16.8">
      <c r="A99" s="86">
        <v>22</v>
      </c>
      <c r="B99" s="443"/>
      <c r="C99" s="75" t="s">
        <v>256</v>
      </c>
      <c r="E99" s="87">
        <v>0</v>
      </c>
      <c r="F99" s="88">
        <v>0</v>
      </c>
      <c r="G99" s="88">
        <v>0</v>
      </c>
      <c r="H99" s="88">
        <v>0</v>
      </c>
      <c r="I99" s="88">
        <v>0</v>
      </c>
      <c r="J99" s="88">
        <v>0</v>
      </c>
      <c r="K99" s="88">
        <v>0</v>
      </c>
      <c r="L99" s="89">
        <v>0</v>
      </c>
      <c r="M99" s="90">
        <v>0</v>
      </c>
    </row>
    <row r="100" spans="1:13" ht="16.8">
      <c r="A100" s="86">
        <v>23</v>
      </c>
      <c r="B100" s="443"/>
      <c r="C100" s="75" t="s">
        <v>257</v>
      </c>
      <c r="E100" s="87">
        <v>-1.1295718210052881</v>
      </c>
      <c r="F100" s="88">
        <v>-1.1444007312827327</v>
      </c>
      <c r="G100" s="88">
        <v>-1.1763817360750837</v>
      </c>
      <c r="H100" s="88">
        <v>-1.5927557463957538</v>
      </c>
      <c r="I100" s="88">
        <v>-1.8565667598967892</v>
      </c>
      <c r="J100" s="88">
        <v>-1.2720416735170967</v>
      </c>
      <c r="K100" s="88">
        <v>-1.1039739947823475</v>
      </c>
      <c r="L100" s="89">
        <v>-1.0183113265477766</v>
      </c>
      <c r="M100" s="90">
        <v>-10.294003789502867</v>
      </c>
    </row>
    <row r="101" spans="1:13" ht="16.8">
      <c r="A101" s="86">
        <v>24</v>
      </c>
      <c r="B101" s="443"/>
      <c r="C101" s="75" t="s">
        <v>258</v>
      </c>
      <c r="E101" s="87">
        <v>30.704953974592989</v>
      </c>
      <c r="F101" s="88">
        <v>31.777995721683602</v>
      </c>
      <c r="G101" s="88">
        <v>55.434680839706168</v>
      </c>
      <c r="H101" s="88">
        <v>56.338289393358622</v>
      </c>
      <c r="I101" s="88">
        <v>75.85655785601169</v>
      </c>
      <c r="J101" s="88">
        <v>52.043984174041327</v>
      </c>
      <c r="K101" s="88">
        <v>53.030428056392132</v>
      </c>
      <c r="L101" s="89">
        <v>53.963347554685761</v>
      </c>
      <c r="M101" s="90">
        <v>409.15023757047226</v>
      </c>
    </row>
    <row r="102" spans="1:13" ht="16.8">
      <c r="A102" s="86">
        <v>25</v>
      </c>
      <c r="B102" s="443"/>
      <c r="C102" s="75" t="s">
        <v>259</v>
      </c>
      <c r="E102" s="87">
        <v>8.7831945558188433</v>
      </c>
      <c r="F102" s="88">
        <v>10.91043461366379</v>
      </c>
      <c r="G102" s="88">
        <v>13.964540721505402</v>
      </c>
      <c r="H102" s="88">
        <v>15.07612609600179</v>
      </c>
      <c r="I102" s="88">
        <v>22.924107928921607</v>
      </c>
      <c r="J102" s="88">
        <v>20.864315895780027</v>
      </c>
      <c r="K102" s="88">
        <v>23.83755563863944</v>
      </c>
      <c r="L102" s="89">
        <v>25.499977998546434</v>
      </c>
      <c r="M102" s="90">
        <v>141.86025344887733</v>
      </c>
    </row>
    <row r="103" spans="1:13" ht="16.8">
      <c r="A103" s="80"/>
      <c r="B103" s="442"/>
      <c r="C103" s="81" t="s">
        <v>261</v>
      </c>
      <c r="E103" s="91"/>
      <c r="F103" s="92"/>
      <c r="G103" s="92"/>
      <c r="H103" s="92"/>
      <c r="I103" s="92"/>
      <c r="J103" s="92"/>
      <c r="K103" s="92"/>
      <c r="L103" s="93"/>
      <c r="M103" s="94"/>
    </row>
    <row r="104" spans="1:13" ht="16.8">
      <c r="A104" s="86">
        <v>26</v>
      </c>
      <c r="B104" s="443"/>
      <c r="C104" s="75" t="s">
        <v>262</v>
      </c>
      <c r="E104" s="87">
        <v>538.68614139232659</v>
      </c>
      <c r="F104" s="88">
        <v>542.92673270130729</v>
      </c>
      <c r="G104" s="88">
        <v>547.96508321261342</v>
      </c>
      <c r="H104" s="88">
        <v>580.56992922118559</v>
      </c>
      <c r="I104" s="88">
        <v>658.61919483345935</v>
      </c>
      <c r="J104" s="88">
        <v>626.8699596364122</v>
      </c>
      <c r="K104" s="88">
        <v>621.72446923422729</v>
      </c>
      <c r="L104" s="89">
        <v>620.33812984496751</v>
      </c>
      <c r="M104" s="90">
        <v>4737.6996400764992</v>
      </c>
    </row>
    <row r="105" spans="1:13" ht="16.8">
      <c r="A105" s="86">
        <v>27</v>
      </c>
      <c r="B105" s="443"/>
      <c r="C105" s="75" t="s">
        <v>263</v>
      </c>
      <c r="E105" s="87">
        <v>0</v>
      </c>
      <c r="F105" s="88">
        <v>7.660590030135495</v>
      </c>
      <c r="G105" s="88">
        <v>9.903155913025671</v>
      </c>
      <c r="H105" s="88">
        <v>10.462384566159812</v>
      </c>
      <c r="I105" s="88">
        <v>5.9179485259908233</v>
      </c>
      <c r="J105" s="88">
        <v>-100.20929972541376</v>
      </c>
      <c r="K105" s="88">
        <v>-111.6481665929054</v>
      </c>
      <c r="L105" s="89">
        <v>-64.577865730699045</v>
      </c>
      <c r="M105" s="90">
        <v>-242.4912530137064</v>
      </c>
    </row>
    <row r="106" spans="1:13" ht="16.8">
      <c r="A106" s="86">
        <v>28</v>
      </c>
      <c r="B106" s="443"/>
      <c r="C106" s="75" t="s">
        <v>264</v>
      </c>
      <c r="E106" s="96">
        <v>538.68614139232659</v>
      </c>
      <c r="F106" s="88">
        <v>550.58732273144278</v>
      </c>
      <c r="G106" s="88">
        <v>557.86823912563909</v>
      </c>
      <c r="H106" s="88">
        <v>591.0323137873454</v>
      </c>
      <c r="I106" s="88">
        <v>664.53714335945017</v>
      </c>
      <c r="J106" s="88">
        <v>526.66065991099845</v>
      </c>
      <c r="K106" s="88">
        <v>510.07630264132189</v>
      </c>
      <c r="L106" s="89">
        <v>555.76026411426847</v>
      </c>
      <c r="M106" s="90">
        <v>4495.2083870627921</v>
      </c>
    </row>
    <row r="107" spans="1:13" ht="16.8">
      <c r="A107" s="86">
        <v>29</v>
      </c>
      <c r="B107" s="443"/>
      <c r="C107" s="75" t="s">
        <v>168</v>
      </c>
      <c r="E107" s="96">
        <v>0</v>
      </c>
      <c r="F107" s="88">
        <v>0</v>
      </c>
      <c r="G107" s="88">
        <v>0</v>
      </c>
      <c r="H107" s="88">
        <v>0</v>
      </c>
      <c r="I107" s="88">
        <v>0</v>
      </c>
      <c r="J107" s="88">
        <v>0</v>
      </c>
      <c r="K107" s="88">
        <v>0</v>
      </c>
      <c r="L107" s="89">
        <v>0</v>
      </c>
      <c r="M107" s="90">
        <v>0</v>
      </c>
    </row>
    <row r="108" spans="1:13" ht="16.8">
      <c r="A108" s="86">
        <v>30</v>
      </c>
      <c r="B108" s="443"/>
      <c r="C108" s="75" t="s">
        <v>265</v>
      </c>
      <c r="E108" s="96">
        <v>0</v>
      </c>
      <c r="F108" s="88">
        <v>0</v>
      </c>
      <c r="G108" s="88">
        <v>0</v>
      </c>
      <c r="H108" s="88">
        <v>0</v>
      </c>
      <c r="I108" s="88">
        <v>0</v>
      </c>
      <c r="J108" s="88">
        <v>0</v>
      </c>
      <c r="K108" s="88">
        <v>0</v>
      </c>
      <c r="L108" s="89">
        <v>0</v>
      </c>
      <c r="M108" s="90">
        <v>0</v>
      </c>
    </row>
    <row r="109" spans="1:13" ht="16.8">
      <c r="A109" s="86">
        <v>31</v>
      </c>
      <c r="B109" s="443"/>
      <c r="C109" s="75" t="s">
        <v>266</v>
      </c>
      <c r="E109" s="96">
        <v>3.5</v>
      </c>
      <c r="F109" s="88">
        <v>2.9</v>
      </c>
      <c r="G109" s="88">
        <v>3</v>
      </c>
      <c r="H109" s="88">
        <v>3.1</v>
      </c>
      <c r="I109" s="88">
        <v>3</v>
      </c>
      <c r="J109" s="88">
        <v>3</v>
      </c>
      <c r="K109" s="88">
        <v>3</v>
      </c>
      <c r="L109" s="89">
        <v>3</v>
      </c>
      <c r="M109" s="90">
        <v>24.5</v>
      </c>
    </row>
    <row r="110" spans="1:13" ht="16.8">
      <c r="A110" s="86">
        <v>32</v>
      </c>
      <c r="B110" s="443"/>
      <c r="C110" s="75" t="s">
        <v>267</v>
      </c>
      <c r="E110" s="96">
        <v>542.18614139232659</v>
      </c>
      <c r="F110" s="88">
        <v>553.48732273144276</v>
      </c>
      <c r="G110" s="88">
        <v>560.86823912563909</v>
      </c>
      <c r="H110" s="88">
        <v>594.13231378734542</v>
      </c>
      <c r="I110" s="88">
        <v>667.53714335945017</v>
      </c>
      <c r="J110" s="88">
        <v>529.66065991099845</v>
      </c>
      <c r="K110" s="88">
        <v>513.07630264132194</v>
      </c>
      <c r="L110" s="89">
        <v>558.76026411426847</v>
      </c>
      <c r="M110" s="90">
        <v>4519.7083870627921</v>
      </c>
    </row>
    <row r="111" spans="1:13" ht="16.8">
      <c r="A111" s="80"/>
      <c r="B111" s="442"/>
      <c r="C111" s="81" t="s">
        <v>268</v>
      </c>
      <c r="E111" s="91">
        <v>0</v>
      </c>
      <c r="F111" s="92">
        <v>0</v>
      </c>
      <c r="G111" s="92">
        <v>0</v>
      </c>
      <c r="H111" s="92">
        <v>0</v>
      </c>
      <c r="I111" s="92">
        <v>0</v>
      </c>
      <c r="J111" s="97">
        <v>0</v>
      </c>
      <c r="K111" s="92">
        <v>0</v>
      </c>
      <c r="L111" s="93">
        <v>0</v>
      </c>
      <c r="M111" s="94">
        <v>0</v>
      </c>
    </row>
    <row r="112" spans="1:13" ht="16.8">
      <c r="A112" s="86">
        <v>33</v>
      </c>
      <c r="B112" s="443"/>
      <c r="C112" s="75" t="s">
        <v>268</v>
      </c>
      <c r="E112" s="87">
        <v>531.50044228593049</v>
      </c>
      <c r="F112" s="88">
        <v>532.30595433542521</v>
      </c>
      <c r="G112" s="88">
        <v>557.18630657337997</v>
      </c>
      <c r="H112" s="88">
        <v>563.35769222746364</v>
      </c>
      <c r="I112" s="88">
        <v>621.11540604292543</v>
      </c>
      <c r="J112" s="88">
        <v>587.19852460887455</v>
      </c>
      <c r="K112" s="88">
        <v>565.41574169093985</v>
      </c>
      <c r="L112" s="89">
        <v>547.39536297378959</v>
      </c>
      <c r="M112" s="90">
        <v>4505.4754307387284</v>
      </c>
    </row>
    <row r="113" spans="1:13" ht="16.8">
      <c r="A113" s="86">
        <v>34</v>
      </c>
      <c r="B113" s="443"/>
      <c r="C113" s="75" t="s">
        <v>269</v>
      </c>
      <c r="E113" s="87">
        <v>531.50044228593049</v>
      </c>
      <c r="F113" s="88">
        <v>532.30595433542521</v>
      </c>
      <c r="G113" s="88">
        <v>557.18630657337997</v>
      </c>
      <c r="H113" s="88">
        <v>563.35769222746364</v>
      </c>
      <c r="I113" s="88">
        <v>621.11540604292543</v>
      </c>
      <c r="J113" s="88">
        <v>580.85554858909438</v>
      </c>
      <c r="K113" s="88">
        <v>563.91707999922835</v>
      </c>
      <c r="L113" s="89">
        <v>561.59049750524412</v>
      </c>
      <c r="M113" s="90">
        <v>4511.8289275586922</v>
      </c>
    </row>
    <row r="114" spans="1:13" ht="16.8">
      <c r="A114" s="80"/>
      <c r="B114" s="442"/>
      <c r="C114" s="81" t="s">
        <v>270</v>
      </c>
      <c r="E114" s="91">
        <v>0</v>
      </c>
      <c r="F114" s="92">
        <v>0</v>
      </c>
      <c r="G114" s="92">
        <v>0</v>
      </c>
      <c r="H114" s="92">
        <v>0</v>
      </c>
      <c r="I114" s="92">
        <v>0</v>
      </c>
      <c r="J114" s="97">
        <v>0</v>
      </c>
      <c r="K114" s="92">
        <v>0</v>
      </c>
      <c r="L114" s="93">
        <v>0</v>
      </c>
      <c r="M114" s="94">
        <v>0</v>
      </c>
    </row>
    <row r="115" spans="1:13" ht="16.8">
      <c r="A115" s="86">
        <v>35</v>
      </c>
      <c r="B115" s="443"/>
      <c r="C115" s="98">
        <v>41729</v>
      </c>
      <c r="E115" s="96">
        <v>538.68614139232659</v>
      </c>
      <c r="F115" s="88">
        <v>542.92673270130729</v>
      </c>
      <c r="G115" s="88">
        <v>547.96508321261342</v>
      </c>
      <c r="H115" s="88">
        <v>580.56992922118559</v>
      </c>
      <c r="I115" s="88">
        <v>658.61919483345935</v>
      </c>
      <c r="J115" s="88">
        <v>626.8699596364122</v>
      </c>
      <c r="K115" s="88">
        <v>621.72446923422729</v>
      </c>
      <c r="L115" s="89">
        <v>620.33812984496751</v>
      </c>
      <c r="M115" s="90">
        <v>4737.6996400764992</v>
      </c>
    </row>
    <row r="116" spans="1:13" ht="16.8">
      <c r="A116" s="86">
        <v>36</v>
      </c>
      <c r="B116" s="443"/>
      <c r="C116" s="98">
        <v>42094</v>
      </c>
      <c r="E116" s="96">
        <v>542.83406992244852</v>
      </c>
      <c r="F116" s="88">
        <v>546.25792232812796</v>
      </c>
      <c r="G116" s="88">
        <v>551.32081925355271</v>
      </c>
      <c r="H116" s="88">
        <v>583.93183212884287</v>
      </c>
      <c r="I116" s="88">
        <v>661.40742227557109</v>
      </c>
      <c r="J116" s="88">
        <v>629.60070703274187</v>
      </c>
      <c r="K116" s="88">
        <v>624.49362045500914</v>
      </c>
      <c r="L116" s="89">
        <v>623.18302697186687</v>
      </c>
      <c r="M116" s="90">
        <v>4763.0294203681606</v>
      </c>
    </row>
    <row r="117" spans="1:13" ht="16.8">
      <c r="A117" s="86">
        <v>37</v>
      </c>
      <c r="B117" s="443"/>
      <c r="C117" s="98">
        <v>42460</v>
      </c>
      <c r="E117" s="96">
        <v>533.21780050947348</v>
      </c>
      <c r="F117" s="88">
        <v>545.59934143510225</v>
      </c>
      <c r="G117" s="88">
        <v>569.01836260740231</v>
      </c>
      <c r="H117" s="88">
        <v>601.54260576120225</v>
      </c>
      <c r="I117" s="88">
        <v>678.42432194190053</v>
      </c>
      <c r="J117" s="88">
        <v>646.41394359043636</v>
      </c>
      <c r="K117" s="88">
        <v>641.15737199261594</v>
      </c>
      <c r="L117" s="89">
        <v>639.70344022835093</v>
      </c>
      <c r="M117" s="90">
        <v>4855.0771880664834</v>
      </c>
    </row>
    <row r="118" spans="1:13" ht="16.8">
      <c r="A118" s="86">
        <v>38</v>
      </c>
      <c r="B118" s="443"/>
      <c r="C118" s="98">
        <v>42825</v>
      </c>
      <c r="E118" s="96">
        <v>534.38954985320231</v>
      </c>
      <c r="F118" s="88">
        <v>537.0283375200413</v>
      </c>
      <c r="G118" s="88">
        <v>569.78290301742379</v>
      </c>
      <c r="H118" s="88">
        <v>598.21379572758349</v>
      </c>
      <c r="I118" s="88">
        <v>677.06754779224821</v>
      </c>
      <c r="J118" s="88">
        <v>646.08535887106859</v>
      </c>
      <c r="K118" s="88">
        <v>640.65821830959851</v>
      </c>
      <c r="L118" s="89">
        <v>638.53235279274963</v>
      </c>
      <c r="M118" s="90">
        <v>4841.7580638839163</v>
      </c>
    </row>
    <row r="119" spans="1:13" ht="16.8">
      <c r="A119" s="86">
        <v>39</v>
      </c>
      <c r="B119" s="443"/>
      <c r="C119" s="98">
        <v>43190</v>
      </c>
      <c r="E119" s="96">
        <v>534.52623699283572</v>
      </c>
      <c r="F119" s="88">
        <v>537.34995175431573</v>
      </c>
      <c r="G119" s="88">
        <v>562.82798303640618</v>
      </c>
      <c r="H119" s="88">
        <v>598.41476544245256</v>
      </c>
      <c r="I119" s="88">
        <v>671.33919320041684</v>
      </c>
      <c r="J119" s="88">
        <v>641.24263371374821</v>
      </c>
      <c r="K119" s="88">
        <v>635.73505589999684</v>
      </c>
      <c r="L119" s="89">
        <v>633.56047708964866</v>
      </c>
      <c r="M119" s="90">
        <v>4814.996297129821</v>
      </c>
    </row>
    <row r="120" spans="1:13" ht="16.8">
      <c r="A120" s="86">
        <v>40</v>
      </c>
      <c r="B120" s="443"/>
      <c r="C120" s="98">
        <v>43555</v>
      </c>
      <c r="E120" s="96">
        <v>532.27297258717056</v>
      </c>
      <c r="F120" s="88">
        <v>535.37318766088151</v>
      </c>
      <c r="G120" s="88">
        <v>560.63199301036127</v>
      </c>
      <c r="H120" s="88">
        <v>567.46061713204779</v>
      </c>
      <c r="I120" s="88">
        <v>635.37758730007874</v>
      </c>
      <c r="J120" s="88">
        <v>605.06504080098887</v>
      </c>
      <c r="K120" s="88">
        <v>601.02123357044024</v>
      </c>
      <c r="L120" s="89">
        <v>598.74304882953993</v>
      </c>
      <c r="M120" s="90">
        <v>4635.9456808915093</v>
      </c>
    </row>
    <row r="121" spans="1:13" ht="16.8">
      <c r="A121" s="86">
        <v>41</v>
      </c>
      <c r="B121" s="443"/>
      <c r="C121" s="98">
        <v>43921</v>
      </c>
      <c r="E121" s="96">
        <v>531.50044228593049</v>
      </c>
      <c r="F121" s="88">
        <v>532.30595433542521</v>
      </c>
      <c r="G121" s="88">
        <v>557.18630657337997</v>
      </c>
      <c r="H121" s="88">
        <v>563.35769222746364</v>
      </c>
      <c r="I121" s="88">
        <v>621.11540604292543</v>
      </c>
      <c r="J121" s="88">
        <v>580.85554858909438</v>
      </c>
      <c r="K121" s="88">
        <v>563.91707999922835</v>
      </c>
      <c r="L121" s="89">
        <v>561.59049750524412</v>
      </c>
      <c r="M121" s="90">
        <v>4511.8289275586922</v>
      </c>
    </row>
    <row r="122" spans="1:13" ht="16.8">
      <c r="A122" s="86">
        <v>42</v>
      </c>
      <c r="B122" s="443"/>
      <c r="C122" s="98">
        <v>44286</v>
      </c>
      <c r="E122" s="96">
        <v>531.50044228593049</v>
      </c>
      <c r="F122" s="88">
        <v>532.30595433542521</v>
      </c>
      <c r="G122" s="88">
        <v>557.18630657337997</v>
      </c>
      <c r="H122" s="88">
        <v>563.35769222746364</v>
      </c>
      <c r="I122" s="88">
        <v>621.11540604292543</v>
      </c>
      <c r="J122" s="88">
        <v>587.19852460887455</v>
      </c>
      <c r="K122" s="88">
        <v>565.41574169093985</v>
      </c>
      <c r="L122" s="89">
        <v>547.39536297378959</v>
      </c>
      <c r="M122" s="90">
        <v>4505.4754307387284</v>
      </c>
    </row>
    <row r="123" spans="1:13" ht="16.8">
      <c r="A123" s="80"/>
      <c r="B123" s="442"/>
      <c r="C123" s="81" t="s">
        <v>271</v>
      </c>
      <c r="E123" s="91">
        <v>0</v>
      </c>
      <c r="F123" s="92">
        <v>0</v>
      </c>
      <c r="G123" s="92">
        <v>0</v>
      </c>
      <c r="H123" s="92">
        <v>0</v>
      </c>
      <c r="I123" s="92">
        <v>0</v>
      </c>
      <c r="J123" s="97">
        <v>0</v>
      </c>
      <c r="K123" s="92">
        <v>0</v>
      </c>
      <c r="L123" s="93">
        <v>0</v>
      </c>
      <c r="M123" s="94">
        <v>0</v>
      </c>
    </row>
    <row r="124" spans="1:13" ht="16.8">
      <c r="A124" s="86">
        <v>43</v>
      </c>
      <c r="B124" s="443"/>
      <c r="C124" s="98">
        <v>41729</v>
      </c>
      <c r="E124" s="96">
        <v>0</v>
      </c>
      <c r="F124" s="88">
        <v>0</v>
      </c>
      <c r="G124" s="88">
        <v>0</v>
      </c>
      <c r="H124" s="88">
        <v>0</v>
      </c>
      <c r="I124" s="88">
        <v>0</v>
      </c>
      <c r="J124" s="88">
        <v>0</v>
      </c>
      <c r="K124" s="88">
        <v>0</v>
      </c>
      <c r="L124" s="89">
        <v>0</v>
      </c>
      <c r="M124" s="90">
        <v>0</v>
      </c>
    </row>
    <row r="125" spans="1:13" ht="16.8">
      <c r="A125" s="86">
        <v>44</v>
      </c>
      <c r="B125" s="443"/>
      <c r="C125" s="98">
        <v>42094</v>
      </c>
      <c r="E125" s="96">
        <v>0</v>
      </c>
      <c r="F125" s="88">
        <v>7.660590030135495</v>
      </c>
      <c r="G125" s="88">
        <v>0</v>
      </c>
      <c r="H125" s="88">
        <v>0</v>
      </c>
      <c r="I125" s="88">
        <v>0</v>
      </c>
      <c r="J125" s="88">
        <v>0</v>
      </c>
      <c r="K125" s="88">
        <v>0</v>
      </c>
      <c r="L125" s="89">
        <v>0</v>
      </c>
      <c r="M125" s="90">
        <v>7.660590030135495</v>
      </c>
    </row>
    <row r="126" spans="1:13" ht="16.8">
      <c r="A126" s="86">
        <v>45</v>
      </c>
      <c r="B126" s="443"/>
      <c r="C126" s="98">
        <v>42460</v>
      </c>
      <c r="E126" s="96">
        <v>0</v>
      </c>
      <c r="F126" s="88">
        <v>7.660590030135495</v>
      </c>
      <c r="G126" s="88">
        <v>9.903155913025671</v>
      </c>
      <c r="H126" s="88">
        <v>0</v>
      </c>
      <c r="I126" s="88">
        <v>0</v>
      </c>
      <c r="J126" s="88">
        <v>0</v>
      </c>
      <c r="K126" s="88">
        <v>0</v>
      </c>
      <c r="L126" s="89">
        <v>0</v>
      </c>
      <c r="M126" s="90">
        <v>17.563745943161166</v>
      </c>
    </row>
    <row r="127" spans="1:13" ht="16.8">
      <c r="A127" s="86">
        <v>46</v>
      </c>
      <c r="B127" s="443"/>
      <c r="C127" s="98">
        <v>42825</v>
      </c>
      <c r="E127" s="96">
        <v>0</v>
      </c>
      <c r="F127" s="88">
        <v>7.660590030135495</v>
      </c>
      <c r="G127" s="88">
        <v>9.903155913025671</v>
      </c>
      <c r="H127" s="88">
        <v>10.462384566159812</v>
      </c>
      <c r="I127" s="88">
        <v>0</v>
      </c>
      <c r="J127" s="88">
        <v>0</v>
      </c>
      <c r="K127" s="88">
        <v>0</v>
      </c>
      <c r="L127" s="89">
        <v>0</v>
      </c>
      <c r="M127" s="90">
        <v>28.026130509320978</v>
      </c>
    </row>
    <row r="128" spans="1:13" ht="16.8">
      <c r="A128" s="86">
        <v>47</v>
      </c>
      <c r="B128" s="443"/>
      <c r="C128" s="98">
        <v>43190</v>
      </c>
      <c r="E128" s="96">
        <v>0</v>
      </c>
      <c r="F128" s="88">
        <v>7.660590030135495</v>
      </c>
      <c r="G128" s="88">
        <v>9.903155913025671</v>
      </c>
      <c r="H128" s="88">
        <v>10.462384566159812</v>
      </c>
      <c r="I128" s="88">
        <v>5.9179485259908233</v>
      </c>
      <c r="J128" s="88">
        <v>0</v>
      </c>
      <c r="K128" s="88">
        <v>0</v>
      </c>
      <c r="L128" s="89">
        <v>0</v>
      </c>
      <c r="M128" s="90">
        <v>33.944079035311802</v>
      </c>
    </row>
    <row r="129" spans="1:13" ht="16.8">
      <c r="A129" s="86">
        <v>48</v>
      </c>
      <c r="B129" s="443"/>
      <c r="C129" s="98">
        <v>43555</v>
      </c>
      <c r="E129" s="96">
        <v>0</v>
      </c>
      <c r="F129" s="88">
        <v>7.660590030135495</v>
      </c>
      <c r="G129" s="88">
        <v>9.903155913025671</v>
      </c>
      <c r="H129" s="88">
        <v>10.462384566159812</v>
      </c>
      <c r="I129" s="88">
        <v>5.9179485259908233</v>
      </c>
      <c r="J129" s="88">
        <v>-100.20929972541376</v>
      </c>
      <c r="K129" s="88">
        <v>0</v>
      </c>
      <c r="L129" s="89">
        <v>0</v>
      </c>
      <c r="M129" s="90">
        <v>-66.265220690101955</v>
      </c>
    </row>
    <row r="130" spans="1:13" ht="16.8">
      <c r="A130" s="86">
        <v>49</v>
      </c>
      <c r="B130" s="443"/>
      <c r="C130" s="98">
        <v>43921</v>
      </c>
      <c r="E130" s="96">
        <v>0</v>
      </c>
      <c r="F130" s="88">
        <v>7.660590030135495</v>
      </c>
      <c r="G130" s="88">
        <v>9.903155913025671</v>
      </c>
      <c r="H130" s="88">
        <v>10.462384566159812</v>
      </c>
      <c r="I130" s="88">
        <v>5.9179485259908233</v>
      </c>
      <c r="J130" s="88">
        <v>-100.20929972541376</v>
      </c>
      <c r="K130" s="88">
        <v>-111.6481665929054</v>
      </c>
      <c r="L130" s="89">
        <v>0</v>
      </c>
      <c r="M130" s="90">
        <v>-177.91338728300735</v>
      </c>
    </row>
    <row r="131" spans="1:13" ht="16.8">
      <c r="A131" s="86">
        <v>50</v>
      </c>
      <c r="B131" s="443"/>
      <c r="C131" s="98">
        <v>44286</v>
      </c>
      <c r="E131" s="96">
        <v>0</v>
      </c>
      <c r="F131" s="88">
        <v>7.660590030135495</v>
      </c>
      <c r="G131" s="88">
        <v>9.903155913025671</v>
      </c>
      <c r="H131" s="88">
        <v>10.462384566159812</v>
      </c>
      <c r="I131" s="88">
        <v>5.9179485259908233</v>
      </c>
      <c r="J131" s="88">
        <v>-100.20929972541376</v>
      </c>
      <c r="K131" s="88">
        <v>-111.6481665929054</v>
      </c>
      <c r="L131" s="89">
        <v>-64.577865730699045</v>
      </c>
      <c r="M131" s="90">
        <v>-242.4912530137064</v>
      </c>
    </row>
    <row r="132" spans="1:13" ht="16.8">
      <c r="A132" s="80"/>
      <c r="B132" s="442"/>
      <c r="C132" s="81" t="s">
        <v>272</v>
      </c>
      <c r="E132" s="91">
        <v>0</v>
      </c>
      <c r="F132" s="92">
        <v>0</v>
      </c>
      <c r="G132" s="92">
        <v>0</v>
      </c>
      <c r="H132" s="92">
        <v>0</v>
      </c>
      <c r="I132" s="92">
        <v>0</v>
      </c>
      <c r="J132" s="97">
        <v>0</v>
      </c>
      <c r="K132" s="92">
        <v>0</v>
      </c>
      <c r="L132" s="93">
        <v>0</v>
      </c>
      <c r="M132" s="94">
        <v>0</v>
      </c>
    </row>
    <row r="133" spans="1:13" ht="16.8">
      <c r="A133" s="86">
        <v>51</v>
      </c>
      <c r="B133" s="443"/>
      <c r="C133" s="75" t="s">
        <v>273</v>
      </c>
      <c r="E133" s="87">
        <v>4175.2307570182293</v>
      </c>
      <c r="F133" s="88">
        <v>4185.4929268780643</v>
      </c>
      <c r="G133" s="88">
        <v>4174.5669667305483</v>
      </c>
      <c r="H133" s="88">
        <v>4178.7949690034147</v>
      </c>
      <c r="I133" s="88">
        <v>4450.6308766863658</v>
      </c>
      <c r="J133" s="88">
        <v>4495.8705189121101</v>
      </c>
      <c r="K133" s="88">
        <v>4500.2617413777971</v>
      </c>
      <c r="L133" s="89">
        <v>4442.9117954968606</v>
      </c>
      <c r="M133" s="90">
        <v>34603.760552103391</v>
      </c>
    </row>
    <row r="134" spans="1:13" ht="16.8">
      <c r="A134" s="86">
        <v>52</v>
      </c>
      <c r="B134" s="443"/>
      <c r="C134" s="75" t="s">
        <v>26</v>
      </c>
      <c r="E134" s="99">
        <v>0.625</v>
      </c>
      <c r="F134" s="100">
        <v>0.625</v>
      </c>
      <c r="G134" s="100">
        <v>0.625</v>
      </c>
      <c r="H134" s="100">
        <v>0.625</v>
      </c>
      <c r="I134" s="100">
        <v>0.625</v>
      </c>
      <c r="J134" s="100">
        <v>0.625</v>
      </c>
      <c r="K134" s="100">
        <v>0.625</v>
      </c>
      <c r="L134" s="101">
        <v>0.625</v>
      </c>
      <c r="M134" s="102">
        <v>0.625</v>
      </c>
    </row>
    <row r="135" spans="1:13" ht="16.8">
      <c r="A135" s="86">
        <v>53</v>
      </c>
      <c r="B135" s="443"/>
      <c r="C135" s="75" t="s">
        <v>274</v>
      </c>
      <c r="E135" s="87">
        <v>1565.711533881836</v>
      </c>
      <c r="F135" s="88">
        <v>1569.559847579274</v>
      </c>
      <c r="G135" s="88">
        <v>1565.4626125239556</v>
      </c>
      <c r="H135" s="88">
        <v>1567.0481133762805</v>
      </c>
      <c r="I135" s="88">
        <v>1668.9865787573872</v>
      </c>
      <c r="J135" s="88">
        <v>1685.9514445920413</v>
      </c>
      <c r="K135" s="88">
        <v>1687.5981530166739</v>
      </c>
      <c r="L135" s="89">
        <v>1666.0919233113227</v>
      </c>
      <c r="M135" s="90">
        <v>12976.410207038771</v>
      </c>
    </row>
    <row r="136" spans="1:13" ht="16.8">
      <c r="A136" s="86">
        <v>54</v>
      </c>
      <c r="B136" s="443"/>
      <c r="C136" s="75" t="s">
        <v>275</v>
      </c>
      <c r="E136" s="87">
        <v>76.197961315582688</v>
      </c>
      <c r="F136" s="88">
        <v>71.153379756927094</v>
      </c>
      <c r="G136" s="88">
        <v>66.532161032268107</v>
      </c>
      <c r="H136" s="88">
        <v>62.159575163925801</v>
      </c>
      <c r="I136" s="88">
        <v>61.75250341402333</v>
      </c>
      <c r="J136" s="88">
        <v>53.669454319513314</v>
      </c>
      <c r="K136" s="88">
        <v>44.440084696105757</v>
      </c>
      <c r="L136" s="89">
        <v>30.267336606822361</v>
      </c>
      <c r="M136" s="90">
        <v>466.17245630516851</v>
      </c>
    </row>
    <row r="137" spans="1:13" ht="17.399999999999999" thickBot="1">
      <c r="A137" s="103">
        <v>55</v>
      </c>
      <c r="B137" s="444"/>
      <c r="C137" s="104" t="s">
        <v>276</v>
      </c>
      <c r="D137" s="446"/>
      <c r="E137" s="105">
        <v>106.46838430396483</v>
      </c>
      <c r="F137" s="106">
        <v>106.73006963539062</v>
      </c>
      <c r="G137" s="106">
        <v>106.451457651629</v>
      </c>
      <c r="H137" s="106">
        <v>106.55927170958708</v>
      </c>
      <c r="I137" s="106">
        <v>113.49108735550234</v>
      </c>
      <c r="J137" s="106">
        <v>114.6446982322588</v>
      </c>
      <c r="K137" s="106">
        <v>114.75667440513384</v>
      </c>
      <c r="L137" s="107">
        <v>113.29425078516994</v>
      </c>
      <c r="M137" s="108">
        <v>882.3958940786365</v>
      </c>
    </row>
    <row r="138" spans="1:13">
      <c r="E138" s="53"/>
      <c r="F138" s="53"/>
      <c r="G138" s="53"/>
      <c r="H138" s="53"/>
      <c r="I138" s="53"/>
      <c r="J138" s="53"/>
      <c r="K138" s="53"/>
      <c r="L138" s="53"/>
    </row>
    <row r="139" spans="1:13" ht="16.8">
      <c r="C139" s="75" t="s">
        <v>277</v>
      </c>
      <c r="E139" s="96">
        <v>94.224999999999994</v>
      </c>
      <c r="F139" s="88">
        <v>87.484999999999999</v>
      </c>
      <c r="G139" s="88">
        <v>79.322999999999993</v>
      </c>
      <c r="H139" s="88">
        <v>58.722999999999999</v>
      </c>
      <c r="I139" s="88">
        <v>3.3000000000000002E-2</v>
      </c>
      <c r="J139" s="88">
        <v>3.3000000000000002E-2</v>
      </c>
      <c r="K139" s="88">
        <v>0</v>
      </c>
      <c r="L139" s="88">
        <v>0</v>
      </c>
      <c r="M139" s="172">
        <f>SUM(E139:L139)</f>
        <v>319.822</v>
      </c>
    </row>
    <row r="140" spans="1:13">
      <c r="E140" s="53"/>
      <c r="F140" s="53"/>
      <c r="G140" s="53"/>
      <c r="H140" s="53"/>
      <c r="I140" s="53"/>
      <c r="J140" s="53"/>
      <c r="K140" s="53"/>
      <c r="L140" s="53"/>
    </row>
    <row r="141" spans="1:13" ht="16.8">
      <c r="C141" s="213" t="s">
        <v>278</v>
      </c>
      <c r="E141" s="53">
        <v>58.243632070885781</v>
      </c>
      <c r="F141" s="53">
        <v>59.371819633654141</v>
      </c>
      <c r="G141" s="53">
        <v>62.647612204007885</v>
      </c>
      <c r="H141" s="53">
        <v>69.704625819405081</v>
      </c>
      <c r="I141" s="53">
        <v>82.734891255109233</v>
      </c>
      <c r="J141" s="53">
        <v>78.861022074118551</v>
      </c>
      <c r="K141" s="53">
        <v>65.089296911713703</v>
      </c>
      <c r="L141" s="53">
        <v>60.03870434945965</v>
      </c>
    </row>
    <row r="142" spans="1:13">
      <c r="C142" t="s">
        <v>279</v>
      </c>
      <c r="E142" s="53">
        <v>105.36207599340014</v>
      </c>
      <c r="F142" s="53">
        <v>107.40295461818336</v>
      </c>
      <c r="G142" s="53">
        <v>113.32882657129517</v>
      </c>
      <c r="H142" s="53">
        <v>126.09488490926087</v>
      </c>
      <c r="I142" s="53">
        <v>149.66648867497287</v>
      </c>
      <c r="J142" s="53">
        <v>142.65870285318076</v>
      </c>
      <c r="K142" s="53">
        <v>117.74580677287535</v>
      </c>
      <c r="L142" s="53">
        <v>108.60934157598881</v>
      </c>
    </row>
    <row r="143" spans="1:13" ht="16.8">
      <c r="C143" s="213" t="s">
        <v>280</v>
      </c>
      <c r="E143" s="53">
        <v>3.337869905745567</v>
      </c>
      <c r="F143" s="53">
        <v>2.4770348045861148</v>
      </c>
      <c r="G143" s="53">
        <v>1.0129522449949366</v>
      </c>
      <c r="H143" s="53">
        <v>1.3569328742465867</v>
      </c>
      <c r="I143" s="53">
        <v>4.184137351013554</v>
      </c>
      <c r="J143" s="53">
        <v>3.5557703707376973</v>
      </c>
      <c r="K143" s="53">
        <v>-2.1122647296975821</v>
      </c>
      <c r="L143" s="53">
        <v>-2.6735744923193963</v>
      </c>
    </row>
    <row r="144" spans="1:13">
      <c r="C144" t="s">
        <v>281</v>
      </c>
      <c r="E144" s="53">
        <v>30.040829151710096</v>
      </c>
      <c r="F144" s="53">
        <v>22.293313241275023</v>
      </c>
      <c r="G144" s="53">
        <v>9.116570204954435</v>
      </c>
      <c r="H144" s="53">
        <v>12.212395868219277</v>
      </c>
      <c r="I144" s="53">
        <v>37.657236159122007</v>
      </c>
      <c r="J144" s="53">
        <v>32.001933336639318</v>
      </c>
      <c r="K144" s="53">
        <v>-19.010382567278238</v>
      </c>
      <c r="L144" s="53">
        <v>-24.06217043087457</v>
      </c>
    </row>
    <row r="145" spans="2:26">
      <c r="E145" s="53"/>
      <c r="F145" s="53"/>
      <c r="G145" s="53"/>
      <c r="H145" s="53"/>
      <c r="I145" s="53"/>
      <c r="J145" s="53"/>
      <c r="K145" s="53"/>
      <c r="L145" s="53"/>
    </row>
    <row r="146" spans="2:26">
      <c r="B146" s="447"/>
      <c r="C146" t="s">
        <v>282</v>
      </c>
      <c r="E146" s="53">
        <v>0</v>
      </c>
      <c r="F146" s="53">
        <v>0</v>
      </c>
      <c r="G146" s="53">
        <v>0</v>
      </c>
      <c r="H146" s="53">
        <v>0</v>
      </c>
      <c r="I146" s="53">
        <v>138.27838395379189</v>
      </c>
      <c r="J146" s="53">
        <v>117.50342084599842</v>
      </c>
      <c r="K146" s="53">
        <v>101.87556011564801</v>
      </c>
      <c r="L146" s="53">
        <v>91.157975802007329</v>
      </c>
    </row>
    <row r="147" spans="2:26">
      <c r="B147" s="447"/>
      <c r="C147" t="s">
        <v>283</v>
      </c>
      <c r="E147" s="53">
        <v>0</v>
      </c>
      <c r="F147" s="53">
        <v>0</v>
      </c>
      <c r="G147" s="53">
        <v>0</v>
      </c>
      <c r="H147" s="53">
        <v>0</v>
      </c>
      <c r="I147" s="53">
        <v>49.227104687549911</v>
      </c>
      <c r="J147" s="53">
        <v>41.831217821175436</v>
      </c>
      <c r="K147" s="53">
        <v>36.267699401170688</v>
      </c>
      <c r="L147" s="53">
        <v>32.452239385514609</v>
      </c>
    </row>
    <row r="148" spans="2:26">
      <c r="B148" s="447"/>
      <c r="C148" t="s">
        <v>284</v>
      </c>
      <c r="E148" s="53">
        <f t="shared" ref="E148:L148" si="19">E146-E147</f>
        <v>0</v>
      </c>
      <c r="F148" s="53">
        <f t="shared" si="19"/>
        <v>0</v>
      </c>
      <c r="G148" s="53">
        <f t="shared" si="19"/>
        <v>0</v>
      </c>
      <c r="H148" s="53">
        <f t="shared" si="19"/>
        <v>0</v>
      </c>
      <c r="I148" s="53">
        <f t="shared" si="19"/>
        <v>89.051279266241977</v>
      </c>
      <c r="J148" s="53">
        <f t="shared" si="19"/>
        <v>75.672203024822977</v>
      </c>
      <c r="K148" s="53">
        <f t="shared" si="19"/>
        <v>65.607860714477326</v>
      </c>
      <c r="L148" s="53">
        <f t="shared" si="19"/>
        <v>58.705736416492719</v>
      </c>
    </row>
    <row r="149" spans="2:26">
      <c r="E149" s="53"/>
      <c r="F149" s="53"/>
      <c r="G149" s="53"/>
      <c r="H149" s="53"/>
      <c r="I149" s="53"/>
      <c r="J149" s="53"/>
      <c r="K149" s="53"/>
      <c r="L149" s="53"/>
    </row>
    <row r="150" spans="2:26">
      <c r="C150" t="s">
        <v>285</v>
      </c>
      <c r="E150" s="196">
        <v>299.56565029594907</v>
      </c>
      <c r="F150" s="196">
        <v>292.33704106000306</v>
      </c>
      <c r="G150" s="196">
        <v>285.10843182405705</v>
      </c>
      <c r="H150" s="196">
        <v>265.17984444444454</v>
      </c>
      <c r="I150" s="196">
        <v>0</v>
      </c>
      <c r="J150" s="196">
        <v>0</v>
      </c>
      <c r="K150" s="196">
        <v>0</v>
      </c>
      <c r="L150" s="196">
        <v>0</v>
      </c>
    </row>
    <row r="151" spans="2:26">
      <c r="C151" t="s">
        <v>286</v>
      </c>
      <c r="E151" s="196">
        <v>1.5889649604528906</v>
      </c>
      <c r="F151" s="196">
        <v>1.9371656435515117</v>
      </c>
      <c r="G151" s="196">
        <v>1.9547226953643968</v>
      </c>
      <c r="H151" s="196">
        <v>1.9724388714470038</v>
      </c>
      <c r="I151" s="196">
        <v>13.932209297896886</v>
      </c>
      <c r="J151" s="196">
        <v>18.476860279771643</v>
      </c>
      <c r="K151" s="196">
        <v>0.81062265305823133</v>
      </c>
      <c r="L151" s="196">
        <v>0</v>
      </c>
    </row>
    <row r="152" spans="2:26" ht="16.8">
      <c r="C152" s="110" t="s">
        <v>287</v>
      </c>
      <c r="E152" s="196">
        <v>7.2286092359460277</v>
      </c>
      <c r="F152" s="196">
        <v>7.2286092359460277</v>
      </c>
      <c r="G152" s="196">
        <v>7.2286092359460277</v>
      </c>
      <c r="H152" s="196">
        <v>6.9148666666666667</v>
      </c>
      <c r="I152" s="196">
        <v>0</v>
      </c>
      <c r="J152" s="196">
        <v>0</v>
      </c>
      <c r="K152" s="196">
        <v>0</v>
      </c>
      <c r="L152" s="196">
        <v>0</v>
      </c>
    </row>
    <row r="153" spans="2:26" ht="16.8">
      <c r="C153" s="110" t="s">
        <v>288</v>
      </c>
      <c r="E153" s="53">
        <f>SUM(E150:E151)-E152</f>
        <v>293.92600602045593</v>
      </c>
      <c r="F153" s="53">
        <f t="shared" ref="F153:L153" si="20">SUM(F150:F151)-F152</f>
        <v>287.04559746760856</v>
      </c>
      <c r="G153" s="53">
        <f t="shared" si="20"/>
        <v>279.83454528347545</v>
      </c>
      <c r="H153" s="53">
        <f t="shared" si="20"/>
        <v>260.23741664922488</v>
      </c>
      <c r="I153" s="53">
        <f t="shared" si="20"/>
        <v>13.932209297896886</v>
      </c>
      <c r="J153" s="53">
        <f t="shared" si="20"/>
        <v>18.476860279771643</v>
      </c>
      <c r="K153" s="53">
        <f t="shared" si="20"/>
        <v>0.81062265305823133</v>
      </c>
      <c r="L153" s="53">
        <f t="shared" si="20"/>
        <v>0</v>
      </c>
    </row>
    <row r="154" spans="2:26">
      <c r="E154" s="53"/>
      <c r="F154" s="53"/>
      <c r="G154" s="53"/>
      <c r="H154" s="53"/>
      <c r="I154" s="53"/>
      <c r="J154" s="53"/>
      <c r="K154" s="53"/>
      <c r="L154" s="53"/>
    </row>
    <row r="155" spans="2:26">
      <c r="C155" t="s">
        <v>289</v>
      </c>
      <c r="E155" s="53">
        <f>E81+E150</f>
        <v>4552.8726865510716</v>
      </c>
      <c r="F155" s="53">
        <f>E158</f>
        <v>4570.3309922047265</v>
      </c>
      <c r="G155" s="53">
        <f t="shared" ref="G155:L155" si="21">F158</f>
        <v>4553.9896559399986</v>
      </c>
      <c r="H155" s="53">
        <f t="shared" si="21"/>
        <v>4529.1627262721213</v>
      </c>
      <c r="I155" s="53">
        <f t="shared" si="21"/>
        <v>4519.1238577216127</v>
      </c>
      <c r="J155" s="53">
        <f t="shared" si="21"/>
        <v>4568.6167845902837</v>
      </c>
      <c r="K155" s="53">
        <f t="shared" si="21"/>
        <v>4607.1918277441573</v>
      </c>
      <c r="L155" s="520">
        <f t="shared" si="21"/>
        <v>4549.5563849605278</v>
      </c>
      <c r="M155" s="53"/>
      <c r="O155" s="53">
        <f t="shared" ref="O155:V155" si="22">E155*O$1</f>
        <v>5313.2024252051006</v>
      </c>
      <c r="P155" s="53">
        <f t="shared" si="22"/>
        <v>5438.6938807236247</v>
      </c>
      <c r="Q155" s="53">
        <f t="shared" si="22"/>
        <v>5473.8955664398782</v>
      </c>
      <c r="R155" s="53">
        <f t="shared" si="22"/>
        <v>5561.811827862165</v>
      </c>
      <c r="S155" s="53">
        <f t="shared" si="22"/>
        <v>5757.3637947373345</v>
      </c>
      <c r="T155" s="53">
        <f t="shared" si="22"/>
        <v>5998.5938381670421</v>
      </c>
      <c r="U155" s="53">
        <f t="shared" si="22"/>
        <v>6215.1017756268684</v>
      </c>
      <c r="V155" s="53">
        <f t="shared" si="22"/>
        <v>6314.7842623252118</v>
      </c>
    </row>
    <row r="156" spans="2:26">
      <c r="C156" t="str">
        <f>C82</f>
        <v>RAV additions (after disposals)</v>
      </c>
      <c r="E156" s="53">
        <f>E82+E151</f>
        <v>163.46548670982534</v>
      </c>
      <c r="F156" s="53">
        <f t="shared" ref="F156:L156" si="23">F82+F151</f>
        <v>131.62567552290523</v>
      </c>
      <c r="G156" s="53">
        <f t="shared" si="23"/>
        <v>124.39236149150932</v>
      </c>
      <c r="H156" s="53">
        <f t="shared" si="23"/>
        <v>140.27196166882248</v>
      </c>
      <c r="I156" s="53">
        <f t="shared" si="23"/>
        <v>201.24817615188712</v>
      </c>
      <c r="J156" s="53">
        <f t="shared" si="23"/>
        <v>193.12973848948707</v>
      </c>
      <c r="K156" s="53">
        <f t="shared" si="23"/>
        <v>99.538288878550674</v>
      </c>
      <c r="L156" s="53">
        <f t="shared" si="23"/>
        <v>84.539413165009563</v>
      </c>
    </row>
    <row r="157" spans="2:26">
      <c r="C157" t="str">
        <f>C83</f>
        <v>Depreciation</v>
      </c>
      <c r="E157" s="53">
        <f>E83-E152</f>
        <v>-146.00718105617065</v>
      </c>
      <c r="F157" s="53">
        <f t="shared" ref="F157:L157" si="24">F83-F152</f>
        <v>-147.96701178763334</v>
      </c>
      <c r="G157" s="53">
        <f t="shared" si="24"/>
        <v>-149.2192911593867</v>
      </c>
      <c r="H157" s="53">
        <f t="shared" si="24"/>
        <v>-150.31083021933122</v>
      </c>
      <c r="I157" s="53">
        <f t="shared" si="24"/>
        <v>-151.75524928321607</v>
      </c>
      <c r="J157" s="53">
        <f t="shared" si="24"/>
        <v>-154.55469533561347</v>
      </c>
      <c r="K157" s="53">
        <f t="shared" si="24"/>
        <v>-157.17373166217976</v>
      </c>
      <c r="L157" s="53">
        <f t="shared" si="24"/>
        <v>-157.71295799739192</v>
      </c>
    </row>
    <row r="158" spans="2:26">
      <c r="C158" t="str">
        <f>C84</f>
        <v>Closing asset value</v>
      </c>
      <c r="E158" s="53">
        <f>SUM(E155:E157)</f>
        <v>4570.3309922047265</v>
      </c>
      <c r="F158" s="53">
        <f t="shared" ref="F158:L158" si="25">SUM(F155:F157)</f>
        <v>4553.9896559399986</v>
      </c>
      <c r="G158" s="53">
        <f t="shared" si="25"/>
        <v>4529.1627262721213</v>
      </c>
      <c r="H158" s="53">
        <f t="shared" si="25"/>
        <v>4519.1238577216127</v>
      </c>
      <c r="I158" s="53">
        <f t="shared" si="25"/>
        <v>4568.6167845902837</v>
      </c>
      <c r="J158" s="53">
        <f t="shared" si="25"/>
        <v>4607.1918277441573</v>
      </c>
      <c r="K158" s="53">
        <f t="shared" si="25"/>
        <v>4549.5563849605278</v>
      </c>
      <c r="L158" s="53">
        <f t="shared" si="25"/>
        <v>4476.3828401281453</v>
      </c>
      <c r="O158" s="53">
        <f t="shared" ref="O158:V158" si="26">E158*O$1</f>
        <v>5333.5762679029158</v>
      </c>
      <c r="P158" s="53">
        <f t="shared" si="26"/>
        <v>5419.247690568598</v>
      </c>
      <c r="Q158" s="53">
        <f t="shared" si="26"/>
        <v>5444.0535969790899</v>
      </c>
      <c r="R158" s="53">
        <f t="shared" si="26"/>
        <v>5549.4840972821403</v>
      </c>
      <c r="S158" s="53">
        <f t="shared" si="26"/>
        <v>5820.4177835680212</v>
      </c>
      <c r="T158" s="53">
        <f t="shared" si="26"/>
        <v>6049.2428698280783</v>
      </c>
      <c r="U158" s="53">
        <f t="shared" si="26"/>
        <v>6137.3515633117522</v>
      </c>
      <c r="V158" s="53">
        <f t="shared" si="26"/>
        <v>6213.2193820978655</v>
      </c>
      <c r="W158" s="53"/>
      <c r="X158" s="53"/>
      <c r="Y158" s="53"/>
      <c r="Z158" s="53"/>
    </row>
    <row r="159" spans="2:26">
      <c r="C159" t="s">
        <v>201</v>
      </c>
      <c r="E159" s="53">
        <f>E84+E153-E158</f>
        <v>0</v>
      </c>
      <c r="F159" s="53">
        <f t="shared" ref="F159:L159" si="27">F84+F153-F158</f>
        <v>0</v>
      </c>
      <c r="G159" s="53">
        <f t="shared" si="27"/>
        <v>0</v>
      </c>
      <c r="H159" s="53">
        <f t="shared" si="27"/>
        <v>0</v>
      </c>
      <c r="I159" s="53">
        <f t="shared" si="27"/>
        <v>0</v>
      </c>
      <c r="J159" s="53">
        <f t="shared" si="27"/>
        <v>0</v>
      </c>
      <c r="K159" s="53">
        <f t="shared" si="27"/>
        <v>0</v>
      </c>
      <c r="L159" s="53">
        <f t="shared" si="27"/>
        <v>0</v>
      </c>
    </row>
    <row r="160" spans="2:26">
      <c r="E160" s="53"/>
      <c r="F160" s="53"/>
      <c r="G160" s="53"/>
      <c r="H160" s="53"/>
      <c r="I160" s="53"/>
      <c r="J160" s="53"/>
      <c r="K160" s="53"/>
      <c r="L160" s="53"/>
    </row>
    <row r="161" spans="3:14">
      <c r="C161" t="s">
        <v>290</v>
      </c>
      <c r="E161" s="196">
        <v>2.6999999999999997</v>
      </c>
      <c r="F161" s="196">
        <v>2.6</v>
      </c>
      <c r="G161" s="196">
        <v>2.6</v>
      </c>
      <c r="H161" s="196">
        <v>2.6999999999999997</v>
      </c>
      <c r="I161" s="196">
        <v>2.6</v>
      </c>
      <c r="J161" s="196">
        <v>1.5036030565639953</v>
      </c>
      <c r="K161" s="196">
        <v>1.5036030565639953</v>
      </c>
      <c r="L161" s="196">
        <v>1.5036030565639953</v>
      </c>
    </row>
    <row r="162" spans="3:14">
      <c r="C162" t="s">
        <v>291</v>
      </c>
      <c r="E162" s="196">
        <v>26.409854043050455</v>
      </c>
      <c r="F162" s="196">
        <v>26.409854043050501</v>
      </c>
      <c r="G162" s="196">
        <v>49.377503040264713</v>
      </c>
      <c r="H162" s="196">
        <v>49.377503040264713</v>
      </c>
      <c r="I162" s="196">
        <v>49.377503040264713</v>
      </c>
      <c r="J162" s="196">
        <v>25.655041687065825</v>
      </c>
      <c r="K162" s="196">
        <v>25.655041687065825</v>
      </c>
      <c r="L162" s="196">
        <v>25.655041687065825</v>
      </c>
      <c r="N162" s="472">
        <f>E158+'NGGT AIP 2019'!D81</f>
        <v>4596.8123667890932</v>
      </c>
    </row>
    <row r="163" spans="3:14">
      <c r="C163" t="s">
        <v>292</v>
      </c>
      <c r="E163" s="53">
        <f t="shared" ref="E163:L163" si="28">E161+E162</f>
        <v>29.109854043050454</v>
      </c>
      <c r="F163" s="53">
        <f t="shared" si="28"/>
        <v>29.009854043050503</v>
      </c>
      <c r="G163" s="53">
        <f t="shared" si="28"/>
        <v>51.977503040264715</v>
      </c>
      <c r="H163" s="53">
        <f t="shared" si="28"/>
        <v>52.077503040264716</v>
      </c>
      <c r="I163" s="53">
        <f t="shared" si="28"/>
        <v>51.977503040264715</v>
      </c>
      <c r="J163" s="53">
        <f t="shared" si="28"/>
        <v>27.158644743629822</v>
      </c>
      <c r="K163" s="53">
        <f t="shared" si="28"/>
        <v>27.158644743629822</v>
      </c>
      <c r="L163" s="53">
        <f t="shared" si="28"/>
        <v>27.158644743629822</v>
      </c>
    </row>
    <row r="164" spans="3:14">
      <c r="C164" t="s">
        <v>293</v>
      </c>
      <c r="E164" s="196">
        <v>11.622445302613123</v>
      </c>
      <c r="F164" s="196">
        <v>12.116399227974181</v>
      </c>
      <c r="G164" s="196">
        <v>12.618472520983362</v>
      </c>
      <c r="H164" s="196">
        <v>13.127943349018066</v>
      </c>
      <c r="I164" s="196">
        <v>13.644856118385652</v>
      </c>
      <c r="J164" s="196">
        <v>14.155685419317715</v>
      </c>
      <c r="K164" s="196">
        <v>14.656442791026079</v>
      </c>
      <c r="L164" s="196">
        <v>15.130029098711109</v>
      </c>
    </row>
    <row r="165" spans="3:14">
      <c r="C165" s="38" t="s">
        <v>294</v>
      </c>
      <c r="D165" s="38"/>
      <c r="E165" s="58">
        <f t="shared" ref="E165:L165" si="29">E163+E164</f>
        <v>40.732299345663577</v>
      </c>
      <c r="F165" s="58">
        <f t="shared" si="29"/>
        <v>41.12625327102468</v>
      </c>
      <c r="G165" s="58">
        <f t="shared" si="29"/>
        <v>64.595975561248082</v>
      </c>
      <c r="H165" s="58">
        <f t="shared" si="29"/>
        <v>65.205446389282784</v>
      </c>
      <c r="I165" s="58">
        <f t="shared" si="29"/>
        <v>65.622359158650369</v>
      </c>
      <c r="J165" s="58">
        <f t="shared" si="29"/>
        <v>41.314330162947535</v>
      </c>
      <c r="K165" s="58">
        <f t="shared" si="29"/>
        <v>41.815087534655902</v>
      </c>
      <c r="L165" s="58">
        <f t="shared" si="29"/>
        <v>42.288673842340927</v>
      </c>
    </row>
    <row r="166" spans="3:14">
      <c r="E166" s="53"/>
      <c r="F166" s="53"/>
      <c r="G166" s="53"/>
      <c r="H166" s="53"/>
      <c r="I166" s="53"/>
      <c r="J166" s="53"/>
      <c r="K166" s="53"/>
      <c r="L166" s="53"/>
    </row>
    <row r="167" spans="3:14">
      <c r="C167" t="s">
        <v>295</v>
      </c>
      <c r="E167" s="196">
        <v>-17.8</v>
      </c>
      <c r="F167" s="196">
        <v>-18.2</v>
      </c>
      <c r="G167" s="196">
        <v>-18.399999999999999</v>
      </c>
      <c r="H167" s="196">
        <v>-18.5</v>
      </c>
      <c r="I167" s="196">
        <v>0</v>
      </c>
      <c r="J167" s="196">
        <v>0</v>
      </c>
      <c r="K167" s="196">
        <v>0</v>
      </c>
      <c r="L167" s="196">
        <v>0</v>
      </c>
    </row>
    <row r="168" spans="3:14">
      <c r="C168" t="s">
        <v>296</v>
      </c>
      <c r="E168" s="196">
        <v>11.272654628929414</v>
      </c>
      <c r="F168" s="196">
        <v>11.751742450658913</v>
      </c>
      <c r="G168" s="196">
        <v>12.238705278458092</v>
      </c>
      <c r="H168" s="196">
        <v>12.732843004075839</v>
      </c>
      <c r="I168" s="196">
        <v>13.234198697361323</v>
      </c>
      <c r="J168" s="196">
        <v>13.729654011093789</v>
      </c>
      <c r="K168" s="196">
        <v>14.215340521736231</v>
      </c>
      <c r="L168" s="196">
        <v>14.71820819269265</v>
      </c>
    </row>
    <row r="169" spans="3:14">
      <c r="C169" t="s">
        <v>297</v>
      </c>
      <c r="E169" s="53">
        <v>-3.5</v>
      </c>
      <c r="F169" s="53">
        <v>-2.9</v>
      </c>
      <c r="G169" s="53">
        <v>-3</v>
      </c>
      <c r="H169" s="53">
        <v>-3.1</v>
      </c>
      <c r="I169" s="53">
        <v>-3</v>
      </c>
      <c r="J169" s="53">
        <v>-3</v>
      </c>
      <c r="K169" s="53">
        <v>-3</v>
      </c>
      <c r="L169" s="53">
        <v>-3</v>
      </c>
    </row>
    <row r="170" spans="3:14">
      <c r="C170" s="38" t="s">
        <v>298</v>
      </c>
      <c r="E170" s="58">
        <f>SUM(E165:E169)</f>
        <v>30.704953974592989</v>
      </c>
      <c r="F170" s="58">
        <f t="shared" ref="F170:L170" si="30">SUM(F165:F169)</f>
        <v>31.777995721683595</v>
      </c>
      <c r="G170" s="58">
        <f t="shared" si="30"/>
        <v>55.434680839706175</v>
      </c>
      <c r="H170" s="58">
        <f t="shared" si="30"/>
        <v>56.338289393358622</v>
      </c>
      <c r="I170" s="58">
        <f t="shared" si="30"/>
        <v>75.85655785601169</v>
      </c>
      <c r="J170" s="58">
        <f t="shared" si="30"/>
        <v>52.043984174041327</v>
      </c>
      <c r="K170" s="58">
        <f t="shared" si="30"/>
        <v>53.030428056392132</v>
      </c>
      <c r="L170" s="58">
        <f t="shared" si="30"/>
        <v>54.006882035033577</v>
      </c>
    </row>
    <row r="171" spans="3:14">
      <c r="C171" t="s">
        <v>299</v>
      </c>
      <c r="E171" s="53">
        <v>0</v>
      </c>
      <c r="F171" s="53">
        <v>0</v>
      </c>
      <c r="G171" s="53">
        <v>0</v>
      </c>
      <c r="H171" s="53">
        <v>0</v>
      </c>
      <c r="I171" s="53">
        <v>0</v>
      </c>
      <c r="J171" s="53">
        <v>0</v>
      </c>
      <c r="K171" s="53">
        <v>0</v>
      </c>
      <c r="L171" s="53">
        <v>0</v>
      </c>
    </row>
    <row r="172" spans="3:14">
      <c r="E172" s="53"/>
      <c r="F172" s="53"/>
      <c r="G172" s="53"/>
      <c r="H172" s="53"/>
      <c r="I172" s="53"/>
      <c r="J172" s="53"/>
      <c r="K172" s="53"/>
      <c r="L172" s="53"/>
    </row>
    <row r="173" spans="3:14">
      <c r="C173" t="s">
        <v>300</v>
      </c>
      <c r="E173" s="53">
        <f>SUM(E167:E169,E171)</f>
        <v>-10.027345371070586</v>
      </c>
      <c r="F173" s="53">
        <f t="shared" ref="F173:L173" si="31">SUM(F167:F169,F171)</f>
        <v>-9.3482575493410867</v>
      </c>
      <c r="G173" s="53">
        <f t="shared" si="31"/>
        <v>-9.1612947215419069</v>
      </c>
      <c r="H173" s="53">
        <f t="shared" si="31"/>
        <v>-8.8671569959241605</v>
      </c>
      <c r="I173" s="53">
        <f t="shared" si="31"/>
        <v>10.234198697361323</v>
      </c>
      <c r="J173" s="53">
        <f t="shared" si="31"/>
        <v>10.729654011093789</v>
      </c>
      <c r="K173" s="53">
        <f t="shared" si="31"/>
        <v>11.215340521736231</v>
      </c>
      <c r="L173" s="53">
        <f t="shared" si="31"/>
        <v>11.71820819269265</v>
      </c>
    </row>
    <row r="176" spans="3:14" ht="16.8">
      <c r="C176" s="75" t="s">
        <v>247</v>
      </c>
      <c r="E176" s="198">
        <v>53.000554975302876</v>
      </c>
      <c r="F176" s="198">
        <v>68.053208429157323</v>
      </c>
      <c r="G176" s="198">
        <v>82.254234605796668</v>
      </c>
      <c r="H176" s="198">
        <v>95.891001342750144</v>
      </c>
      <c r="I176" s="198">
        <v>104.78509285934528</v>
      </c>
      <c r="J176" s="198">
        <v>108.77780866232766</v>
      </c>
      <c r="K176" s="198">
        <v>112.29762127541157</v>
      </c>
      <c r="L176" s="198">
        <v>115.92998916652678</v>
      </c>
    </row>
    <row r="177" spans="3:22" ht="16.8">
      <c r="C177" s="75" t="s">
        <v>248</v>
      </c>
      <c r="E177" s="198">
        <v>25.597687944697277</v>
      </c>
      <c r="F177" s="198">
        <v>28.402873231010378</v>
      </c>
      <c r="G177" s="198">
        <v>30.327281876301544</v>
      </c>
      <c r="H177" s="198">
        <v>28.830408843528669</v>
      </c>
      <c r="I177" s="198">
        <v>26.600805821848581</v>
      </c>
      <c r="J177" s="198">
        <v>28.613131846542398</v>
      </c>
      <c r="K177" s="198">
        <v>31.160026938207565</v>
      </c>
      <c r="L177" s="198">
        <v>28.95136654970014</v>
      </c>
    </row>
    <row r="178" spans="3:22" ht="16.8">
      <c r="C178" s="75" t="s">
        <v>249</v>
      </c>
      <c r="E178" s="198">
        <v>-10.545034490842841</v>
      </c>
      <c r="F178" s="198">
        <v>-14.201847054371024</v>
      </c>
      <c r="G178" s="198">
        <v>-16.690515139348058</v>
      </c>
      <c r="H178" s="198">
        <v>-19.93631732693353</v>
      </c>
      <c r="I178" s="198">
        <v>-22.6080900188662</v>
      </c>
      <c r="J178" s="198">
        <v>-25.093319233458473</v>
      </c>
      <c r="K178" s="198">
        <v>-27.527659047092364</v>
      </c>
      <c r="L178" s="198">
        <v>-28.504602357448057</v>
      </c>
    </row>
    <row r="179" spans="3:22" ht="16.8">
      <c r="C179" s="75" t="s">
        <v>250</v>
      </c>
      <c r="E179" s="198">
        <v>68.053208429157323</v>
      </c>
      <c r="F179" s="198">
        <v>82.254234605796668</v>
      </c>
      <c r="G179" s="198">
        <v>95.891001342750144</v>
      </c>
      <c r="H179" s="198">
        <v>104.78509285934528</v>
      </c>
      <c r="I179" s="198">
        <v>108.77780866232766</v>
      </c>
      <c r="J179" s="198">
        <v>112.29762127541157</v>
      </c>
      <c r="K179" s="198">
        <v>115.92998916652678</v>
      </c>
      <c r="L179" s="198">
        <v>116.37675335877887</v>
      </c>
    </row>
    <row r="180" spans="3:22" ht="15.6">
      <c r="M180" s="119" t="s">
        <v>301</v>
      </c>
    </row>
    <row r="181" spans="3:22" ht="15.6">
      <c r="C181" t="s">
        <v>289</v>
      </c>
      <c r="E181" s="53">
        <f t="shared" ref="E181:L181" si="32">E155+E176</f>
        <v>4605.8732415263748</v>
      </c>
      <c r="F181" s="53">
        <f t="shared" si="32"/>
        <v>4638.3842006338837</v>
      </c>
      <c r="G181" s="53">
        <f t="shared" si="32"/>
        <v>4636.2438905457948</v>
      </c>
      <c r="H181" s="53">
        <f t="shared" si="32"/>
        <v>4625.0537276148716</v>
      </c>
      <c r="I181" s="53">
        <f t="shared" si="32"/>
        <v>4623.9089505809579</v>
      </c>
      <c r="J181" s="53">
        <f t="shared" si="32"/>
        <v>4677.3945932526112</v>
      </c>
      <c r="K181" s="53">
        <f t="shared" si="32"/>
        <v>4719.4894490195693</v>
      </c>
      <c r="L181" s="53">
        <f t="shared" si="32"/>
        <v>4665.4863741270547</v>
      </c>
      <c r="M181" s="120">
        <f>(L181/E181)^(1/7)-1</f>
        <v>1.838804016461415E-3</v>
      </c>
      <c r="N181" t="s">
        <v>302</v>
      </c>
      <c r="O181" s="114">
        <f t="shared" ref="O181:V182" si="33">E181*O$1</f>
        <v>5375.0540728612796</v>
      </c>
      <c r="P181" s="109">
        <f t="shared" si="33"/>
        <v>5519.6771987543216</v>
      </c>
      <c r="Q181" s="109">
        <f t="shared" si="33"/>
        <v>5572.7651564360449</v>
      </c>
      <c r="R181" s="109">
        <f t="shared" si="33"/>
        <v>5679.5659775110626</v>
      </c>
      <c r="S181" s="109">
        <f t="shared" si="33"/>
        <v>5890.8600030401403</v>
      </c>
      <c r="T181" s="109">
        <f t="shared" si="33"/>
        <v>6141.4191009406786</v>
      </c>
      <c r="U181" s="109">
        <f t="shared" si="33"/>
        <v>6366.5912667273988</v>
      </c>
      <c r="V181" s="109">
        <f t="shared" si="33"/>
        <v>6475.6950872883517</v>
      </c>
    </row>
    <row r="182" spans="3:22" ht="15.6">
      <c r="C182" t="s">
        <v>250</v>
      </c>
      <c r="E182" s="53">
        <f t="shared" ref="E182:L182" si="34">E158+E179</f>
        <v>4638.3842006338837</v>
      </c>
      <c r="F182" s="53">
        <f t="shared" si="34"/>
        <v>4636.2438905457948</v>
      </c>
      <c r="G182" s="53">
        <f t="shared" si="34"/>
        <v>4625.0537276148716</v>
      </c>
      <c r="H182" s="53">
        <f t="shared" si="34"/>
        <v>4623.9089505809579</v>
      </c>
      <c r="I182" s="53">
        <f t="shared" si="34"/>
        <v>4677.3945932526112</v>
      </c>
      <c r="J182" s="53">
        <f t="shared" si="34"/>
        <v>4719.4894490195693</v>
      </c>
      <c r="K182" s="53">
        <f t="shared" si="34"/>
        <v>4665.4863741270547</v>
      </c>
      <c r="L182" s="53">
        <f t="shared" si="34"/>
        <v>4592.7595934869241</v>
      </c>
      <c r="M182" s="121">
        <f>(L182/E182)^(1/7)-1</f>
        <v>-1.4111478120359955E-3</v>
      </c>
      <c r="O182" s="109">
        <f t="shared" si="33"/>
        <v>5412.9943621397424</v>
      </c>
      <c r="P182" s="109">
        <f t="shared" si="33"/>
        <v>5517.1302297494958</v>
      </c>
      <c r="Q182" s="109">
        <f t="shared" si="33"/>
        <v>5559.3145805930753</v>
      </c>
      <c r="R182" s="109">
        <f t="shared" si="33"/>
        <v>5678.1601913134164</v>
      </c>
      <c r="S182" s="109">
        <f t="shared" si="33"/>
        <v>5959.0007118038266</v>
      </c>
      <c r="T182" s="109">
        <f t="shared" si="33"/>
        <v>6196.6896465626942</v>
      </c>
      <c r="U182" s="109">
        <f t="shared" si="33"/>
        <v>6293.7411186973968</v>
      </c>
      <c r="V182" s="114">
        <f t="shared" si="33"/>
        <v>6374.7503157598503</v>
      </c>
    </row>
    <row r="183" spans="3:22">
      <c r="O183" s="109"/>
      <c r="P183" s="109"/>
      <c r="Q183" s="109"/>
      <c r="R183" s="109"/>
      <c r="S183" s="109"/>
      <c r="T183" s="109"/>
      <c r="U183" s="109"/>
      <c r="V183" s="109"/>
    </row>
    <row r="184" spans="3:22">
      <c r="C184" t="s">
        <v>289</v>
      </c>
      <c r="N184" t="s">
        <v>303</v>
      </c>
      <c r="O184" s="115">
        <f>E181*O$3</f>
        <v>5294.4559162197029</v>
      </c>
      <c r="P184" s="109">
        <f t="shared" ref="O184:V185" si="35">F181*P$2</f>
        <v>5526.9360944676591</v>
      </c>
      <c r="Q184" s="109">
        <f t="shared" si="35"/>
        <v>5610.3349906759177</v>
      </c>
      <c r="R184" s="109">
        <f t="shared" si="35"/>
        <v>5772.5643543025726</v>
      </c>
      <c r="S184" s="109">
        <f t="shared" si="35"/>
        <v>5964.0067709563464</v>
      </c>
      <c r="T184" s="109">
        <f t="shared" si="35"/>
        <v>6180.4041334913636</v>
      </c>
      <c r="U184" s="109">
        <f t="shared" si="35"/>
        <v>6424.1343326605029</v>
      </c>
      <c r="V184" s="109">
        <f t="shared" si="35"/>
        <v>6540.9066654106327</v>
      </c>
    </row>
    <row r="185" spans="3:22">
      <c r="C185" t="s">
        <v>250</v>
      </c>
      <c r="O185" s="109">
        <f t="shared" si="35"/>
        <v>5477.4924810204566</v>
      </c>
      <c r="P185" s="109">
        <f t="shared" si="35"/>
        <v>5524.3857759585553</v>
      </c>
      <c r="Q185" s="109">
        <f t="shared" si="35"/>
        <v>5596.7937352707086</v>
      </c>
      <c r="R185" s="109">
        <f t="shared" si="35"/>
        <v>5771.1355494737472</v>
      </c>
      <c r="S185" s="109">
        <f t="shared" si="35"/>
        <v>6032.9935824294862</v>
      </c>
      <c r="T185" s="109">
        <f t="shared" si="35"/>
        <v>6236.0255302741216</v>
      </c>
      <c r="U185" s="109">
        <f t="shared" si="35"/>
        <v>6350.6257442350516</v>
      </c>
      <c r="V185" s="115">
        <f t="shared" si="35"/>
        <v>6438.9453593223916</v>
      </c>
    </row>
    <row r="186" spans="3:22">
      <c r="E186" s="53"/>
    </row>
    <row r="187" spans="3:22">
      <c r="C187" t="s">
        <v>304</v>
      </c>
      <c r="E187" s="190">
        <f>E83-E152-E188</f>
        <v>-146.00718105617065</v>
      </c>
      <c r="F187" s="190">
        <f t="shared" ref="F187:L187" si="36">F83-F152-F188</f>
        <v>-144.36975574875839</v>
      </c>
      <c r="G187" s="190">
        <f t="shared" si="36"/>
        <v>-142.74006823430389</v>
      </c>
      <c r="H187" s="190">
        <f t="shared" si="36"/>
        <v>-141.1107708765563</v>
      </c>
      <c r="I187" s="190">
        <f t="shared" si="36"/>
        <v>-139.48186721161059</v>
      </c>
      <c r="J187" s="190">
        <f t="shared" si="36"/>
        <v>-138.1187362228082</v>
      </c>
      <c r="K187" s="190">
        <f t="shared" si="36"/>
        <v>-136.85659747804749</v>
      </c>
      <c r="L187" s="190">
        <f t="shared" si="36"/>
        <v>-135.20187567491539</v>
      </c>
    </row>
    <row r="188" spans="3:22">
      <c r="C188" t="s">
        <v>305</v>
      </c>
      <c r="E188" s="190">
        <v>0</v>
      </c>
      <c r="F188" s="190">
        <v>-3.5972560388749431</v>
      </c>
      <c r="G188" s="190">
        <v>-6.4792229250828033</v>
      </c>
      <c r="H188" s="190">
        <v>-9.2000593427749138</v>
      </c>
      <c r="I188" s="190">
        <v>-12.27338207160548</v>
      </c>
      <c r="J188" s="190">
        <v>-16.435959112805264</v>
      </c>
      <c r="K188" s="190">
        <v>-20.317134184132275</v>
      </c>
      <c r="L188" s="190">
        <v>-22.51108232247655</v>
      </c>
    </row>
    <row r="191" spans="3:22" ht="16.8">
      <c r="C191" t="s">
        <v>306</v>
      </c>
      <c r="E191" s="201">
        <v>0</v>
      </c>
      <c r="F191" s="201">
        <v>0</v>
      </c>
      <c r="G191" s="201">
        <v>0</v>
      </c>
      <c r="H191" s="201">
        <v>0</v>
      </c>
      <c r="I191" s="201">
        <v>0</v>
      </c>
      <c r="J191" s="201">
        <v>0</v>
      </c>
      <c r="K191" s="201">
        <v>0</v>
      </c>
      <c r="L191" s="201">
        <v>0</v>
      </c>
    </row>
    <row r="192" spans="3:22" ht="16.8">
      <c r="C192" t="s">
        <v>307</v>
      </c>
      <c r="E192" s="201">
        <v>0.82105844574251929</v>
      </c>
      <c r="F192" s="201">
        <v>0</v>
      </c>
      <c r="G192" s="201">
        <v>0</v>
      </c>
      <c r="H192" s="201">
        <v>0</v>
      </c>
      <c r="I192" s="201">
        <v>0</v>
      </c>
      <c r="J192" s="201">
        <v>0</v>
      </c>
      <c r="K192" s="201">
        <v>0</v>
      </c>
      <c r="L192" s="201">
        <v>0</v>
      </c>
    </row>
    <row r="193" spans="1:14" ht="16.8">
      <c r="C193" t="s">
        <v>308</v>
      </c>
      <c r="E193" s="201">
        <v>0.7679065147103713</v>
      </c>
      <c r="F193" s="201">
        <v>1.9371656435515117</v>
      </c>
      <c r="G193" s="201">
        <v>1.9547226953643968</v>
      </c>
      <c r="H193" s="201">
        <v>1.9724388714470038</v>
      </c>
      <c r="I193" s="201">
        <v>13.932209297896886</v>
      </c>
      <c r="J193" s="201">
        <v>18.476860279771643</v>
      </c>
      <c r="K193" s="201">
        <v>0.81062265305823133</v>
      </c>
      <c r="L193" s="201">
        <v>0</v>
      </c>
    </row>
    <row r="194" spans="1:14">
      <c r="E194" s="173">
        <f>SUM(E191:E193)</f>
        <v>1.5889649604528906</v>
      </c>
      <c r="F194" s="173">
        <f t="shared" ref="F194:L194" si="37">SUM(F191:F193)</f>
        <v>1.9371656435515117</v>
      </c>
      <c r="G194" s="173">
        <f t="shared" si="37"/>
        <v>1.9547226953643968</v>
      </c>
      <c r="H194" s="173">
        <f t="shared" si="37"/>
        <v>1.9724388714470038</v>
      </c>
      <c r="I194" s="173">
        <f t="shared" si="37"/>
        <v>13.932209297896886</v>
      </c>
      <c r="J194" s="173">
        <f t="shared" si="37"/>
        <v>18.476860279771643</v>
      </c>
      <c r="K194" s="173">
        <f t="shared" si="37"/>
        <v>0.81062265305823133</v>
      </c>
      <c r="L194" s="173">
        <f t="shared" si="37"/>
        <v>0</v>
      </c>
    </row>
    <row r="195" spans="1:14">
      <c r="E195" s="173"/>
      <c r="F195" s="173"/>
      <c r="G195" s="173"/>
      <c r="H195" s="173"/>
      <c r="I195" s="173"/>
      <c r="J195" s="173"/>
      <c r="K195" s="173"/>
      <c r="L195" s="173"/>
    </row>
    <row r="196" spans="1:14" s="195" customFormat="1">
      <c r="E196" s="202"/>
      <c r="F196" s="202"/>
      <c r="G196" s="202"/>
      <c r="H196" s="202"/>
      <c r="I196" s="202"/>
      <c r="J196" s="202"/>
      <c r="K196" s="202"/>
      <c r="L196" s="202"/>
    </row>
    <row r="197" spans="1:14">
      <c r="E197" s="173"/>
      <c r="F197" s="173"/>
      <c r="G197" s="173"/>
      <c r="H197" s="173"/>
      <c r="I197" s="173"/>
      <c r="J197" s="173"/>
      <c r="K197" s="173"/>
      <c r="L197" s="173"/>
    </row>
    <row r="198" spans="1:14" ht="16.8">
      <c r="A198" s="86">
        <v>1</v>
      </c>
      <c r="B198" s="443"/>
      <c r="C198" s="75" t="s">
        <v>241</v>
      </c>
      <c r="E198" s="87">
        <f>E207</f>
        <v>28.552742984679846</v>
      </c>
      <c r="F198" s="88">
        <f t="shared" ref="F198:L198" si="38">F207</f>
        <v>28.402873231010378</v>
      </c>
      <c r="G198" s="88">
        <f t="shared" si="38"/>
        <v>30.327281876301544</v>
      </c>
      <c r="H198" s="88">
        <f t="shared" si="38"/>
        <v>28.830408843528669</v>
      </c>
      <c r="I198" s="88">
        <f t="shared" si="38"/>
        <v>26.600805821848581</v>
      </c>
      <c r="J198" s="88">
        <f t="shared" si="38"/>
        <v>28.613131846542398</v>
      </c>
      <c r="K198" s="88">
        <f t="shared" si="38"/>
        <v>31.160026938207565</v>
      </c>
      <c r="L198" s="89">
        <f t="shared" si="38"/>
        <v>28.95136654970014</v>
      </c>
    </row>
    <row r="199" spans="1:14" ht="16.8">
      <c r="A199" s="86">
        <f>+A198+1</f>
        <v>2</v>
      </c>
      <c r="B199" s="443"/>
      <c r="C199" s="75" t="s">
        <v>242</v>
      </c>
      <c r="E199" s="87">
        <f t="shared" ref="E199:L200" si="39">E208</f>
        <v>47.791489594678033</v>
      </c>
      <c r="F199" s="88">
        <f t="shared" si="39"/>
        <v>47.540638081851597</v>
      </c>
      <c r="G199" s="88">
        <f t="shared" si="39"/>
        <v>50.761707097766759</v>
      </c>
      <c r="H199" s="88">
        <f t="shared" si="39"/>
        <v>48.256245818312692</v>
      </c>
      <c r="I199" s="88">
        <f t="shared" si="39"/>
        <v>44.524343434431046</v>
      </c>
      <c r="J199" s="88">
        <f t="shared" si="39"/>
        <v>47.892568277902519</v>
      </c>
      <c r="K199" s="88">
        <f t="shared" si="39"/>
        <v>52.155553110475765</v>
      </c>
      <c r="L199" s="89">
        <f t="shared" si="39"/>
        <v>48.458704438802911</v>
      </c>
    </row>
    <row r="200" spans="1:14" ht="16.8">
      <c r="A200" s="86">
        <f>+A199+1</f>
        <v>3</v>
      </c>
      <c r="B200" s="443"/>
      <c r="C200" s="75" t="s">
        <v>243</v>
      </c>
      <c r="E200" s="87">
        <f t="shared" si="39"/>
        <v>76.344232579357879</v>
      </c>
      <c r="F200" s="88">
        <f t="shared" si="39"/>
        <v>75.943511312861972</v>
      </c>
      <c r="G200" s="88">
        <f t="shared" si="39"/>
        <v>81.0889889740683</v>
      </c>
      <c r="H200" s="88">
        <f t="shared" si="39"/>
        <v>77.086654661841365</v>
      </c>
      <c r="I200" s="88">
        <f t="shared" si="39"/>
        <v>71.125149256279627</v>
      </c>
      <c r="J200" s="88">
        <f t="shared" si="39"/>
        <v>76.505700124444914</v>
      </c>
      <c r="K200" s="88">
        <f t="shared" si="39"/>
        <v>83.31558004868333</v>
      </c>
      <c r="L200" s="89">
        <f t="shared" si="39"/>
        <v>77.410070988503051</v>
      </c>
    </row>
    <row r="203" spans="1:14" ht="13.8" thickBot="1">
      <c r="A203" s="38" t="s">
        <v>309</v>
      </c>
    </row>
    <row r="204" spans="1:14" ht="16.8">
      <c r="A204" s="68"/>
      <c r="B204" s="440"/>
      <c r="C204" s="69" t="s">
        <v>237</v>
      </c>
      <c r="E204" s="70">
        <v>41729</v>
      </c>
      <c r="F204" s="71">
        <v>42094</v>
      </c>
      <c r="G204" s="71">
        <v>42460</v>
      </c>
      <c r="H204" s="71">
        <v>42825</v>
      </c>
      <c r="I204" s="71">
        <v>43190</v>
      </c>
      <c r="J204" s="71">
        <v>43555</v>
      </c>
      <c r="K204" s="71">
        <v>43921</v>
      </c>
      <c r="L204" s="72">
        <v>44286</v>
      </c>
      <c r="M204" s="180" t="s">
        <v>238</v>
      </c>
      <c r="N204" s="181" t="s">
        <v>310</v>
      </c>
    </row>
    <row r="205" spans="1:14" ht="16.8">
      <c r="A205" s="74"/>
      <c r="B205" s="441"/>
      <c r="C205" s="75" t="s">
        <v>239</v>
      </c>
      <c r="E205" s="76" t="s">
        <v>240</v>
      </c>
      <c r="F205" s="77" t="s">
        <v>240</v>
      </c>
      <c r="G205" s="77" t="s">
        <v>240</v>
      </c>
      <c r="H205" s="77" t="s">
        <v>240</v>
      </c>
      <c r="I205" s="77" t="s">
        <v>240</v>
      </c>
      <c r="J205" s="77" t="s">
        <v>240</v>
      </c>
      <c r="K205" s="77" t="s">
        <v>240</v>
      </c>
      <c r="L205" s="78" t="s">
        <v>240</v>
      </c>
      <c r="M205" s="182" t="s">
        <v>240</v>
      </c>
      <c r="N205" s="79" t="s">
        <v>240</v>
      </c>
    </row>
    <row r="206" spans="1:14" ht="16.8">
      <c r="A206" s="80"/>
      <c r="B206" s="442"/>
      <c r="C206" s="81" t="s">
        <v>207</v>
      </c>
      <c r="E206" s="82"/>
      <c r="F206" s="83"/>
      <c r="G206" s="83"/>
      <c r="H206" s="83"/>
      <c r="I206" s="83"/>
      <c r="J206" s="83"/>
      <c r="K206" s="83"/>
      <c r="L206" s="84"/>
      <c r="M206" s="183"/>
      <c r="N206" s="85"/>
    </row>
    <row r="207" spans="1:14" ht="16.8">
      <c r="A207" s="86">
        <v>1</v>
      </c>
      <c r="B207" s="443"/>
      <c r="C207" s="75" t="s">
        <v>241</v>
      </c>
      <c r="E207" s="87">
        <v>28.552742984679846</v>
      </c>
      <c r="F207" s="88">
        <v>28.402873231010378</v>
      </c>
      <c r="G207" s="88">
        <v>30.327281876301544</v>
      </c>
      <c r="H207" s="88">
        <v>28.830408843528669</v>
      </c>
      <c r="I207" s="88">
        <v>26.600805821848581</v>
      </c>
      <c r="J207" s="88">
        <v>28.613131846542398</v>
      </c>
      <c r="K207" s="88">
        <v>31.160026938207565</v>
      </c>
      <c r="L207" s="89">
        <v>28.95136654970014</v>
      </c>
      <c r="M207" s="172">
        <v>231.43863809181914</v>
      </c>
      <c r="N207" s="90">
        <v>28.929829761477393</v>
      </c>
    </row>
    <row r="208" spans="1:14" ht="16.8">
      <c r="A208" s="86">
        <v>2</v>
      </c>
      <c r="B208" s="443"/>
      <c r="C208" s="75" t="s">
        <v>242</v>
      </c>
      <c r="E208" s="87">
        <v>47.791489594678033</v>
      </c>
      <c r="F208" s="88">
        <v>47.540638081851597</v>
      </c>
      <c r="G208" s="88">
        <v>50.761707097766759</v>
      </c>
      <c r="H208" s="88">
        <v>48.256245818312692</v>
      </c>
      <c r="I208" s="88">
        <v>44.524343434431046</v>
      </c>
      <c r="J208" s="88">
        <v>47.892568277902519</v>
      </c>
      <c r="K208" s="88">
        <v>52.155553110475765</v>
      </c>
      <c r="L208" s="89">
        <v>48.458704438802911</v>
      </c>
      <c r="M208" s="172">
        <v>387.38124985422132</v>
      </c>
      <c r="N208" s="90">
        <v>48.422656231777665</v>
      </c>
    </row>
    <row r="209" spans="1:14" ht="16.8">
      <c r="A209" s="86">
        <v>3</v>
      </c>
      <c r="B209" s="443"/>
      <c r="C209" s="75" t="s">
        <v>243</v>
      </c>
      <c r="E209" s="87">
        <v>76.344232579357879</v>
      </c>
      <c r="F209" s="88">
        <v>75.943511312861972</v>
      </c>
      <c r="G209" s="88">
        <v>81.0889889740683</v>
      </c>
      <c r="H209" s="88">
        <v>77.086654661841365</v>
      </c>
      <c r="I209" s="88">
        <v>71.125149256279627</v>
      </c>
      <c r="J209" s="88">
        <v>76.505700124444914</v>
      </c>
      <c r="K209" s="88">
        <v>83.31558004868333</v>
      </c>
      <c r="L209" s="89">
        <v>77.410070988503051</v>
      </c>
      <c r="M209" s="172">
        <v>618.81988794604047</v>
      </c>
      <c r="N209" s="90">
        <v>77.352485993255058</v>
      </c>
    </row>
    <row r="210" spans="1:14" ht="16.8">
      <c r="A210" s="80"/>
      <c r="B210" s="442"/>
      <c r="C210" s="81" t="s">
        <v>244</v>
      </c>
      <c r="E210" s="82"/>
      <c r="F210" s="83"/>
      <c r="G210" s="83"/>
      <c r="H210" s="83"/>
      <c r="I210" s="83"/>
      <c r="J210" s="83"/>
      <c r="K210" s="83"/>
      <c r="L210" s="84"/>
      <c r="M210" s="183"/>
      <c r="N210" s="85"/>
    </row>
    <row r="211" spans="1:14" ht="16.8">
      <c r="A211" s="86">
        <v>4</v>
      </c>
      <c r="B211" s="443"/>
      <c r="C211" s="75" t="s">
        <v>311</v>
      </c>
      <c r="E211" s="87">
        <v>53.000554975302876</v>
      </c>
      <c r="F211" s="88">
        <v>68.053208429157323</v>
      </c>
      <c r="G211" s="88">
        <v>82.254234605796668</v>
      </c>
      <c r="H211" s="88">
        <v>95.891001342750144</v>
      </c>
      <c r="I211" s="88">
        <v>104.78509285934528</v>
      </c>
      <c r="J211" s="88">
        <v>108.77780866232766</v>
      </c>
      <c r="K211" s="88">
        <v>112.29762127541157</v>
      </c>
      <c r="L211" s="89">
        <v>115.92998916652678</v>
      </c>
      <c r="M211" s="172">
        <v>0</v>
      </c>
      <c r="N211" s="90">
        <v>92.623688914577286</v>
      </c>
    </row>
    <row r="212" spans="1:14" ht="16.8">
      <c r="A212" s="86">
        <v>5</v>
      </c>
      <c r="B212" s="443"/>
      <c r="C212" s="75" t="s">
        <v>246</v>
      </c>
      <c r="E212" s="87">
        <v>0</v>
      </c>
      <c r="F212" s="88">
        <v>0</v>
      </c>
      <c r="G212" s="88">
        <v>0</v>
      </c>
      <c r="H212" s="88">
        <v>0</v>
      </c>
      <c r="I212" s="88">
        <v>0</v>
      </c>
      <c r="J212" s="88">
        <v>0</v>
      </c>
      <c r="K212" s="88">
        <v>0</v>
      </c>
      <c r="L212" s="89">
        <v>0</v>
      </c>
      <c r="M212" s="172">
        <v>0</v>
      </c>
      <c r="N212" s="90">
        <v>0</v>
      </c>
    </row>
    <row r="213" spans="1:14" ht="16.8">
      <c r="A213" s="86">
        <v>6</v>
      </c>
      <c r="B213" s="443"/>
      <c r="C213" s="75" t="s">
        <v>247</v>
      </c>
      <c r="E213" s="87">
        <v>53.000554975302876</v>
      </c>
      <c r="F213" s="88">
        <v>68.053208429157323</v>
      </c>
      <c r="G213" s="88">
        <v>82.254234605796668</v>
      </c>
      <c r="H213" s="88">
        <v>95.891001342750144</v>
      </c>
      <c r="I213" s="88">
        <v>104.78509285934528</v>
      </c>
      <c r="J213" s="88">
        <v>108.77780866232766</v>
      </c>
      <c r="K213" s="88">
        <v>112.29762127541157</v>
      </c>
      <c r="L213" s="89">
        <v>115.92998916652678</v>
      </c>
      <c r="M213" s="172">
        <v>0</v>
      </c>
      <c r="N213" s="90">
        <v>92.623688914577286</v>
      </c>
    </row>
    <row r="214" spans="1:14" ht="16.8">
      <c r="A214" s="86">
        <v>7</v>
      </c>
      <c r="B214" s="443"/>
      <c r="C214" s="75" t="s">
        <v>248</v>
      </c>
      <c r="E214" s="87">
        <v>25.597687944697277</v>
      </c>
      <c r="F214" s="88">
        <v>28.402873231010378</v>
      </c>
      <c r="G214" s="88">
        <v>30.327281876301544</v>
      </c>
      <c r="H214" s="88">
        <v>28.830408843528669</v>
      </c>
      <c r="I214" s="88">
        <v>26.600805821848581</v>
      </c>
      <c r="J214" s="88">
        <v>28.613131846542398</v>
      </c>
      <c r="K214" s="88">
        <v>31.160026938207565</v>
      </c>
      <c r="L214" s="89">
        <v>28.95136654970014</v>
      </c>
      <c r="M214" s="172">
        <v>228.48358305183655</v>
      </c>
      <c r="N214" s="90">
        <v>28.560447881479568</v>
      </c>
    </row>
    <row r="215" spans="1:14" ht="16.8">
      <c r="A215" s="86">
        <v>8</v>
      </c>
      <c r="B215" s="443"/>
      <c r="C215" s="75" t="s">
        <v>249</v>
      </c>
      <c r="E215" s="87">
        <v>-10.545034490842841</v>
      </c>
      <c r="F215" s="88">
        <v>-14.201847054371024</v>
      </c>
      <c r="G215" s="88">
        <v>-16.690515139348058</v>
      </c>
      <c r="H215" s="88">
        <v>-19.93631732693353</v>
      </c>
      <c r="I215" s="88">
        <v>-22.6080900188662</v>
      </c>
      <c r="J215" s="88">
        <v>-25.093319233458473</v>
      </c>
      <c r="K215" s="88">
        <v>-27.527659047092364</v>
      </c>
      <c r="L215" s="89">
        <v>-28.504602357448057</v>
      </c>
      <c r="M215" s="172">
        <v>-165.10738466836054</v>
      </c>
      <c r="N215" s="90">
        <v>-20.638423083545067</v>
      </c>
    </row>
    <row r="216" spans="1:14" ht="16.8">
      <c r="A216" s="86">
        <v>9</v>
      </c>
      <c r="B216" s="443"/>
      <c r="C216" s="75" t="s">
        <v>250</v>
      </c>
      <c r="E216" s="87">
        <v>68.053208429157323</v>
      </c>
      <c r="F216" s="88">
        <v>82.254234605796668</v>
      </c>
      <c r="G216" s="88">
        <v>95.891001342750144</v>
      </c>
      <c r="H216" s="88">
        <v>104.78509285934528</v>
      </c>
      <c r="I216" s="88">
        <v>108.77780866232766</v>
      </c>
      <c r="J216" s="88">
        <v>112.29762127541157</v>
      </c>
      <c r="K216" s="88">
        <v>115.92998916652678</v>
      </c>
      <c r="L216" s="186">
        <v>116.37675335877887</v>
      </c>
      <c r="M216" s="172">
        <v>0</v>
      </c>
      <c r="N216" s="90">
        <v>100.54571371251177</v>
      </c>
    </row>
    <row r="217" spans="1:14" ht="16.8">
      <c r="A217" s="80"/>
      <c r="B217" s="442"/>
      <c r="C217" s="81" t="s">
        <v>251</v>
      </c>
      <c r="E217" s="91">
        <v>0</v>
      </c>
      <c r="F217" s="92">
        <v>0</v>
      </c>
      <c r="G217" s="92">
        <v>0</v>
      </c>
      <c r="H217" s="92">
        <v>0</v>
      </c>
      <c r="I217" s="92">
        <v>0</v>
      </c>
      <c r="J217" s="92">
        <v>0</v>
      </c>
      <c r="K217" s="92">
        <v>0</v>
      </c>
      <c r="L217" s="93">
        <v>0</v>
      </c>
      <c r="M217" s="184">
        <v>0</v>
      </c>
      <c r="N217" s="94">
        <v>0</v>
      </c>
    </row>
    <row r="218" spans="1:14" ht="16.8">
      <c r="A218" s="86">
        <v>10</v>
      </c>
      <c r="B218" s="443"/>
      <c r="C218" s="75" t="s">
        <v>252</v>
      </c>
      <c r="E218" s="87">
        <v>53.201845223502282</v>
      </c>
      <c r="F218" s="88">
        <v>49.216910764481433</v>
      </c>
      <c r="G218" s="88">
        <v>47.400104616127415</v>
      </c>
      <c r="H218" s="88">
        <v>47.985029916447793</v>
      </c>
      <c r="I218" s="88">
        <v>45.882069994769701</v>
      </c>
      <c r="J218" s="88">
        <v>42.289132635887952</v>
      </c>
      <c r="K218" s="88">
        <v>42.507919174400172</v>
      </c>
      <c r="L218" s="89">
        <v>41.559488852106398</v>
      </c>
      <c r="M218" s="172">
        <v>370.04250117772312</v>
      </c>
      <c r="N218" s="90">
        <v>46.255312647215391</v>
      </c>
    </row>
    <row r="219" spans="1:14" ht="16.8">
      <c r="A219" s="86">
        <v>11</v>
      </c>
      <c r="B219" s="443"/>
      <c r="C219" s="75" t="s">
        <v>253</v>
      </c>
      <c r="E219" s="87">
        <v>0</v>
      </c>
      <c r="F219" s="88">
        <v>0</v>
      </c>
      <c r="G219" s="88">
        <v>0</v>
      </c>
      <c r="H219" s="88">
        <v>0</v>
      </c>
      <c r="I219" s="88">
        <v>0</v>
      </c>
      <c r="J219" s="88">
        <v>0</v>
      </c>
      <c r="K219" s="88">
        <v>0</v>
      </c>
      <c r="L219" s="89">
        <v>0</v>
      </c>
      <c r="M219" s="172">
        <v>0</v>
      </c>
      <c r="N219" s="90">
        <v>0</v>
      </c>
    </row>
    <row r="220" spans="1:14" ht="16.8">
      <c r="A220" s="86">
        <v>12</v>
      </c>
      <c r="B220" s="443"/>
      <c r="C220" s="75" t="s">
        <v>254</v>
      </c>
      <c r="E220" s="87">
        <v>10.545034490842841</v>
      </c>
      <c r="F220" s="88">
        <v>15.085767058982928</v>
      </c>
      <c r="G220" s="88">
        <v>17.717503602039272</v>
      </c>
      <c r="H220" s="88">
        <v>20.676395856230613</v>
      </c>
      <c r="I220" s="88">
        <v>23.325020499943864</v>
      </c>
      <c r="J220" s="88">
        <v>25.926130530046557</v>
      </c>
      <c r="K220" s="88">
        <v>27.88222184296994</v>
      </c>
      <c r="L220" s="89">
        <v>28.035747742989653</v>
      </c>
      <c r="M220" s="172">
        <v>169.19382162404565</v>
      </c>
      <c r="N220" s="90">
        <v>21.149227703005707</v>
      </c>
    </row>
    <row r="221" spans="1:14" ht="16.8">
      <c r="A221" s="86">
        <v>13</v>
      </c>
      <c r="B221" s="443"/>
      <c r="C221" s="75" t="s">
        <v>255</v>
      </c>
      <c r="E221" s="87">
        <v>2.71532887430656</v>
      </c>
      <c r="F221" s="88">
        <v>3.4800460320406099</v>
      </c>
      <c r="G221" s="88">
        <v>4.0154503003214259</v>
      </c>
      <c r="H221" s="88">
        <v>4.4148526331317184</v>
      </c>
      <c r="I221" s="88">
        <v>4.6753317846606652</v>
      </c>
      <c r="J221" s="88">
        <v>4.7508860321070223</v>
      </c>
      <c r="K221" s="88">
        <v>4.6843281404023367</v>
      </c>
      <c r="L221" s="89">
        <v>4.562746918621075</v>
      </c>
      <c r="M221" s="172">
        <v>33.298970715591416</v>
      </c>
      <c r="N221" s="90">
        <v>4.162371339448927</v>
      </c>
    </row>
    <row r="222" spans="1:14" ht="16.8">
      <c r="A222" s="86">
        <v>14</v>
      </c>
      <c r="B222" s="443"/>
      <c r="C222" s="75" t="s">
        <v>256</v>
      </c>
      <c r="E222" s="87">
        <v>0</v>
      </c>
      <c r="F222" s="88">
        <v>0</v>
      </c>
      <c r="G222" s="88">
        <v>0</v>
      </c>
      <c r="H222" s="88">
        <v>0</v>
      </c>
      <c r="I222" s="88">
        <v>0</v>
      </c>
      <c r="J222" s="88">
        <v>0</v>
      </c>
      <c r="K222" s="88">
        <v>0</v>
      </c>
      <c r="L222" s="89">
        <v>0</v>
      </c>
      <c r="M222" s="172">
        <v>0</v>
      </c>
      <c r="N222" s="90">
        <v>0</v>
      </c>
    </row>
    <row r="223" spans="1:14" ht="16.8">
      <c r="A223" s="86">
        <v>15</v>
      </c>
      <c r="B223" s="443"/>
      <c r="C223" s="75" t="s">
        <v>257</v>
      </c>
      <c r="E223" s="87">
        <v>-0.43181154987245485</v>
      </c>
      <c r="F223" s="88">
        <v>-0.39947195996305995</v>
      </c>
      <c r="G223" s="88">
        <v>-0.34734317043598018</v>
      </c>
      <c r="H223" s="88">
        <v>-0.3193206524905472</v>
      </c>
      <c r="I223" s="88">
        <v>-0.31265626882301373</v>
      </c>
      <c r="J223" s="88">
        <v>-0.30799379948941219</v>
      </c>
      <c r="K223" s="88">
        <v>-0.32570922921081308</v>
      </c>
      <c r="L223" s="89">
        <v>-0.31552026220892354</v>
      </c>
      <c r="M223" s="172">
        <v>-2.7598268924942051</v>
      </c>
      <c r="N223" s="90">
        <v>-0.34497836156177564</v>
      </c>
    </row>
    <row r="224" spans="1:14" ht="16.8">
      <c r="A224" s="86">
        <v>16</v>
      </c>
      <c r="B224" s="443"/>
      <c r="C224" s="75" t="s">
        <v>258</v>
      </c>
      <c r="E224" s="87">
        <v>5.0764622252258459E-2</v>
      </c>
      <c r="F224" s="88">
        <v>4.5939681659865533E-2</v>
      </c>
      <c r="G224" s="88">
        <v>4.0903649916555401E-2</v>
      </c>
      <c r="H224" s="88">
        <v>3.5647291784475482E-2</v>
      </c>
      <c r="I224" s="88">
        <v>3.0160967984117021E-2</v>
      </c>
      <c r="J224" s="88">
        <v>2.4434617517492901E-2</v>
      </c>
      <c r="K224" s="88">
        <v>1.8457739217953989E-2</v>
      </c>
      <c r="L224" s="89">
        <v>1.2219372492810243E-2</v>
      </c>
      <c r="M224" s="172">
        <v>0.25852794282552904</v>
      </c>
      <c r="N224" s="90">
        <v>3.2315992853191131E-2</v>
      </c>
    </row>
    <row r="225" spans="1:14" ht="16.8">
      <c r="A225" s="86">
        <v>17</v>
      </c>
      <c r="B225" s="443"/>
      <c r="C225" s="75" t="s">
        <v>259</v>
      </c>
      <c r="E225" s="87">
        <v>0.8125503950547055</v>
      </c>
      <c r="F225" s="88">
        <v>0</v>
      </c>
      <c r="G225" s="88">
        <v>0</v>
      </c>
      <c r="H225" s="88">
        <v>0</v>
      </c>
      <c r="I225" s="88">
        <v>0</v>
      </c>
      <c r="J225" s="88">
        <v>0</v>
      </c>
      <c r="K225" s="88">
        <v>0</v>
      </c>
      <c r="L225" s="89">
        <v>0</v>
      </c>
      <c r="M225" s="172">
        <v>0.8125503950547055</v>
      </c>
      <c r="N225" s="90">
        <v>0.10156879938183819</v>
      </c>
    </row>
    <row r="226" spans="1:14" ht="16.8">
      <c r="A226" s="80"/>
      <c r="B226" s="442"/>
      <c r="C226" s="81" t="s">
        <v>260</v>
      </c>
      <c r="E226" s="91"/>
      <c r="F226" s="92"/>
      <c r="G226" s="92"/>
      <c r="H226" s="92"/>
      <c r="I226" s="92"/>
      <c r="J226" s="92"/>
      <c r="K226" s="92"/>
      <c r="L226" s="93"/>
      <c r="M226" s="184"/>
      <c r="N226" s="94"/>
    </row>
    <row r="227" spans="1:14" ht="16.8">
      <c r="A227" s="86">
        <v>18</v>
      </c>
      <c r="B227" s="443"/>
      <c r="C227" s="75" t="s">
        <v>252</v>
      </c>
      <c r="E227" s="87">
        <v>47.791489594678033</v>
      </c>
      <c r="F227" s="88">
        <v>47.540638081851597</v>
      </c>
      <c r="G227" s="88">
        <v>50.761707097766759</v>
      </c>
      <c r="H227" s="88">
        <v>48.256245818312692</v>
      </c>
      <c r="I227" s="88">
        <v>44.524343434431046</v>
      </c>
      <c r="J227" s="88">
        <v>47.892568277902519</v>
      </c>
      <c r="K227" s="88">
        <v>52.155553110475765</v>
      </c>
      <c r="L227" s="89">
        <v>48.458704438802911</v>
      </c>
      <c r="M227" s="172">
        <v>387.38124985422132</v>
      </c>
      <c r="N227" s="90">
        <v>48.422656231777665</v>
      </c>
    </row>
    <row r="228" spans="1:14" ht="16.8">
      <c r="A228" s="86">
        <v>19</v>
      </c>
      <c r="B228" s="443"/>
      <c r="C228" s="75" t="s">
        <v>253</v>
      </c>
      <c r="E228" s="87">
        <v>0</v>
      </c>
      <c r="F228" s="88">
        <v>0</v>
      </c>
      <c r="G228" s="88">
        <v>0</v>
      </c>
      <c r="H228" s="88">
        <v>0</v>
      </c>
      <c r="I228" s="88">
        <v>0</v>
      </c>
      <c r="J228" s="88">
        <v>0</v>
      </c>
      <c r="K228" s="88">
        <v>0</v>
      </c>
      <c r="L228" s="89">
        <v>0</v>
      </c>
      <c r="M228" s="172">
        <v>0</v>
      </c>
      <c r="N228" s="90">
        <v>0</v>
      </c>
    </row>
    <row r="229" spans="1:14" ht="16.8">
      <c r="A229" s="86">
        <v>20</v>
      </c>
      <c r="B229" s="443"/>
      <c r="C229" s="75" t="s">
        <v>254</v>
      </c>
      <c r="E229" s="87">
        <v>10.545034490842841</v>
      </c>
      <c r="F229" s="88">
        <v>14.201847054371024</v>
      </c>
      <c r="G229" s="88">
        <v>16.690515139348058</v>
      </c>
      <c r="H229" s="88">
        <v>19.93631732693353</v>
      </c>
      <c r="I229" s="88">
        <v>22.6080900188662</v>
      </c>
      <c r="J229" s="88">
        <v>25.093319233458473</v>
      </c>
      <c r="K229" s="88">
        <v>27.527659047092364</v>
      </c>
      <c r="L229" s="89">
        <v>28.504602357448057</v>
      </c>
      <c r="M229" s="172">
        <v>165.10738466836054</v>
      </c>
      <c r="N229" s="90">
        <v>20.638423083545067</v>
      </c>
    </row>
    <row r="230" spans="1:14" ht="16.8">
      <c r="A230" s="86">
        <v>21</v>
      </c>
      <c r="B230" s="443"/>
      <c r="C230" s="75" t="s">
        <v>255</v>
      </c>
      <c r="E230" s="87">
        <v>2.5856519874024189</v>
      </c>
      <c r="F230" s="88">
        <v>3.1227757490219226</v>
      </c>
      <c r="G230" s="88">
        <v>3.6118966321221047</v>
      </c>
      <c r="H230" s="88">
        <v>3.9690559270793466</v>
      </c>
      <c r="I230" s="88">
        <v>4.1233900531688539</v>
      </c>
      <c r="J230" s="88">
        <v>4.0623992918420244</v>
      </c>
      <c r="K230" s="88">
        <v>3.9667173294011446</v>
      </c>
      <c r="L230" s="89">
        <v>3.6943531381373362</v>
      </c>
      <c r="M230" s="172">
        <v>29.136240108175155</v>
      </c>
      <c r="N230" s="90">
        <v>3.6420300135218944</v>
      </c>
    </row>
    <row r="231" spans="1:14" ht="16.8">
      <c r="A231" s="86">
        <v>22</v>
      </c>
      <c r="B231" s="443"/>
      <c r="C231" s="75" t="s">
        <v>256</v>
      </c>
      <c r="E231" s="87">
        <v>0</v>
      </c>
      <c r="F231" s="88">
        <v>0</v>
      </c>
      <c r="G231" s="88">
        <v>0</v>
      </c>
      <c r="H231" s="88">
        <v>0</v>
      </c>
      <c r="I231" s="88">
        <v>0</v>
      </c>
      <c r="J231" s="88">
        <v>0</v>
      </c>
      <c r="K231" s="88">
        <v>0</v>
      </c>
      <c r="L231" s="89">
        <v>0</v>
      </c>
      <c r="M231" s="172">
        <v>0</v>
      </c>
      <c r="N231" s="90">
        <v>0</v>
      </c>
    </row>
    <row r="232" spans="1:14" ht="16.8">
      <c r="A232" s="86">
        <v>23</v>
      </c>
      <c r="B232" s="443"/>
      <c r="C232" s="75" t="s">
        <v>257</v>
      </c>
      <c r="E232" s="87">
        <v>-0.43181154987245485</v>
      </c>
      <c r="F232" s="88">
        <v>-0.39947195996305995</v>
      </c>
      <c r="G232" s="88">
        <v>-0.34734317043598018</v>
      </c>
      <c r="H232" s="88">
        <v>-0.3193206524905472</v>
      </c>
      <c r="I232" s="88">
        <v>-0.31265626882301373</v>
      </c>
      <c r="J232" s="88">
        <v>-0.30799379948941219</v>
      </c>
      <c r="K232" s="88">
        <v>-0.32570922921081308</v>
      </c>
      <c r="L232" s="89">
        <v>-0.31552026220892354</v>
      </c>
      <c r="M232" s="172">
        <v>-2.7598268924942051</v>
      </c>
      <c r="N232" s="90">
        <v>-0.34497836156177564</v>
      </c>
    </row>
    <row r="233" spans="1:14" ht="16.8">
      <c r="A233" s="86">
        <v>24</v>
      </c>
      <c r="B233" s="443"/>
      <c r="C233" s="75" t="s">
        <v>258</v>
      </c>
      <c r="E233" s="87">
        <v>8.3082796001737652E-2</v>
      </c>
      <c r="F233" s="88">
        <v>7.976923323919452E-2</v>
      </c>
      <c r="G233" s="88">
        <v>0.75266180631023005</v>
      </c>
      <c r="H233" s="88">
        <v>0.74924415240021436</v>
      </c>
      <c r="I233" s="88">
        <v>0.74577657614235293</v>
      </c>
      <c r="J233" s="88">
        <v>1.3290209839409051</v>
      </c>
      <c r="K233" s="88">
        <v>1.3256617820097758</v>
      </c>
      <c r="L233" s="89">
        <v>1.3224848501677049</v>
      </c>
      <c r="M233" s="172">
        <v>6.3877021802121146</v>
      </c>
      <c r="N233" s="90">
        <v>0.79846277252651432</v>
      </c>
    </row>
    <row r="234" spans="1:14" ht="16.8">
      <c r="A234" s="86">
        <v>25</v>
      </c>
      <c r="B234" s="443"/>
      <c r="C234" s="75" t="s">
        <v>259</v>
      </c>
      <c r="E234" s="87">
        <v>1.1202426479507486</v>
      </c>
      <c r="F234" s="88">
        <v>0.12489219146906574</v>
      </c>
      <c r="G234" s="88">
        <v>0.55902249622441413</v>
      </c>
      <c r="H234" s="88">
        <v>0.44762373035181957</v>
      </c>
      <c r="I234" s="88">
        <v>0.50801235306137282</v>
      </c>
      <c r="J234" s="88">
        <v>1.9845524065947573</v>
      </c>
      <c r="K234" s="88">
        <v>2.1861161167313701</v>
      </c>
      <c r="L234" s="89">
        <v>1.429778789366595</v>
      </c>
      <c r="M234" s="172">
        <v>8.3602407317501424</v>
      </c>
      <c r="N234" s="90">
        <v>1.0450300914687678</v>
      </c>
    </row>
    <row r="235" spans="1:14" ht="16.8">
      <c r="A235" s="80"/>
      <c r="B235" s="442"/>
      <c r="C235" s="81" t="s">
        <v>261</v>
      </c>
      <c r="E235" s="91"/>
      <c r="F235" s="92"/>
      <c r="G235" s="92"/>
      <c r="H235" s="92"/>
      <c r="I235" s="92"/>
      <c r="J235" s="92"/>
      <c r="K235" s="92"/>
      <c r="L235" s="93"/>
      <c r="M235" s="91"/>
      <c r="N235" s="184"/>
    </row>
    <row r="236" spans="1:14" ht="16.8">
      <c r="A236" s="86">
        <v>26</v>
      </c>
      <c r="B236" s="443"/>
      <c r="C236" s="75" t="s">
        <v>262</v>
      </c>
      <c r="E236" s="87">
        <v>66.893712056086201</v>
      </c>
      <c r="F236" s="88">
        <v>67.429191577201763</v>
      </c>
      <c r="G236" s="88">
        <v>68.82661899796868</v>
      </c>
      <c r="H236" s="88">
        <v>72.79260504510404</v>
      </c>
      <c r="I236" s="88">
        <v>73.599926978535336</v>
      </c>
      <c r="J236" s="88">
        <v>72.682590016069625</v>
      </c>
      <c r="K236" s="88">
        <v>74.76721766777959</v>
      </c>
      <c r="L236" s="89">
        <v>73.854682624001015</v>
      </c>
      <c r="M236" s="172">
        <v>570.84654496274629</v>
      </c>
      <c r="N236" s="90">
        <v>71.355818120343287</v>
      </c>
    </row>
    <row r="237" spans="1:14" ht="16.8">
      <c r="A237" s="86">
        <v>27</v>
      </c>
      <c r="B237" s="443"/>
      <c r="C237" s="75" t="s">
        <v>312</v>
      </c>
      <c r="E237" s="87">
        <v>0</v>
      </c>
      <c r="F237" s="88">
        <v>-0.74723548170331355</v>
      </c>
      <c r="G237" s="88">
        <v>-13.787280588025247</v>
      </c>
      <c r="H237" s="88">
        <v>1.0011710527519853</v>
      </c>
      <c r="I237" s="88">
        <v>3.0471602441516268</v>
      </c>
      <c r="J237" s="88">
        <v>-7.3017659828011006E-2</v>
      </c>
      <c r="K237" s="88">
        <v>28.75184452629523</v>
      </c>
      <c r="L237" s="88">
        <v>5.2876418830586118</v>
      </c>
      <c r="M237" s="172">
        <v>23.480283976700882</v>
      </c>
      <c r="N237" s="90">
        <v>2.9350354970876102</v>
      </c>
    </row>
    <row r="238" spans="1:14" ht="16.8">
      <c r="A238" s="86">
        <v>28</v>
      </c>
      <c r="B238" s="443"/>
      <c r="C238" s="75" t="s">
        <v>264</v>
      </c>
      <c r="E238" s="96">
        <v>66.893712056086201</v>
      </c>
      <c r="F238" s="88">
        <v>66.68195609549845</v>
      </c>
      <c r="G238" s="88">
        <v>55.039338409943433</v>
      </c>
      <c r="H238" s="88">
        <v>73.793776097856025</v>
      </c>
      <c r="I238" s="88">
        <v>76.647087222686963</v>
      </c>
      <c r="J238" s="88">
        <v>72.609572356241614</v>
      </c>
      <c r="K238" s="88">
        <v>103.51906219407482</v>
      </c>
      <c r="L238" s="88">
        <v>79.142324507059627</v>
      </c>
      <c r="M238" s="172">
        <v>594.32682893944707</v>
      </c>
      <c r="N238" s="90">
        <v>74.290853617430884</v>
      </c>
    </row>
    <row r="239" spans="1:14" ht="16.8">
      <c r="A239" s="86">
        <v>29</v>
      </c>
      <c r="B239" s="443"/>
      <c r="C239" s="75" t="s">
        <v>265</v>
      </c>
      <c r="E239" s="96">
        <v>0</v>
      </c>
      <c r="F239" s="88">
        <v>0</v>
      </c>
      <c r="G239" s="88">
        <v>0</v>
      </c>
      <c r="H239" s="88">
        <v>0</v>
      </c>
      <c r="I239" s="88">
        <v>0</v>
      </c>
      <c r="J239" s="88">
        <v>0</v>
      </c>
      <c r="K239" s="88">
        <v>0</v>
      </c>
      <c r="L239" s="88">
        <v>0</v>
      </c>
      <c r="M239" s="172">
        <v>0</v>
      </c>
      <c r="N239" s="90">
        <v>0</v>
      </c>
    </row>
    <row r="240" spans="1:14" ht="16.8">
      <c r="A240" s="86">
        <v>30</v>
      </c>
      <c r="B240" s="443"/>
      <c r="C240" s="75" t="s">
        <v>277</v>
      </c>
      <c r="E240" s="96">
        <v>94.224999999999994</v>
      </c>
      <c r="F240" s="88">
        <v>87.484999999999999</v>
      </c>
      <c r="G240" s="88">
        <v>79.322999999999993</v>
      </c>
      <c r="H240" s="88">
        <v>58.722999999999999</v>
      </c>
      <c r="I240" s="88">
        <v>3.3000000000000002E-2</v>
      </c>
      <c r="J240" s="88">
        <v>3.3000000000000002E-2</v>
      </c>
      <c r="K240" s="88">
        <v>0</v>
      </c>
      <c r="L240" s="88">
        <v>0</v>
      </c>
      <c r="M240" s="172">
        <v>319.822</v>
      </c>
      <c r="N240" s="90">
        <v>39.97775</v>
      </c>
    </row>
    <row r="241" spans="1:14" ht="16.8">
      <c r="A241" s="86">
        <v>31</v>
      </c>
      <c r="B241" s="443"/>
      <c r="C241" s="75" t="s">
        <v>266</v>
      </c>
      <c r="E241" s="96">
        <v>0</v>
      </c>
      <c r="F241" s="88">
        <v>0</v>
      </c>
      <c r="G241" s="88">
        <v>0</v>
      </c>
      <c r="H241" s="88">
        <v>0</v>
      </c>
      <c r="I241" s="88">
        <v>0</v>
      </c>
      <c r="J241" s="88">
        <v>0</v>
      </c>
      <c r="K241" s="88">
        <v>0</v>
      </c>
      <c r="L241" s="88">
        <v>0</v>
      </c>
      <c r="M241" s="172">
        <v>0</v>
      </c>
      <c r="N241" s="90">
        <v>0</v>
      </c>
    </row>
    <row r="242" spans="1:14" ht="16.8">
      <c r="A242" s="86">
        <v>32</v>
      </c>
      <c r="B242" s="443"/>
      <c r="C242" s="75" t="s">
        <v>267</v>
      </c>
      <c r="E242" s="96">
        <v>161.1187120560862</v>
      </c>
      <c r="F242" s="88">
        <v>154.16695609549845</v>
      </c>
      <c r="G242" s="88">
        <v>134.36233840994342</v>
      </c>
      <c r="H242" s="88">
        <v>132.51677609785602</v>
      </c>
      <c r="I242" s="88">
        <v>76.680087222686964</v>
      </c>
      <c r="J242" s="88">
        <v>72.642572356241615</v>
      </c>
      <c r="K242" s="88">
        <v>103.51906219407482</v>
      </c>
      <c r="L242" s="88">
        <v>79.142324507059627</v>
      </c>
      <c r="M242" s="172">
        <v>914.14882893944718</v>
      </c>
      <c r="N242" s="90">
        <v>114.2686036174309</v>
      </c>
    </row>
    <row r="243" spans="1:14" ht="16.8">
      <c r="A243" s="80"/>
      <c r="B243" s="442"/>
      <c r="C243" s="81" t="s">
        <v>268</v>
      </c>
      <c r="E243" s="91"/>
      <c r="F243" s="92"/>
      <c r="G243" s="92"/>
      <c r="H243" s="92"/>
      <c r="I243" s="92"/>
      <c r="J243" s="92"/>
      <c r="K243" s="92"/>
      <c r="L243" s="93"/>
      <c r="M243" s="91"/>
      <c r="N243" s="184"/>
    </row>
    <row r="244" spans="1:14" ht="16.8">
      <c r="A244" s="86">
        <v>33</v>
      </c>
      <c r="B244" s="443"/>
      <c r="C244" s="75" t="s">
        <v>268</v>
      </c>
      <c r="E244" s="87">
        <v>61.69368996700333</v>
      </c>
      <c r="F244" s="88">
        <v>64.670450349989736</v>
      </c>
      <c r="G244" s="88">
        <v>72.028460001335603</v>
      </c>
      <c r="H244" s="88">
        <v>73.039166302587063</v>
      </c>
      <c r="I244" s="88">
        <v>72.196956166846789</v>
      </c>
      <c r="J244" s="88">
        <v>80.053866394249283</v>
      </c>
      <c r="K244" s="88">
        <v>86.835998156499613</v>
      </c>
      <c r="L244" s="89">
        <v>83.094403311713691</v>
      </c>
      <c r="M244" s="172">
        <v>593.61299065022513</v>
      </c>
      <c r="N244" s="90">
        <v>74.201623831278141</v>
      </c>
    </row>
    <row r="245" spans="1:14" ht="16.8">
      <c r="A245" s="86">
        <v>34</v>
      </c>
      <c r="B245" s="443"/>
      <c r="C245" s="75" t="s">
        <v>269</v>
      </c>
      <c r="E245" s="87">
        <v>61.69368996700333</v>
      </c>
      <c r="F245" s="88">
        <v>64.670450349989736</v>
      </c>
      <c r="G245" s="88">
        <v>72.028460001335603</v>
      </c>
      <c r="H245" s="88">
        <v>73.039166302587063</v>
      </c>
      <c r="I245" s="88">
        <v>72.196956166846789</v>
      </c>
      <c r="J245" s="88">
        <v>83.516750232903988</v>
      </c>
      <c r="K245" s="88">
        <v>87.060523242458643</v>
      </c>
      <c r="L245" s="89">
        <v>83.831274554342102</v>
      </c>
      <c r="M245" s="172">
        <v>598.03727081746729</v>
      </c>
      <c r="N245" s="90">
        <v>74.754658852183411</v>
      </c>
    </row>
    <row r="246" spans="1:14" ht="16.8">
      <c r="A246" s="80"/>
      <c r="B246" s="442"/>
      <c r="C246" s="81" t="s">
        <v>270</v>
      </c>
      <c r="E246" s="91">
        <v>0</v>
      </c>
      <c r="F246" s="92">
        <v>0</v>
      </c>
      <c r="G246" s="92">
        <v>0</v>
      </c>
      <c r="H246" s="92">
        <v>0</v>
      </c>
      <c r="I246" s="92">
        <v>0</v>
      </c>
      <c r="J246" s="92">
        <v>0</v>
      </c>
      <c r="K246" s="92">
        <v>0</v>
      </c>
      <c r="L246" s="93">
        <v>0</v>
      </c>
      <c r="M246" s="91">
        <v>0</v>
      </c>
      <c r="N246" s="184">
        <v>0</v>
      </c>
    </row>
    <row r="247" spans="1:14" ht="16.8">
      <c r="A247" s="86">
        <v>35</v>
      </c>
      <c r="B247" s="443"/>
      <c r="C247" s="98">
        <v>41729</v>
      </c>
      <c r="E247" s="96">
        <v>66.893712056086201</v>
      </c>
      <c r="F247" s="88">
        <v>67.429191577201763</v>
      </c>
      <c r="G247" s="88">
        <v>68.82661899796868</v>
      </c>
      <c r="H247" s="88">
        <v>72.79260504510404</v>
      </c>
      <c r="I247" s="88">
        <v>73.599926978535336</v>
      </c>
      <c r="J247" s="88">
        <v>72.682590016069625</v>
      </c>
      <c r="K247" s="88">
        <v>74.76721766777959</v>
      </c>
      <c r="L247" s="88">
        <v>73.854682624001015</v>
      </c>
      <c r="M247" s="172">
        <v>570.84654496274629</v>
      </c>
      <c r="N247" s="90">
        <v>71.355818120343287</v>
      </c>
    </row>
    <row r="248" spans="1:14" ht="16.8">
      <c r="A248" s="86">
        <v>36</v>
      </c>
      <c r="B248" s="443"/>
      <c r="C248" s="98">
        <v>42094</v>
      </c>
      <c r="E248" s="96">
        <v>66.796735883512227</v>
      </c>
      <c r="F248" s="88">
        <v>66.783174975622529</v>
      </c>
      <c r="G248" s="88">
        <v>68.182623498776877</v>
      </c>
      <c r="H248" s="88">
        <v>72.15443075945754</v>
      </c>
      <c r="I248" s="88">
        <v>72.971424921021438</v>
      </c>
      <c r="J248" s="88">
        <v>72.068903992562696</v>
      </c>
      <c r="K248" s="88">
        <v>74.172338586378103</v>
      </c>
      <c r="L248" s="88">
        <v>73.280139063951196</v>
      </c>
      <c r="M248" s="172">
        <v>566.40977168128256</v>
      </c>
      <c r="N248" s="90">
        <v>70.80122146016032</v>
      </c>
    </row>
    <row r="249" spans="1:14" ht="16.8">
      <c r="A249" s="86">
        <v>37</v>
      </c>
      <c r="B249" s="443"/>
      <c r="C249" s="98">
        <v>42460</v>
      </c>
      <c r="E249" s="96">
        <v>56.072237526593305</v>
      </c>
      <c r="F249" s="88">
        <v>65.879521568407782</v>
      </c>
      <c r="G249" s="88">
        <v>67.650824291300381</v>
      </c>
      <c r="H249" s="88">
        <v>71.653542758445468</v>
      </c>
      <c r="I249" s="88">
        <v>72.504852690916707</v>
      </c>
      <c r="J249" s="88">
        <v>71.641157721995995</v>
      </c>
      <c r="K249" s="88">
        <v>73.786951437896022</v>
      </c>
      <c r="L249" s="88">
        <v>73.363944740522044</v>
      </c>
      <c r="M249" s="172">
        <v>552.55303273607774</v>
      </c>
      <c r="N249" s="90">
        <v>69.069129092009717</v>
      </c>
    </row>
    <row r="250" spans="1:14" ht="16.8">
      <c r="A250" s="86">
        <v>38</v>
      </c>
      <c r="B250" s="443"/>
      <c r="C250" s="98">
        <v>42825</v>
      </c>
      <c r="E250" s="96">
        <v>60.674058064698116</v>
      </c>
      <c r="F250" s="88">
        <v>63.235277253687492</v>
      </c>
      <c r="G250" s="88">
        <v>67.598571668977101</v>
      </c>
      <c r="H250" s="88">
        <v>71.504272869027488</v>
      </c>
      <c r="I250" s="88">
        <v>72.349284730862379</v>
      </c>
      <c r="J250" s="88">
        <v>71.483701912443678</v>
      </c>
      <c r="K250" s="88">
        <v>73.896764020246806</v>
      </c>
      <c r="L250" s="88">
        <v>73.550914623963251</v>
      </c>
      <c r="M250" s="172">
        <v>554.29284514390633</v>
      </c>
      <c r="N250" s="90">
        <v>69.286605642988292</v>
      </c>
    </row>
    <row r="251" spans="1:14" ht="16.8">
      <c r="A251" s="86">
        <v>39</v>
      </c>
      <c r="B251" s="443"/>
      <c r="C251" s="98">
        <v>43190</v>
      </c>
      <c r="E251" s="96">
        <v>61.631001083027449</v>
      </c>
      <c r="F251" s="88">
        <v>64.580050668098323</v>
      </c>
      <c r="G251" s="88">
        <v>71.067319227436826</v>
      </c>
      <c r="H251" s="88">
        <v>72.289647688351081</v>
      </c>
      <c r="I251" s="88">
        <v>69.424509509752369</v>
      </c>
      <c r="J251" s="88">
        <v>72.388898337783473</v>
      </c>
      <c r="K251" s="88">
        <v>76.412735900188977</v>
      </c>
      <c r="L251" s="88">
        <v>74.688497080108618</v>
      </c>
      <c r="M251" s="172">
        <v>562.48265949474717</v>
      </c>
      <c r="N251" s="90">
        <v>70.310332436843396</v>
      </c>
    </row>
    <row r="252" spans="1:14" ht="16.8">
      <c r="A252" s="86">
        <v>40</v>
      </c>
      <c r="B252" s="443"/>
      <c r="C252" s="98">
        <v>43555</v>
      </c>
      <c r="E252" s="96">
        <v>61.700796457816757</v>
      </c>
      <c r="F252" s="88">
        <v>64.664700302156106</v>
      </c>
      <c r="G252" s="88">
        <v>71.188832943008734</v>
      </c>
      <c r="H252" s="88">
        <v>71.82030202524102</v>
      </c>
      <c r="I252" s="88">
        <v>69.395845960375354</v>
      </c>
      <c r="J252" s="88">
        <v>72.825139528207629</v>
      </c>
      <c r="K252" s="88">
        <v>77.228979422381826</v>
      </c>
      <c r="L252" s="88">
        <v>75.080497038060713</v>
      </c>
      <c r="M252" s="172">
        <v>563.90509367724815</v>
      </c>
      <c r="N252" s="90">
        <v>70.488136709656018</v>
      </c>
    </row>
    <row r="253" spans="1:14" ht="16.8">
      <c r="A253" s="86">
        <v>41</v>
      </c>
      <c r="B253" s="443"/>
      <c r="C253" s="98">
        <v>43921</v>
      </c>
      <c r="E253" s="96">
        <v>61.69368996700333</v>
      </c>
      <c r="F253" s="88">
        <v>64.670450349989736</v>
      </c>
      <c r="G253" s="88">
        <v>72.028460001335603</v>
      </c>
      <c r="H253" s="88">
        <v>73.039166302587063</v>
      </c>
      <c r="I253" s="88">
        <v>72.196956166846789</v>
      </c>
      <c r="J253" s="88">
        <v>83.516750232903988</v>
      </c>
      <c r="K253" s="88">
        <v>87.060523242458643</v>
      </c>
      <c r="L253" s="88">
        <v>83.831274554342102</v>
      </c>
      <c r="M253" s="172">
        <v>598.03727081746729</v>
      </c>
      <c r="N253" s="90">
        <v>74.754658852183411</v>
      </c>
    </row>
    <row r="254" spans="1:14" ht="17.399999999999999" thickBot="1">
      <c r="A254" s="103">
        <v>42</v>
      </c>
      <c r="B254" s="444"/>
      <c r="C254" s="211">
        <v>44286</v>
      </c>
      <c r="E254" s="214">
        <v>61.69368996700333</v>
      </c>
      <c r="F254" s="106">
        <v>64.670450349989736</v>
      </c>
      <c r="G254" s="106">
        <v>72.028460001335603</v>
      </c>
      <c r="H254" s="106">
        <v>73.039166302587063</v>
      </c>
      <c r="I254" s="106">
        <v>72.196956166846789</v>
      </c>
      <c r="J254" s="106">
        <v>80.053866394249283</v>
      </c>
      <c r="K254" s="106">
        <v>86.835998156499613</v>
      </c>
      <c r="L254" s="106">
        <v>83.094403311713691</v>
      </c>
      <c r="M254" s="215">
        <v>593.61299065022513</v>
      </c>
      <c r="N254" s="108">
        <v>74.201623831278141</v>
      </c>
    </row>
    <row r="255" spans="1:14" ht="16.8">
      <c r="A255" s="80"/>
      <c r="B255" s="442"/>
      <c r="C255" s="81" t="s">
        <v>313</v>
      </c>
      <c r="E255" s="91"/>
      <c r="F255" s="92"/>
      <c r="G255" s="92"/>
      <c r="H255" s="92"/>
      <c r="I255" s="92"/>
      <c r="J255" s="97"/>
      <c r="K255" s="92"/>
      <c r="L255" s="93"/>
      <c r="M255" s="95"/>
      <c r="N255" s="184"/>
    </row>
    <row r="256" spans="1:14" ht="16.8">
      <c r="A256" s="86">
        <v>43</v>
      </c>
      <c r="B256" s="443"/>
      <c r="C256" s="98">
        <v>41729</v>
      </c>
      <c r="E256" s="96">
        <v>0</v>
      </c>
      <c r="F256" s="88">
        <v>0</v>
      </c>
      <c r="G256" s="88">
        <v>0</v>
      </c>
      <c r="H256" s="88">
        <v>0</v>
      </c>
      <c r="I256" s="88">
        <v>0</v>
      </c>
      <c r="J256" s="88">
        <v>0</v>
      </c>
      <c r="K256" s="88">
        <v>0</v>
      </c>
      <c r="L256" s="89">
        <v>0</v>
      </c>
      <c r="M256" s="90">
        <v>0</v>
      </c>
      <c r="N256" s="90">
        <v>0</v>
      </c>
    </row>
    <row r="257" spans="1:14" ht="16.8">
      <c r="A257" s="86">
        <v>44</v>
      </c>
      <c r="B257" s="443"/>
      <c r="C257" s="98">
        <v>42094</v>
      </c>
      <c r="E257" s="96">
        <v>0</v>
      </c>
      <c r="F257" s="88">
        <v>-0.74723548170331355</v>
      </c>
      <c r="G257" s="88">
        <v>0</v>
      </c>
      <c r="H257" s="88">
        <v>0</v>
      </c>
      <c r="I257" s="88">
        <v>0</v>
      </c>
      <c r="J257" s="88">
        <v>0</v>
      </c>
      <c r="K257" s="88">
        <v>0</v>
      </c>
      <c r="L257" s="89">
        <v>0</v>
      </c>
      <c r="M257" s="90">
        <v>-0.74723548170331355</v>
      </c>
      <c r="N257" s="90">
        <v>0</v>
      </c>
    </row>
    <row r="258" spans="1:14" ht="16.8">
      <c r="A258" s="86">
        <v>45</v>
      </c>
      <c r="B258" s="443"/>
      <c r="C258" s="98">
        <v>42460</v>
      </c>
      <c r="E258" s="96">
        <v>0</v>
      </c>
      <c r="F258" s="88">
        <v>-0.74723548170331355</v>
      </c>
      <c r="G258" s="88">
        <v>-13.787280588025247</v>
      </c>
      <c r="H258" s="88">
        <v>0</v>
      </c>
      <c r="I258" s="88">
        <v>0</v>
      </c>
      <c r="J258" s="88">
        <v>0</v>
      </c>
      <c r="K258" s="88">
        <v>0</v>
      </c>
      <c r="L258" s="89">
        <v>0</v>
      </c>
      <c r="M258" s="90">
        <v>-14.534516069728561</v>
      </c>
      <c r="N258" s="90">
        <v>0</v>
      </c>
    </row>
    <row r="259" spans="1:14" ht="16.8">
      <c r="A259" s="86">
        <v>46</v>
      </c>
      <c r="B259" s="443"/>
      <c r="C259" s="98">
        <v>42825</v>
      </c>
      <c r="E259" s="96">
        <v>0</v>
      </c>
      <c r="F259" s="88">
        <v>-0.74723548170331355</v>
      </c>
      <c r="G259" s="88">
        <v>-13.787280588025247</v>
      </c>
      <c r="H259" s="88">
        <v>1.0011710527519853</v>
      </c>
      <c r="I259" s="88">
        <v>0</v>
      </c>
      <c r="J259" s="88">
        <v>0</v>
      </c>
      <c r="K259" s="88">
        <v>0</v>
      </c>
      <c r="L259" s="89">
        <v>0</v>
      </c>
      <c r="M259" s="90">
        <v>-13.533345016976575</v>
      </c>
      <c r="N259" s="90">
        <v>0</v>
      </c>
    </row>
    <row r="260" spans="1:14" ht="16.8">
      <c r="A260" s="86">
        <v>47</v>
      </c>
      <c r="B260" s="443"/>
      <c r="C260" s="98">
        <v>43190</v>
      </c>
      <c r="E260" s="96">
        <v>0</v>
      </c>
      <c r="F260" s="88">
        <v>-0.74723548170331355</v>
      </c>
      <c r="G260" s="88">
        <v>-13.787280588025247</v>
      </c>
      <c r="H260" s="88">
        <v>1.0011710527519853</v>
      </c>
      <c r="I260" s="88">
        <v>3.0471602441516268</v>
      </c>
      <c r="J260" s="88">
        <v>0</v>
      </c>
      <c r="K260" s="88">
        <v>0</v>
      </c>
      <c r="L260" s="89">
        <v>0</v>
      </c>
      <c r="M260" s="90">
        <v>-10.486184772824949</v>
      </c>
      <c r="N260" s="90">
        <v>0</v>
      </c>
    </row>
    <row r="261" spans="1:14" ht="16.8">
      <c r="A261" s="86">
        <v>48</v>
      </c>
      <c r="B261" s="443"/>
      <c r="C261" s="98">
        <v>43555</v>
      </c>
      <c r="E261" s="96">
        <v>0</v>
      </c>
      <c r="F261" s="88">
        <v>-0.74723548170331355</v>
      </c>
      <c r="G261" s="88">
        <v>-13.787280588025247</v>
      </c>
      <c r="H261" s="88">
        <v>1.0011710527519853</v>
      </c>
      <c r="I261" s="88">
        <v>3.0471602441516268</v>
      </c>
      <c r="J261" s="88">
        <v>-7.3017659828011006E-2</v>
      </c>
      <c r="K261" s="88">
        <v>0</v>
      </c>
      <c r="L261" s="89">
        <v>0</v>
      </c>
      <c r="M261" s="90">
        <v>-10.55920243265296</v>
      </c>
      <c r="N261" s="90">
        <v>0</v>
      </c>
    </row>
    <row r="262" spans="1:14" ht="16.8">
      <c r="A262" s="86">
        <v>49</v>
      </c>
      <c r="B262" s="443"/>
      <c r="C262" s="98">
        <v>43921</v>
      </c>
      <c r="E262" s="96">
        <v>0</v>
      </c>
      <c r="F262" s="88">
        <v>-0.74723548170331355</v>
      </c>
      <c r="G262" s="88">
        <v>-13.787280588025247</v>
      </c>
      <c r="H262" s="88">
        <v>1.0011710527519853</v>
      </c>
      <c r="I262" s="88">
        <v>3.0471602441516268</v>
      </c>
      <c r="J262" s="88">
        <v>-7.3017659828011006E-2</v>
      </c>
      <c r="K262" s="88">
        <v>28.75184452629523</v>
      </c>
      <c r="L262" s="89">
        <v>0</v>
      </c>
      <c r="M262" s="90">
        <v>18.19264209364227</v>
      </c>
      <c r="N262" s="90">
        <v>0</v>
      </c>
    </row>
    <row r="263" spans="1:14" ht="16.8">
      <c r="A263" s="86">
        <v>50</v>
      </c>
      <c r="B263" s="443"/>
      <c r="C263" s="98">
        <v>44286</v>
      </c>
      <c r="E263" s="96">
        <v>0</v>
      </c>
      <c r="F263" s="88">
        <v>-0.74723548170331355</v>
      </c>
      <c r="G263" s="88">
        <v>-13.787280588025247</v>
      </c>
      <c r="H263" s="88">
        <v>1.0011710527519853</v>
      </c>
      <c r="I263" s="88">
        <v>3.0471602441516268</v>
      </c>
      <c r="J263" s="88">
        <v>-7.3017659828011006E-2</v>
      </c>
      <c r="K263" s="88">
        <v>28.75184452629523</v>
      </c>
      <c r="L263" s="89">
        <v>5.2876418830586118</v>
      </c>
      <c r="M263" s="90">
        <v>23.480283976700882</v>
      </c>
      <c r="N263" s="90">
        <v>0</v>
      </c>
    </row>
    <row r="264" spans="1:14" ht="16.8">
      <c r="A264" s="80"/>
      <c r="B264" s="442"/>
      <c r="C264" s="81" t="s">
        <v>314</v>
      </c>
      <c r="E264" s="91"/>
      <c r="F264" s="92"/>
      <c r="G264" s="92"/>
      <c r="H264" s="92"/>
      <c r="I264" s="92"/>
      <c r="J264" s="97"/>
      <c r="K264" s="92"/>
      <c r="L264" s="93"/>
      <c r="M264" s="91"/>
      <c r="N264" s="184"/>
    </row>
    <row r="265" spans="1:14" ht="16.8">
      <c r="A265" s="86">
        <v>51</v>
      </c>
      <c r="B265" s="443"/>
      <c r="C265" s="75" t="s">
        <v>273</v>
      </c>
      <c r="E265" s="87">
        <v>59.100616854912431</v>
      </c>
      <c r="F265" s="88">
        <v>73.47707644757466</v>
      </c>
      <c r="G265" s="88">
        <v>87.16492626539015</v>
      </c>
      <c r="H265" s="88">
        <v>98.304790763575141</v>
      </c>
      <c r="I265" s="88">
        <v>104.72101722333598</v>
      </c>
      <c r="J265" s="88">
        <v>108.51150028292554</v>
      </c>
      <c r="K265" s="88">
        <v>112.13335206787687</v>
      </c>
      <c r="L265" s="89">
        <v>114.33201201198719</v>
      </c>
      <c r="M265" s="90">
        <v>757.74529191757802</v>
      </c>
      <c r="N265" s="90">
        <v>94.718161489697252</v>
      </c>
    </row>
    <row r="266" spans="1:14" ht="16.8">
      <c r="A266" s="86">
        <v>52</v>
      </c>
      <c r="B266" s="443"/>
      <c r="C266" s="75" t="s">
        <v>26</v>
      </c>
      <c r="E266" s="216">
        <v>0.625</v>
      </c>
      <c r="F266" s="217">
        <v>0.625</v>
      </c>
      <c r="G266" s="217">
        <v>0.625</v>
      </c>
      <c r="H266" s="217">
        <v>0.625</v>
      </c>
      <c r="I266" s="217">
        <v>0.625</v>
      </c>
      <c r="J266" s="217">
        <v>0.625</v>
      </c>
      <c r="K266" s="217">
        <v>0.625</v>
      </c>
      <c r="L266" s="218">
        <v>0.625</v>
      </c>
      <c r="M266" s="219">
        <v>0.625</v>
      </c>
      <c r="N266" s="219">
        <v>0.625</v>
      </c>
    </row>
    <row r="267" spans="1:14" ht="16.8">
      <c r="A267" s="86">
        <v>53</v>
      </c>
      <c r="B267" s="443"/>
      <c r="C267" s="75" t="s">
        <v>274</v>
      </c>
      <c r="E267" s="87">
        <v>22.162731320592162</v>
      </c>
      <c r="F267" s="88">
        <v>27.553903667840498</v>
      </c>
      <c r="G267" s="88">
        <v>32.686847349521308</v>
      </c>
      <c r="H267" s="88">
        <v>36.864296536340674</v>
      </c>
      <c r="I267" s="88">
        <v>39.27038145875099</v>
      </c>
      <c r="J267" s="88">
        <v>40.691812606097074</v>
      </c>
      <c r="K267" s="88">
        <v>42.050007025453823</v>
      </c>
      <c r="L267" s="89">
        <v>42.874504504495192</v>
      </c>
      <c r="M267" s="90">
        <v>284.1544844690917</v>
      </c>
      <c r="N267" s="90">
        <v>35.519310558636462</v>
      </c>
    </row>
    <row r="268" spans="1:14" ht="16.8">
      <c r="A268" s="86">
        <v>54</v>
      </c>
      <c r="B268" s="443"/>
      <c r="C268" s="75" t="s">
        <v>275</v>
      </c>
      <c r="E268" s="87">
        <v>1.0785862576021519</v>
      </c>
      <c r="F268" s="88">
        <v>1.2491102996087691</v>
      </c>
      <c r="G268" s="88">
        <v>1.3891910123546554</v>
      </c>
      <c r="H268" s="88">
        <v>1.4622837626081804</v>
      </c>
      <c r="I268" s="88">
        <v>1.4530041139737868</v>
      </c>
      <c r="J268" s="88">
        <v>1.2953560346274235</v>
      </c>
      <c r="K268" s="88">
        <v>1.1073168516702843</v>
      </c>
      <c r="L268" s="89">
        <v>0.77888683183166274</v>
      </c>
      <c r="M268" s="90">
        <v>9.8137351642769151</v>
      </c>
      <c r="N268" s="90">
        <v>1.2267168955346144</v>
      </c>
    </row>
    <row r="269" spans="1:14" ht="17.399999999999999" thickBot="1">
      <c r="A269" s="103">
        <v>55</v>
      </c>
      <c r="B269" s="444"/>
      <c r="C269" s="104" t="s">
        <v>276</v>
      </c>
      <c r="E269" s="105">
        <v>1.507065729800267</v>
      </c>
      <c r="F269" s="106">
        <v>1.8736654494131535</v>
      </c>
      <c r="G269" s="106">
        <v>2.2227056197674493</v>
      </c>
      <c r="H269" s="106">
        <v>2.5067721644711662</v>
      </c>
      <c r="I269" s="106">
        <v>2.6703859391950671</v>
      </c>
      <c r="J269" s="106">
        <v>2.7670432572146009</v>
      </c>
      <c r="K269" s="106">
        <v>2.8594004777308601</v>
      </c>
      <c r="L269" s="107">
        <v>2.9154663063056736</v>
      </c>
      <c r="M269" s="108">
        <v>19.322504943898238</v>
      </c>
      <c r="N269" s="108">
        <v>2.4153131179872798</v>
      </c>
    </row>
    <row r="274" spans="3:12">
      <c r="C274" t="s">
        <v>315</v>
      </c>
      <c r="E274" s="173">
        <v>26.481374584366876</v>
      </c>
    </row>
    <row r="275" spans="3:12">
      <c r="C275" t="s">
        <v>316</v>
      </c>
      <c r="E275" s="173">
        <v>-2.9550550399825672</v>
      </c>
    </row>
    <row r="281" spans="3:12">
      <c r="C281" t="s">
        <v>317</v>
      </c>
      <c r="D281" s="354"/>
      <c r="E281" s="354">
        <v>4.3749999999999997E-2</v>
      </c>
      <c r="F281" s="354">
        <v>4.2499999999999996E-2</v>
      </c>
      <c r="G281" s="354">
        <v>4.1437500000000002E-2</v>
      </c>
      <c r="H281" s="354">
        <v>4.0375000000000001E-2</v>
      </c>
      <c r="I281" s="354">
        <v>3.9375E-2</v>
      </c>
      <c r="J281" s="354">
        <v>3.7437499999999999E-2</v>
      </c>
      <c r="K281" s="354">
        <v>3.5375000000000004E-2</v>
      </c>
      <c r="L281" s="354">
        <v>3.2312500000000001E-2</v>
      </c>
    </row>
    <row r="282" spans="3:12">
      <c r="C282" t="s">
        <v>318</v>
      </c>
      <c r="D282" s="354"/>
      <c r="E282" s="354">
        <f>1/((1+E281)^0.5)</f>
        <v>0.97881756846479273</v>
      </c>
      <c r="F282" s="354">
        <f t="shared" ref="F282:L282" si="40">1/((1+F281)^0.5)</f>
        <v>0.97940421374878361</v>
      </c>
      <c r="G282" s="354">
        <f t="shared" si="40"/>
        <v>0.97990369244851017</v>
      </c>
      <c r="H282" s="354">
        <f t="shared" si="40"/>
        <v>0.98040393610421173</v>
      </c>
      <c r="I282" s="354">
        <f t="shared" si="40"/>
        <v>0.98087545419620847</v>
      </c>
      <c r="J282" s="354">
        <f t="shared" si="40"/>
        <v>0.98179095980986875</v>
      </c>
      <c r="K282" s="354">
        <f t="shared" si="40"/>
        <v>0.98276835274460494</v>
      </c>
      <c r="L282" s="354">
        <f t="shared" si="40"/>
        <v>0.9842250333476017</v>
      </c>
    </row>
    <row r="283" spans="3:12">
      <c r="C283" t="s">
        <v>319</v>
      </c>
      <c r="D283" s="354"/>
      <c r="E283" s="354">
        <f>1/(1+E281)</f>
        <v>0.95808383233532934</v>
      </c>
      <c r="F283" s="354">
        <f t="shared" ref="F283:I283" si="41">1/(1+F281)</f>
        <v>0.95923261390887293</v>
      </c>
      <c r="G283" s="354">
        <f t="shared" si="41"/>
        <v>0.96021124647422429</v>
      </c>
      <c r="H283" s="354">
        <f t="shared" si="41"/>
        <v>0.96119187792863148</v>
      </c>
      <c r="I283" s="354">
        <f t="shared" si="41"/>
        <v>0.96211665664461821</v>
      </c>
      <c r="J283" s="354">
        <f>1/(1+J281)</f>
        <v>0.96391348876438343</v>
      </c>
      <c r="K283" s="354">
        <f t="shared" ref="K283:L283" si="42">1/(1+K281)</f>
        <v>0.96583363515634435</v>
      </c>
      <c r="L283" s="354">
        <f t="shared" si="42"/>
        <v>0.96869891626808746</v>
      </c>
    </row>
    <row r="284" spans="3:12">
      <c r="C284" t="s">
        <v>320</v>
      </c>
      <c r="D284" s="354"/>
      <c r="E284" s="354">
        <f>E282</f>
        <v>0.97881756846479273</v>
      </c>
      <c r="F284" s="354">
        <f>E283*F282</f>
        <v>0.9383513425138047</v>
      </c>
      <c r="G284" s="354">
        <f t="shared" ref="G284:I284" si="43">F283*G282</f>
        <v>0.93995558028634074</v>
      </c>
      <c r="H284" s="354">
        <f t="shared" si="43"/>
        <v>0.94139488553486084</v>
      </c>
      <c r="I284" s="354">
        <f t="shared" si="43"/>
        <v>0.94280951983295302</v>
      </c>
      <c r="J284" s="354">
        <f>J282</f>
        <v>0.98179095980986875</v>
      </c>
      <c r="K284" s="354">
        <f t="shared" ref="K284:L284" si="44">K282</f>
        <v>0.98276835274460494</v>
      </c>
      <c r="L284" s="354">
        <f t="shared" si="44"/>
        <v>0.9842250333476017</v>
      </c>
    </row>
    <row r="285" spans="3:12">
      <c r="C285" t="s">
        <v>321</v>
      </c>
      <c r="D285" s="354"/>
      <c r="E285" s="354">
        <f>1+E281</f>
        <v>1.04375</v>
      </c>
      <c r="F285" s="354">
        <f t="shared" ref="F285:I285" si="45">1+F281</f>
        <v>1.0425</v>
      </c>
      <c r="G285" s="354">
        <f t="shared" si="45"/>
        <v>1.0414375</v>
      </c>
      <c r="H285" s="354">
        <f t="shared" si="45"/>
        <v>1.040375</v>
      </c>
      <c r="I285">
        <f t="shared" si="45"/>
        <v>1.0393749999999999</v>
      </c>
      <c r="J285" s="354">
        <f>1+J281</f>
        <v>1.0374375</v>
      </c>
      <c r="K285" s="354">
        <f t="shared" ref="K285:L285" si="46">1+K281</f>
        <v>1.0353749999999999</v>
      </c>
      <c r="L285" s="354">
        <f t="shared" si="46"/>
        <v>1.0323125</v>
      </c>
    </row>
    <row r="286" spans="3:12">
      <c r="C286" t="s">
        <v>322</v>
      </c>
      <c r="D286" s="354"/>
      <c r="E286" s="473">
        <f>PRODUCT(E285:K285)</f>
        <v>1.3162171784705263</v>
      </c>
      <c r="F286" s="473">
        <f>PRODUCT(F285:K285)</f>
        <v>1.2610463985346363</v>
      </c>
      <c r="G286" s="473">
        <f>PRODUCT(G285:K285)</f>
        <v>1.2096368331267491</v>
      </c>
      <c r="H286" s="473">
        <f>PRODUCT(H285:K285)</f>
        <v>1.1615068913177689</v>
      </c>
      <c r="I286" s="473">
        <f>PRODUCT(I285:K285)</f>
        <v>1.1164309900927734</v>
      </c>
      <c r="J286" s="473">
        <f>PRODUCT(K285)</f>
        <v>1.0353749999999999</v>
      </c>
      <c r="K286" s="473">
        <f t="shared" ref="K286:L286" si="47">PRODUCT(K285)</f>
        <v>1.0353749999999999</v>
      </c>
      <c r="L286" s="473">
        <f t="shared" si="47"/>
        <v>1.0323125</v>
      </c>
    </row>
  </sheetData>
  <pageMargins left="0.7" right="0.7" top="0.75" bottom="0.75" header="0.3" footer="0.3"/>
  <pageSetup paperSize="9" orientation="portrait" r:id="rId1"/>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7" tint="-0.249977111117893"/>
  </sheetPr>
  <dimension ref="A1:Y225"/>
  <sheetViews>
    <sheetView zoomScale="70" zoomScaleNormal="70" workbookViewId="0">
      <pane xSplit="2" ySplit="4" topLeftCell="C170" activePane="bottomRight" state="frozen"/>
      <selection pane="topRight" activeCell="H35" sqref="H35"/>
      <selection pane="bottomLeft" activeCell="H35" sqref="H35"/>
      <selection pane="bottomRight" activeCell="D216" sqref="D216"/>
    </sheetView>
  </sheetViews>
  <sheetFormatPr defaultRowHeight="13.2"/>
  <cols>
    <col min="1" max="1" width="3.44140625" bestFit="1" customWidth="1"/>
    <col min="2" max="2" width="54.5546875" customWidth="1"/>
    <col min="3" max="3" width="1.88671875" customWidth="1"/>
    <col min="4" max="11" width="12.109375" customWidth="1"/>
    <col min="12" max="12" width="10.109375" bestFit="1" customWidth="1"/>
    <col min="13" max="13" width="17.109375" bestFit="1" customWidth="1"/>
    <col min="22" max="22" width="10.109375" bestFit="1" customWidth="1"/>
  </cols>
  <sheetData>
    <row r="1" spans="2:22">
      <c r="M1" t="s">
        <v>196</v>
      </c>
      <c r="N1" s="55">
        <f>RPI!E2</f>
        <v>1.167</v>
      </c>
      <c r="O1" s="55">
        <f>RPI!F2</f>
        <v>1.19</v>
      </c>
      <c r="P1" s="55">
        <f>RPI!G2</f>
        <v>1.202</v>
      </c>
      <c r="Q1" s="55">
        <f>RPI!H2</f>
        <v>1.228</v>
      </c>
      <c r="R1" s="55">
        <f>RPI!I2</f>
        <v>1.274</v>
      </c>
      <c r="S1" s="55">
        <f>RPI!J2</f>
        <v>1.3129999999999999</v>
      </c>
      <c r="T1" s="55">
        <f>RPI!K2</f>
        <v>1.349</v>
      </c>
      <c r="U1" s="55">
        <f>RPI!L2</f>
        <v>1.3879999999999999</v>
      </c>
    </row>
    <row r="2" spans="2: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2:22" ht="13.8" thickBot="1">
      <c r="M3" t="s">
        <v>198</v>
      </c>
      <c r="N3" s="55">
        <f>RPI!E4</f>
        <v>1.1495010041711728</v>
      </c>
      <c r="O3" s="55"/>
      <c r="P3" s="55"/>
      <c r="Q3" s="55"/>
      <c r="R3" s="55"/>
      <c r="S3" s="55"/>
      <c r="T3" s="55"/>
      <c r="U3" s="55"/>
    </row>
    <row r="4" spans="2: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6" spans="2:22">
      <c r="B6" s="38" t="s">
        <v>426</v>
      </c>
    </row>
    <row r="7" spans="2:22">
      <c r="B7" t="s">
        <v>204</v>
      </c>
      <c r="D7" s="196">
        <v>37.780581733294433</v>
      </c>
      <c r="E7" s="196">
        <v>38.765251453029641</v>
      </c>
      <c r="F7" s="196">
        <v>38.935734544913359</v>
      </c>
      <c r="G7" s="196">
        <v>37.194366497168517</v>
      </c>
      <c r="H7" s="196">
        <v>37.663363739263652</v>
      </c>
      <c r="I7" s="196">
        <v>38.166072267177746</v>
      </c>
      <c r="J7" s="196">
        <v>38.821758225100261</v>
      </c>
      <c r="K7" s="196">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52.370551845660252</v>
      </c>
      <c r="U7" s="53">
        <f t="shared" si="0"/>
        <v>54.711741677180051</v>
      </c>
      <c r="V7" s="53">
        <f>SUM(N7:U7)</f>
        <v>387.87349490683522</v>
      </c>
    </row>
    <row r="8" spans="2:22">
      <c r="B8" t="s">
        <v>206</v>
      </c>
      <c r="D8" s="196">
        <v>33.734064323833628</v>
      </c>
      <c r="E8" s="196">
        <v>27.39346022326454</v>
      </c>
      <c r="F8" s="196">
        <v>18.58964637976759</v>
      </c>
      <c r="G8" s="196">
        <v>15.690053681814245</v>
      </c>
      <c r="H8" s="196">
        <v>14.117331818843784</v>
      </c>
      <c r="I8" s="196">
        <v>12.8424465294623</v>
      </c>
      <c r="J8" s="196">
        <v>15.120708694627556</v>
      </c>
      <c r="K8" s="196">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20.397836029052574</v>
      </c>
      <c r="U8" s="53">
        <f t="shared" si="0"/>
        <v>17.818221907061567</v>
      </c>
      <c r="V8" s="53">
        <f>SUM(N8:U8)</f>
        <v>186.64168256785229</v>
      </c>
    </row>
    <row r="9" spans="2:22">
      <c r="B9" s="38" t="s">
        <v>207</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72.768387874712829</v>
      </c>
      <c r="U9" s="57">
        <f t="shared" si="2"/>
        <v>72.529963584241614</v>
      </c>
      <c r="V9" s="57">
        <f t="shared" si="2"/>
        <v>574.51517747468756</v>
      </c>
    </row>
    <row r="10" spans="2:22">
      <c r="D10" s="53"/>
      <c r="E10" s="53"/>
      <c r="F10" s="53"/>
      <c r="G10" s="53"/>
      <c r="H10" s="53"/>
      <c r="I10" s="53"/>
      <c r="J10" s="53"/>
      <c r="K10" s="53"/>
      <c r="N10" s="53"/>
      <c r="O10" s="53"/>
      <c r="P10" s="53"/>
      <c r="Q10" s="53"/>
      <c r="R10" s="53"/>
      <c r="S10" s="53"/>
      <c r="T10" s="53"/>
      <c r="U10" s="53"/>
      <c r="V10" s="53"/>
    </row>
    <row r="11" spans="2:22">
      <c r="B11" s="38" t="s">
        <v>427</v>
      </c>
      <c r="D11" s="53"/>
      <c r="E11" s="53"/>
      <c r="F11" s="53"/>
      <c r="G11" s="53"/>
      <c r="H11" s="53"/>
      <c r="I11" s="53"/>
      <c r="J11" s="53"/>
      <c r="K11" s="53"/>
      <c r="N11" s="53"/>
      <c r="O11" s="53"/>
      <c r="P11" s="53"/>
      <c r="Q11" s="53"/>
      <c r="R11" s="53"/>
      <c r="S11" s="53"/>
      <c r="T11" s="53"/>
      <c r="U11" s="53"/>
      <c r="V11" s="53"/>
    </row>
    <row r="12" spans="2:22">
      <c r="B12" t="s">
        <v>210</v>
      </c>
      <c r="D12" s="196">
        <v>7.1559568178343396</v>
      </c>
      <c r="E12" s="196">
        <v>4.9583696669587889</v>
      </c>
      <c r="F12" s="196">
        <v>6.5268703309989426</v>
      </c>
      <c r="G12" s="196">
        <v>8.9978253214108026</v>
      </c>
      <c r="H12" s="196">
        <v>8.0555897404504044</v>
      </c>
      <c r="I12" s="196">
        <v>5.1722575344308828</v>
      </c>
      <c r="J12" s="196">
        <v>4.1277105565726</v>
      </c>
      <c r="K12" s="196">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6.7911741427077486</v>
      </c>
      <c r="T12" s="53">
        <f t="shared" si="4"/>
        <v>5.5682815408164377</v>
      </c>
      <c r="U12" s="53">
        <f t="shared" si="4"/>
        <v>5.2576284971921297</v>
      </c>
      <c r="V12" s="53">
        <f>SUM(N12:U12)</f>
        <v>61.025994652696959</v>
      </c>
    </row>
    <row r="13" spans="2:22">
      <c r="B13" t="s">
        <v>212</v>
      </c>
      <c r="D13" s="196">
        <v>6.3163703255204871</v>
      </c>
      <c r="E13" s="196">
        <v>7.5041818587940385</v>
      </c>
      <c r="F13" s="196">
        <v>11.666765702990109</v>
      </c>
      <c r="G13" s="196">
        <v>14.771156922046991</v>
      </c>
      <c r="H13" s="196">
        <v>13.45775622663338</v>
      </c>
      <c r="I13" s="196">
        <v>11.373748646385858</v>
      </c>
      <c r="J13" s="196">
        <v>9.8338467639554441</v>
      </c>
      <c r="K13" s="196">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13.265859284575894</v>
      </c>
      <c r="U13" s="53">
        <f t="shared" si="4"/>
        <v>14.360284159338896</v>
      </c>
      <c r="V13" s="53">
        <f>SUM(N13:U13)</f>
        <v>108.16867050646547</v>
      </c>
    </row>
    <row r="14" spans="2:22">
      <c r="B14" s="38" t="s">
        <v>428</v>
      </c>
      <c r="N14" s="53"/>
      <c r="O14" s="53"/>
      <c r="P14" s="53"/>
      <c r="Q14" s="53"/>
      <c r="R14" s="53"/>
      <c r="S14" s="53"/>
      <c r="T14" s="53"/>
      <c r="U14" s="53"/>
      <c r="V14" s="53"/>
    </row>
    <row r="15" spans="2:22">
      <c r="B15" t="s">
        <v>215</v>
      </c>
      <c r="D15" s="196">
        <v>25.459307795372435</v>
      </c>
      <c r="E15" s="196">
        <v>14.41280752104567</v>
      </c>
      <c r="F15" s="196">
        <v>9.6173202079823099</v>
      </c>
      <c r="G15" s="196">
        <v>60.446777499796859</v>
      </c>
      <c r="H15" s="196">
        <v>84.880198528547851</v>
      </c>
      <c r="I15" s="196">
        <v>8.5249336835233791</v>
      </c>
      <c r="J15" s="196">
        <v>0.23152878737450566</v>
      </c>
      <c r="K15" s="196">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0.31233233416820816</v>
      </c>
      <c r="U15" s="53">
        <f t="shared" si="5"/>
        <v>0</v>
      </c>
      <c r="V15" s="53">
        <f>SUM(N15:U15)</f>
        <v>252.29385799299362</v>
      </c>
    </row>
    <row r="16" spans="2:22">
      <c r="B16" t="s">
        <v>217</v>
      </c>
      <c r="D16" s="196">
        <v>97.132518315217595</v>
      </c>
      <c r="E16" s="196">
        <v>109.87971241227922</v>
      </c>
      <c r="F16" s="196">
        <v>114.43672637584547</v>
      </c>
      <c r="G16" s="196">
        <v>123.96977718673423</v>
      </c>
      <c r="H16" s="196">
        <v>138.27838395379189</v>
      </c>
      <c r="I16" s="196">
        <v>117.50342084599842</v>
      </c>
      <c r="J16" s="196">
        <v>101.87556011564801</v>
      </c>
      <c r="K16" s="196">
        <v>91.157975802007329</v>
      </c>
      <c r="L16" s="53">
        <f>SUM(D16:K16)</f>
        <v>894.23407500752216</v>
      </c>
      <c r="N16" s="53">
        <f t="shared" ref="N16" si="6">D16*N$1</f>
        <v>113.35364887385894</v>
      </c>
      <c r="O16" s="53">
        <f t="shared" ref="O16" si="7">E16*O$1</f>
        <v>130.75685777061227</v>
      </c>
      <c r="P16" s="53">
        <f t="shared" ref="P16" si="8">F16*P$1</f>
        <v>137.55294510376623</v>
      </c>
      <c r="Q16" s="53">
        <f t="shared" ref="Q16" si="9">G16*Q$1</f>
        <v>152.23488638530964</v>
      </c>
      <c r="R16" s="53">
        <f t="shared" ref="R16" si="10">H16*R$1</f>
        <v>176.16666115713087</v>
      </c>
      <c r="S16" s="53">
        <f t="shared" ref="S16" si="11">I16*S$1</f>
        <v>154.28199157079592</v>
      </c>
      <c r="T16" s="53">
        <f t="shared" ref="T16" si="12">J16*T$1</f>
        <v>137.43013059600918</v>
      </c>
      <c r="U16" s="53">
        <f t="shared" ref="U16" si="13">K16*U$1</f>
        <v>126.52727041318616</v>
      </c>
      <c r="V16" s="53">
        <f>SUM(N16:U16)</f>
        <v>1128.3043918706692</v>
      </c>
    </row>
    <row r="17" spans="1:22">
      <c r="B17" t="s">
        <v>204</v>
      </c>
      <c r="D17" s="196">
        <v>64.482672010544718</v>
      </c>
      <c r="E17" s="196">
        <v>65.237874215180156</v>
      </c>
      <c r="F17" s="196">
        <v>70.772894725011071</v>
      </c>
      <c r="G17" s="196">
        <v>79.368338266410362</v>
      </c>
      <c r="H17" s="196">
        <v>84.317479134504765</v>
      </c>
      <c r="I17" s="196">
        <v>84.641346358196444</v>
      </c>
      <c r="J17" s="196">
        <v>80.728014781566515</v>
      </c>
      <c r="K17" s="196">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108.90209194033322</v>
      </c>
      <c r="U17" s="53">
        <f t="shared" si="5"/>
        <v>107.55621733133628</v>
      </c>
      <c r="V17" s="53">
        <f>SUM(N17:U17)</f>
        <v>770.43055286032575</v>
      </c>
    </row>
    <row r="18" spans="1:22">
      <c r="N18" s="53"/>
      <c r="O18" s="53"/>
      <c r="P18" s="53"/>
      <c r="Q18" s="53"/>
      <c r="R18" s="53"/>
      <c r="S18" s="53"/>
      <c r="T18" s="53"/>
      <c r="U18" s="53"/>
      <c r="V18" s="53"/>
    </row>
    <row r="19" spans="1:22">
      <c r="B19" s="38" t="s">
        <v>429</v>
      </c>
      <c r="N19" s="53"/>
      <c r="O19" s="53"/>
      <c r="P19" s="53"/>
      <c r="Q19" s="53"/>
      <c r="R19" s="53"/>
      <c r="S19" s="53"/>
      <c r="T19" s="53"/>
      <c r="U19" s="53"/>
      <c r="V19" s="53"/>
    </row>
    <row r="20" spans="1:22">
      <c r="B20" t="s">
        <v>206</v>
      </c>
      <c r="D20" s="196">
        <v>0</v>
      </c>
      <c r="E20" s="196">
        <v>0</v>
      </c>
      <c r="F20" s="196">
        <v>0</v>
      </c>
      <c r="G20" s="196">
        <v>0</v>
      </c>
      <c r="H20" s="196">
        <v>0</v>
      </c>
      <c r="I20" s="196">
        <v>0</v>
      </c>
      <c r="J20" s="196">
        <v>0</v>
      </c>
      <c r="K20" s="196">
        <v>0</v>
      </c>
      <c r="L20" s="53">
        <f>SUM(D20:K20)</f>
        <v>0</v>
      </c>
      <c r="N20" s="53">
        <f t="shared" ref="N20:U21" si="14">D20*N$1</f>
        <v>0</v>
      </c>
      <c r="O20" s="53">
        <f t="shared" si="14"/>
        <v>0</v>
      </c>
      <c r="P20" s="53">
        <f t="shared" si="14"/>
        <v>0</v>
      </c>
      <c r="Q20" s="53">
        <f t="shared" si="14"/>
        <v>0</v>
      </c>
      <c r="R20" s="53">
        <f t="shared" si="14"/>
        <v>0</v>
      </c>
      <c r="S20" s="53">
        <f t="shared" si="14"/>
        <v>0</v>
      </c>
      <c r="T20" s="53">
        <f t="shared" si="14"/>
        <v>0</v>
      </c>
      <c r="U20" s="53">
        <f t="shared" si="14"/>
        <v>0</v>
      </c>
      <c r="V20" s="53">
        <f>SUM(N20:U20)</f>
        <v>0</v>
      </c>
    </row>
    <row r="21" spans="1:22">
      <c r="B21" t="s">
        <v>204</v>
      </c>
      <c r="D21" s="196">
        <v>0</v>
      </c>
      <c r="E21" s="196">
        <v>0</v>
      </c>
      <c r="F21" s="196">
        <v>0</v>
      </c>
      <c r="G21" s="196">
        <v>0</v>
      </c>
      <c r="H21" s="196">
        <v>0</v>
      </c>
      <c r="I21" s="196">
        <v>0</v>
      </c>
      <c r="J21" s="196">
        <v>0</v>
      </c>
      <c r="K21" s="196">
        <v>0</v>
      </c>
      <c r="L21" s="53">
        <f>SUM(D21:K21)</f>
        <v>0</v>
      </c>
      <c r="N21" s="53">
        <f t="shared" si="14"/>
        <v>0</v>
      </c>
      <c r="O21" s="53">
        <f t="shared" si="14"/>
        <v>0</v>
      </c>
      <c r="P21" s="53">
        <f t="shared" si="14"/>
        <v>0</v>
      </c>
      <c r="Q21" s="53">
        <f t="shared" si="14"/>
        <v>0</v>
      </c>
      <c r="R21" s="53">
        <f t="shared" si="14"/>
        <v>0</v>
      </c>
      <c r="S21" s="53">
        <f t="shared" si="14"/>
        <v>0</v>
      </c>
      <c r="T21" s="53">
        <f t="shared" si="14"/>
        <v>0</v>
      </c>
      <c r="U21" s="53">
        <f t="shared" si="14"/>
        <v>0</v>
      </c>
      <c r="V21" s="53">
        <f>SUM(N21:U21)</f>
        <v>0</v>
      </c>
    </row>
    <row r="22" spans="1:22">
      <c r="N22" s="53"/>
      <c r="O22" s="53"/>
      <c r="P22" s="53"/>
      <c r="Q22" s="53"/>
      <c r="R22" s="53"/>
      <c r="S22" s="53"/>
      <c r="T22" s="53"/>
      <c r="U22" s="53"/>
      <c r="V22" s="53"/>
    </row>
    <row r="23" spans="1:22" ht="15.6">
      <c r="B23" s="59" t="s">
        <v>345</v>
      </c>
      <c r="C23" s="60"/>
      <c r="D23" s="61">
        <f t="shared" ref="D23:L23" si="15">SUM(D15:D21)</f>
        <v>187.07449812113475</v>
      </c>
      <c r="E23" s="61">
        <f t="shared" si="15"/>
        <v>189.53039414850502</v>
      </c>
      <c r="F23" s="61">
        <f t="shared" si="15"/>
        <v>194.82694130883885</v>
      </c>
      <c r="G23" s="61">
        <f t="shared" si="15"/>
        <v>263.78489295294145</v>
      </c>
      <c r="H23" s="61">
        <f t="shared" si="15"/>
        <v>307.4760616168445</v>
      </c>
      <c r="I23" s="61">
        <f t="shared" si="15"/>
        <v>210.66970088771825</v>
      </c>
      <c r="J23" s="61">
        <f t="shared" si="15"/>
        <v>182.83510368458903</v>
      </c>
      <c r="K23" s="61">
        <f t="shared" si="15"/>
        <v>168.64804592544846</v>
      </c>
      <c r="L23" s="61">
        <f t="shared" si="15"/>
        <v>1704.8456386460202</v>
      </c>
      <c r="N23" s="61">
        <f t="shared" ref="N23:V23" si="16">SUM(N15:N21)</f>
        <v>218.31593930736426</v>
      </c>
      <c r="O23" s="61">
        <f t="shared" si="16"/>
        <v>225.54116903672099</v>
      </c>
      <c r="P23" s="61">
        <f t="shared" si="16"/>
        <v>234.18198345322426</v>
      </c>
      <c r="Q23" s="61">
        <f t="shared" si="16"/>
        <v>323.92784854621209</v>
      </c>
      <c r="R23" s="61">
        <f t="shared" si="16"/>
        <v>391.72450249985991</v>
      </c>
      <c r="S23" s="61">
        <f t="shared" si="16"/>
        <v>276.60931726557408</v>
      </c>
      <c r="T23" s="61">
        <f t="shared" si="16"/>
        <v>246.6445548705106</v>
      </c>
      <c r="U23" s="61">
        <f t="shared" si="16"/>
        <v>234.08348774452244</v>
      </c>
      <c r="V23" s="61">
        <f t="shared" si="16"/>
        <v>2151.0288027239885</v>
      </c>
    </row>
    <row r="24" spans="1:22">
      <c r="N24" s="53"/>
      <c r="O24" s="53"/>
      <c r="P24" s="53"/>
      <c r="Q24" s="53"/>
      <c r="R24" s="53"/>
      <c r="S24" s="53"/>
      <c r="T24" s="53"/>
      <c r="U24" s="53"/>
      <c r="V24" s="53"/>
    </row>
    <row r="25" spans="1:22">
      <c r="B25" s="38" t="s">
        <v>224</v>
      </c>
      <c r="C25" s="38"/>
      <c r="N25" s="53"/>
      <c r="O25" s="53"/>
      <c r="P25" s="53"/>
      <c r="Q25" s="53"/>
      <c r="R25" s="53"/>
      <c r="S25" s="53"/>
      <c r="T25" s="53"/>
      <c r="U25" s="53"/>
      <c r="V25" s="53"/>
    </row>
    <row r="26" spans="1:22">
      <c r="B26" t="s">
        <v>226</v>
      </c>
      <c r="D26" s="197">
        <v>110.11544616012048</v>
      </c>
      <c r="E26" s="197">
        <v>110.29121834911521</v>
      </c>
      <c r="F26" s="197">
        <v>110.32860169190292</v>
      </c>
      <c r="G26" s="197">
        <v>110.3596633646699</v>
      </c>
      <c r="H26" s="197">
        <v>110.27343835902431</v>
      </c>
      <c r="I26" s="197">
        <v>110.27662588032852</v>
      </c>
      <c r="J26" s="197">
        <v>110.30420904525512</v>
      </c>
      <c r="K26" s="197">
        <v>110.31067350058066</v>
      </c>
      <c r="L26" s="58">
        <f>SUM(D26:K26)</f>
        <v>882.25987635099727</v>
      </c>
      <c r="N26" s="58">
        <f t="shared" ref="N26:U26" si="17">D26*N$1</f>
        <v>128.5047256688606</v>
      </c>
      <c r="O26" s="58">
        <f t="shared" si="17"/>
        <v>131.2465498354471</v>
      </c>
      <c r="P26" s="58">
        <f t="shared" si="17"/>
        <v>132.6149792336673</v>
      </c>
      <c r="Q26" s="58">
        <f t="shared" si="17"/>
        <v>135.52166661181462</v>
      </c>
      <c r="R26" s="58">
        <f t="shared" si="17"/>
        <v>140.48836046939698</v>
      </c>
      <c r="S26" s="58">
        <f t="shared" si="17"/>
        <v>144.79320978087134</v>
      </c>
      <c r="T26" s="58">
        <f t="shared" si="17"/>
        <v>148.80037800204914</v>
      </c>
      <c r="U26" s="58">
        <f t="shared" si="17"/>
        <v>153.11121481880596</v>
      </c>
      <c r="V26" s="58">
        <f>SUM(N26:U26)</f>
        <v>1115.0810844209129</v>
      </c>
    </row>
    <row r="27" spans="1:22">
      <c r="D27" s="58"/>
      <c r="E27" s="58"/>
      <c r="F27" s="58"/>
      <c r="G27" s="58"/>
      <c r="H27" s="58"/>
      <c r="I27" s="58"/>
      <c r="J27" s="58"/>
      <c r="K27" s="58"/>
      <c r="L27" s="58"/>
      <c r="N27" s="58"/>
      <c r="O27" s="58"/>
      <c r="P27" s="58"/>
      <c r="Q27" s="58"/>
      <c r="R27" s="58"/>
      <c r="S27" s="58"/>
      <c r="T27" s="58"/>
      <c r="U27" s="58"/>
      <c r="V27" s="58"/>
    </row>
    <row r="28" spans="1:22">
      <c r="A28" t="s">
        <v>346</v>
      </c>
      <c r="N28" s="53"/>
      <c r="O28" s="53"/>
      <c r="P28" s="53"/>
      <c r="Q28" s="53"/>
      <c r="R28" s="53"/>
      <c r="S28" s="53"/>
      <c r="T28" s="53"/>
      <c r="U28" s="53"/>
      <c r="V28" s="53"/>
    </row>
    <row r="29" spans="1:22">
      <c r="B29" s="38" t="s">
        <v>426</v>
      </c>
    </row>
    <row r="30" spans="1:22">
      <c r="B30" t="s">
        <v>204</v>
      </c>
      <c r="D30" s="223">
        <v>44.096952058814921</v>
      </c>
      <c r="E30" s="223">
        <v>46.269433311823683</v>
      </c>
      <c r="F30" s="223">
        <v>50.602500247903464</v>
      </c>
      <c r="G30" s="223">
        <v>51.965523419215508</v>
      </c>
      <c r="H30" s="223">
        <v>51.12111996589703</v>
      </c>
      <c r="I30" s="223">
        <v>49.539820913563602</v>
      </c>
      <c r="J30" s="223">
        <v>48.655604989055703</v>
      </c>
      <c r="K30" s="223">
        <v>49.763707375013652</v>
      </c>
      <c r="L30" s="53">
        <f>SUM(D30:K30)</f>
        <v>392.01466228128754</v>
      </c>
      <c r="N30" s="53">
        <f t="shared" ref="N30:N31" si="18">D30*N$1</f>
        <v>51.461143052637013</v>
      </c>
      <c r="O30" s="53">
        <f t="shared" ref="O30:O31" si="19">E30*O$1</f>
        <v>55.060625641070182</v>
      </c>
      <c r="P30" s="53">
        <f t="shared" ref="P30:P31" si="20">F30*P$1</f>
        <v>60.824205297979958</v>
      </c>
      <c r="Q30" s="53">
        <f t="shared" ref="Q30:Q31" si="21">G30*Q$1</f>
        <v>63.813662758796646</v>
      </c>
      <c r="R30" s="53">
        <f t="shared" ref="R30:R31" si="22">H30*R$1</f>
        <v>65.128306836552824</v>
      </c>
      <c r="S30" s="53">
        <f t="shared" ref="S30:S31" si="23">I30*S$1</f>
        <v>65.045784859509013</v>
      </c>
      <c r="T30" s="53">
        <f t="shared" ref="T30:T31" si="24">J30*T$1</f>
        <v>65.636411130236141</v>
      </c>
      <c r="U30" s="53">
        <f t="shared" ref="U30:U31" si="25">K30*U$1</f>
        <v>69.072025836518947</v>
      </c>
      <c r="V30" s="53">
        <f>SUM(N30:U30)</f>
        <v>496.04216541330072</v>
      </c>
    </row>
    <row r="31" spans="1:22">
      <c r="B31" t="s">
        <v>206</v>
      </c>
      <c r="D31" s="223">
        <v>40.890021141667965</v>
      </c>
      <c r="E31" s="223">
        <v>32.351829890223328</v>
      </c>
      <c r="F31" s="223">
        <v>25.116516710766533</v>
      </c>
      <c r="G31" s="223">
        <v>24.687879003225049</v>
      </c>
      <c r="H31" s="223">
        <v>22.172921559294188</v>
      </c>
      <c r="I31" s="223">
        <v>18.014704063893184</v>
      </c>
      <c r="J31" s="223">
        <v>19.248419251200154</v>
      </c>
      <c r="K31" s="223">
        <v>16.625252452632346</v>
      </c>
      <c r="L31" s="53">
        <f>SUM(D31:K31)</f>
        <v>199.10754407290273</v>
      </c>
      <c r="N31" s="53">
        <f t="shared" si="18"/>
        <v>47.718654672326515</v>
      </c>
      <c r="O31" s="53">
        <f t="shared" si="19"/>
        <v>38.498677569365761</v>
      </c>
      <c r="P31" s="53">
        <f t="shared" si="20"/>
        <v>30.190053086341372</v>
      </c>
      <c r="Q31" s="53">
        <f t="shared" si="21"/>
        <v>30.31671541596036</v>
      </c>
      <c r="R31" s="53">
        <f t="shared" si="22"/>
        <v>28.248302066540795</v>
      </c>
      <c r="S31" s="53">
        <f t="shared" si="23"/>
        <v>23.65330643589175</v>
      </c>
      <c r="T31" s="53">
        <f t="shared" si="24"/>
        <v>25.966117569869006</v>
      </c>
      <c r="U31" s="53">
        <f t="shared" si="25"/>
        <v>23.075850404253693</v>
      </c>
      <c r="V31" s="53">
        <f>SUM(N31:U31)</f>
        <v>247.66767722054925</v>
      </c>
    </row>
    <row r="32" spans="1:22">
      <c r="B32" s="38" t="s">
        <v>207</v>
      </c>
      <c r="D32" s="57">
        <f t="shared" ref="D32:L32" si="26">SUM(D30:D31)</f>
        <v>84.986973200482879</v>
      </c>
      <c r="E32" s="57">
        <f t="shared" si="26"/>
        <v>78.621263202047004</v>
      </c>
      <c r="F32" s="57">
        <f t="shared" si="26"/>
        <v>75.719016958669997</v>
      </c>
      <c r="G32" s="57">
        <f t="shared" si="26"/>
        <v>76.653402422440564</v>
      </c>
      <c r="H32" s="57">
        <f t="shared" si="26"/>
        <v>73.294041525191219</v>
      </c>
      <c r="I32" s="57">
        <f t="shared" si="26"/>
        <v>67.554524977456794</v>
      </c>
      <c r="J32" s="57">
        <f t="shared" si="26"/>
        <v>67.904024240255865</v>
      </c>
      <c r="K32" s="57">
        <f t="shared" si="26"/>
        <v>66.388959827646005</v>
      </c>
      <c r="L32" s="57">
        <f t="shared" si="26"/>
        <v>591.12220635419021</v>
      </c>
      <c r="N32" s="57">
        <f t="shared" ref="N32:V32" si="27">SUM(N30:N31)</f>
        <v>99.179797724963521</v>
      </c>
      <c r="O32" s="57">
        <f t="shared" si="27"/>
        <v>93.559303210435942</v>
      </c>
      <c r="P32" s="57">
        <f t="shared" si="27"/>
        <v>91.014258384321323</v>
      </c>
      <c r="Q32" s="57">
        <f t="shared" si="27"/>
        <v>94.130378174756999</v>
      </c>
      <c r="R32" s="57">
        <f t="shared" si="27"/>
        <v>93.376608903093626</v>
      </c>
      <c r="S32" s="57">
        <f t="shared" si="27"/>
        <v>88.699091295400763</v>
      </c>
      <c r="T32" s="57">
        <f t="shared" si="27"/>
        <v>91.602528700105154</v>
      </c>
      <c r="U32" s="57">
        <f t="shared" si="27"/>
        <v>92.147876240772632</v>
      </c>
      <c r="V32" s="57">
        <f t="shared" si="27"/>
        <v>743.70984263385003</v>
      </c>
    </row>
    <row r="33" spans="2:22">
      <c r="D33" s="53"/>
      <c r="E33" s="53"/>
      <c r="F33" s="53"/>
      <c r="G33" s="53"/>
      <c r="H33" s="53"/>
      <c r="I33" s="53"/>
      <c r="J33" s="53"/>
      <c r="K33" s="53"/>
      <c r="N33" s="53"/>
      <c r="O33" s="53"/>
      <c r="P33" s="53"/>
      <c r="Q33" s="53"/>
      <c r="R33" s="53"/>
      <c r="S33" s="53"/>
      <c r="T33" s="53"/>
      <c r="U33" s="53"/>
      <c r="V33" s="53"/>
    </row>
    <row r="34" spans="2:22">
      <c r="B34" s="38" t="s">
        <v>427</v>
      </c>
      <c r="D34" s="53"/>
      <c r="E34" s="53"/>
      <c r="F34" s="53"/>
      <c r="G34" s="53"/>
      <c r="H34" s="53"/>
      <c r="I34" s="53"/>
      <c r="J34" s="53"/>
      <c r="K34" s="53"/>
      <c r="N34" s="53"/>
      <c r="O34" s="53"/>
      <c r="P34" s="53"/>
      <c r="Q34" s="53"/>
      <c r="R34" s="53"/>
      <c r="S34" s="53"/>
      <c r="T34" s="53"/>
      <c r="U34" s="53"/>
      <c r="V34" s="53"/>
    </row>
    <row r="35" spans="2:22">
      <c r="B35" t="s">
        <v>210</v>
      </c>
      <c r="D35" s="223">
        <v>0</v>
      </c>
      <c r="E35" s="223">
        <v>0</v>
      </c>
      <c r="F35" s="223">
        <v>0</v>
      </c>
      <c r="G35" s="223">
        <v>0</v>
      </c>
      <c r="H35" s="223">
        <v>0</v>
      </c>
      <c r="I35" s="223">
        <v>0</v>
      </c>
      <c r="J35" s="223">
        <v>0</v>
      </c>
      <c r="K35" s="223">
        <v>0</v>
      </c>
      <c r="L35" s="53">
        <f t="shared" ref="L35:L36" si="28">SUM(D35:K35)</f>
        <v>0</v>
      </c>
      <c r="N35" s="53">
        <f t="shared" ref="N35:N36" si="29">D35*N$1</f>
        <v>0</v>
      </c>
      <c r="O35" s="53">
        <f t="shared" ref="O35:O36" si="30">E35*O$1</f>
        <v>0</v>
      </c>
      <c r="P35" s="53">
        <f t="shared" ref="P35:P36" si="31">F35*P$1</f>
        <v>0</v>
      </c>
      <c r="Q35" s="53">
        <f t="shared" ref="Q35:Q36" si="32">G35*Q$1</f>
        <v>0</v>
      </c>
      <c r="R35" s="53">
        <f t="shared" ref="R35:R36" si="33">H35*R$1</f>
        <v>0</v>
      </c>
      <c r="S35" s="53">
        <f t="shared" ref="S35:S36" si="34">I35*S$1</f>
        <v>0</v>
      </c>
      <c r="T35" s="53">
        <f t="shared" ref="T35:T36" si="35">J35*T$1</f>
        <v>0</v>
      </c>
      <c r="U35" s="53">
        <f t="shared" ref="U35:U36" si="36">K35*U$1</f>
        <v>0</v>
      </c>
      <c r="V35" s="53">
        <f>SUM(N35:U35)</f>
        <v>0</v>
      </c>
    </row>
    <row r="36" spans="2:22">
      <c r="B36" t="s">
        <v>212</v>
      </c>
      <c r="D36" s="223">
        <v>0</v>
      </c>
      <c r="E36" s="223">
        <v>0</v>
      </c>
      <c r="F36" s="223">
        <v>0</v>
      </c>
      <c r="G36" s="223">
        <v>0</v>
      </c>
      <c r="H36" s="223">
        <v>0</v>
      </c>
      <c r="I36" s="223">
        <v>0</v>
      </c>
      <c r="J36" s="223">
        <v>0</v>
      </c>
      <c r="K36" s="223">
        <v>0</v>
      </c>
      <c r="L36" s="53">
        <f t="shared" si="28"/>
        <v>0</v>
      </c>
      <c r="N36" s="53">
        <f t="shared" si="29"/>
        <v>0</v>
      </c>
      <c r="O36" s="53">
        <f t="shared" si="30"/>
        <v>0</v>
      </c>
      <c r="P36" s="53">
        <f t="shared" si="31"/>
        <v>0</v>
      </c>
      <c r="Q36" s="53">
        <f t="shared" si="32"/>
        <v>0</v>
      </c>
      <c r="R36" s="53">
        <f t="shared" si="33"/>
        <v>0</v>
      </c>
      <c r="S36" s="53">
        <f t="shared" si="34"/>
        <v>0</v>
      </c>
      <c r="T36" s="53">
        <f t="shared" si="35"/>
        <v>0</v>
      </c>
      <c r="U36" s="53">
        <f t="shared" si="36"/>
        <v>0</v>
      </c>
      <c r="V36" s="53">
        <f>SUM(N36:U36)</f>
        <v>0</v>
      </c>
    </row>
    <row r="37" spans="2:22">
      <c r="B37" s="38" t="s">
        <v>428</v>
      </c>
      <c r="N37" s="53"/>
      <c r="O37" s="53"/>
      <c r="P37" s="53"/>
      <c r="Q37" s="53"/>
      <c r="R37" s="53"/>
      <c r="S37" s="53"/>
      <c r="T37" s="53"/>
      <c r="U37" s="53"/>
      <c r="V37" s="53"/>
    </row>
    <row r="38" spans="2:22">
      <c r="B38" t="s">
        <v>215</v>
      </c>
      <c r="D38" s="223">
        <v>25.459307795372435</v>
      </c>
      <c r="E38" s="223">
        <v>14.41280752104567</v>
      </c>
      <c r="F38" s="223">
        <v>9.6173202079823099</v>
      </c>
      <c r="G38" s="223">
        <v>60.446777499796859</v>
      </c>
      <c r="H38" s="223">
        <v>84.880198528547851</v>
      </c>
      <c r="I38" s="223">
        <v>8.5249336835233791</v>
      </c>
      <c r="J38" s="223">
        <v>0.23152878737450566</v>
      </c>
      <c r="K38" s="223">
        <v>0</v>
      </c>
      <c r="L38" s="53">
        <f>SUM(D38:K38)</f>
        <v>203.57287402364304</v>
      </c>
      <c r="N38" s="53">
        <f t="shared" ref="N38:N40" si="37">D38*N$1</f>
        <v>29.711012197199633</v>
      </c>
      <c r="O38" s="53">
        <f t="shared" ref="O38:O40" si="38">E38*O$1</f>
        <v>17.151240950044347</v>
      </c>
      <c r="P38" s="53">
        <f t="shared" ref="P38:P40" si="39">F38*P$1</f>
        <v>11.560018889994737</v>
      </c>
      <c r="Q38" s="53">
        <f t="shared" ref="Q38:Q40" si="40">G38*Q$1</f>
        <v>74.228642769750536</v>
      </c>
      <c r="R38" s="53">
        <f t="shared" ref="R38:R40" si="41">H38*R$1</f>
        <v>108.13737292536996</v>
      </c>
      <c r="S38" s="53">
        <f t="shared" ref="S38:S40" si="42">I38*S$1</f>
        <v>11.193237926466196</v>
      </c>
      <c r="T38" s="53">
        <f t="shared" ref="T38:T40" si="43">J38*T$1</f>
        <v>0.31233233416820816</v>
      </c>
      <c r="U38" s="53">
        <f t="shared" ref="U38:U40" si="44">K38*U$1</f>
        <v>0</v>
      </c>
      <c r="V38" s="53">
        <f>SUM(N38:U38)</f>
        <v>252.29385799299362</v>
      </c>
    </row>
    <row r="39" spans="2:22">
      <c r="B39" t="s">
        <v>217</v>
      </c>
      <c r="D39" s="223">
        <v>97.132518315217595</v>
      </c>
      <c r="E39" s="223">
        <v>109.87971241227922</v>
      </c>
      <c r="F39" s="223">
        <v>114.43672637584547</v>
      </c>
      <c r="G39" s="223">
        <v>123.96977718673423</v>
      </c>
      <c r="H39" s="223">
        <v>138.27838395379189</v>
      </c>
      <c r="I39" s="223">
        <v>117.50342084599842</v>
      </c>
      <c r="J39" s="223">
        <v>101.87556011564801</v>
      </c>
      <c r="K39" s="223">
        <v>91.157975802007329</v>
      </c>
      <c r="L39" s="53">
        <f>SUM(D39:K39)</f>
        <v>894.23407500752216</v>
      </c>
      <c r="N39" s="53">
        <f t="shared" si="37"/>
        <v>113.35364887385894</v>
      </c>
      <c r="O39" s="53">
        <f t="shared" si="38"/>
        <v>130.75685777061227</v>
      </c>
      <c r="P39" s="53">
        <f t="shared" si="39"/>
        <v>137.55294510376623</v>
      </c>
      <c r="Q39" s="53">
        <f t="shared" si="40"/>
        <v>152.23488638530964</v>
      </c>
      <c r="R39" s="53">
        <f t="shared" si="41"/>
        <v>176.16666115713087</v>
      </c>
      <c r="S39" s="53">
        <f t="shared" si="42"/>
        <v>154.28199157079592</v>
      </c>
      <c r="T39" s="53">
        <f t="shared" si="43"/>
        <v>137.43013059600918</v>
      </c>
      <c r="U39" s="53">
        <f t="shared" si="44"/>
        <v>126.52727041318616</v>
      </c>
      <c r="V39" s="53">
        <f>SUM(N39:U39)</f>
        <v>1128.3043918706692</v>
      </c>
    </row>
    <row r="40" spans="2:22">
      <c r="B40" t="s">
        <v>204</v>
      </c>
      <c r="D40" s="223">
        <v>64.482672010544718</v>
      </c>
      <c r="E40" s="223">
        <v>65.237874215180156</v>
      </c>
      <c r="F40" s="223">
        <v>70.772894725011071</v>
      </c>
      <c r="G40" s="223">
        <v>79.368338266410362</v>
      </c>
      <c r="H40" s="223">
        <v>84.317479134504765</v>
      </c>
      <c r="I40" s="223">
        <v>84.641346358196444</v>
      </c>
      <c r="J40" s="223">
        <v>80.728014781566515</v>
      </c>
      <c r="K40" s="223">
        <v>77.490070123441129</v>
      </c>
      <c r="L40" s="53">
        <f>SUM(D40:K40)</f>
        <v>607.03868961485512</v>
      </c>
      <c r="N40" s="53">
        <f t="shared" si="37"/>
        <v>75.251278236305694</v>
      </c>
      <c r="O40" s="53">
        <f t="shared" si="38"/>
        <v>77.633070316064376</v>
      </c>
      <c r="P40" s="53">
        <f t="shared" si="39"/>
        <v>85.069019459463306</v>
      </c>
      <c r="Q40" s="53">
        <f t="shared" si="40"/>
        <v>97.464319391151918</v>
      </c>
      <c r="R40" s="53">
        <f t="shared" si="41"/>
        <v>107.42046841735907</v>
      </c>
      <c r="S40" s="53">
        <f t="shared" si="42"/>
        <v>111.13408776831193</v>
      </c>
      <c r="T40" s="53">
        <f t="shared" si="43"/>
        <v>108.90209194033322</v>
      </c>
      <c r="U40" s="53">
        <f t="shared" si="44"/>
        <v>107.55621733133628</v>
      </c>
      <c r="V40" s="53">
        <f>SUM(N40:U40)</f>
        <v>770.43055286032575</v>
      </c>
    </row>
    <row r="41" spans="2:22">
      <c r="N41" s="53"/>
      <c r="O41" s="53"/>
      <c r="P41" s="53"/>
      <c r="Q41" s="53"/>
      <c r="R41" s="53"/>
      <c r="S41" s="53"/>
      <c r="T41" s="53"/>
      <c r="U41" s="53"/>
      <c r="V41" s="53"/>
    </row>
    <row r="42" spans="2:22">
      <c r="B42" s="38" t="s">
        <v>429</v>
      </c>
      <c r="N42" s="53"/>
      <c r="O42" s="53"/>
      <c r="P42" s="53"/>
      <c r="Q42" s="53"/>
      <c r="R42" s="53"/>
      <c r="S42" s="53"/>
      <c r="T42" s="53"/>
      <c r="U42" s="53"/>
      <c r="V42" s="53"/>
    </row>
    <row r="43" spans="2:22">
      <c r="B43" t="s">
        <v>206</v>
      </c>
      <c r="D43" s="223">
        <v>0</v>
      </c>
      <c r="E43" s="223">
        <v>0</v>
      </c>
      <c r="F43" s="223">
        <v>0</v>
      </c>
      <c r="G43" s="223">
        <v>0</v>
      </c>
      <c r="H43" s="223">
        <v>0</v>
      </c>
      <c r="I43" s="223">
        <v>0</v>
      </c>
      <c r="J43" s="223">
        <v>0</v>
      </c>
      <c r="K43" s="223">
        <v>0</v>
      </c>
      <c r="L43" s="53">
        <f>SUM(D43:K43)</f>
        <v>0</v>
      </c>
      <c r="N43" s="53">
        <f t="shared" ref="N43:N44" si="45">D43*N$1</f>
        <v>0</v>
      </c>
      <c r="O43" s="53">
        <f t="shared" ref="O43:O44" si="46">E43*O$1</f>
        <v>0</v>
      </c>
      <c r="P43" s="53">
        <f t="shared" ref="P43:P44" si="47">F43*P$1</f>
        <v>0</v>
      </c>
      <c r="Q43" s="53">
        <f t="shared" ref="Q43:Q44" si="48">G43*Q$1</f>
        <v>0</v>
      </c>
      <c r="R43" s="53">
        <f t="shared" ref="R43:R44" si="49">H43*R$1</f>
        <v>0</v>
      </c>
      <c r="S43" s="53">
        <f t="shared" ref="S43:S44" si="50">I43*S$1</f>
        <v>0</v>
      </c>
      <c r="T43" s="53">
        <f t="shared" ref="T43:T44" si="51">J43*T$1</f>
        <v>0</v>
      </c>
      <c r="U43" s="53">
        <f t="shared" ref="U43:U44" si="52">K43*U$1</f>
        <v>0</v>
      </c>
      <c r="V43" s="53">
        <f>SUM(N43:U43)</f>
        <v>0</v>
      </c>
    </row>
    <row r="44" spans="2:22">
      <c r="B44" t="s">
        <v>204</v>
      </c>
      <c r="D44" s="223">
        <v>0</v>
      </c>
      <c r="E44" s="223">
        <v>0</v>
      </c>
      <c r="F44" s="223">
        <v>0</v>
      </c>
      <c r="G44" s="223">
        <v>0</v>
      </c>
      <c r="H44" s="223">
        <v>0</v>
      </c>
      <c r="I44" s="223">
        <v>0</v>
      </c>
      <c r="J44" s="223">
        <v>0</v>
      </c>
      <c r="K44" s="223">
        <v>0</v>
      </c>
      <c r="L44" s="53">
        <f>SUM(D44:K44)</f>
        <v>0</v>
      </c>
      <c r="N44" s="53">
        <f t="shared" si="45"/>
        <v>0</v>
      </c>
      <c r="O44" s="53">
        <f t="shared" si="46"/>
        <v>0</v>
      </c>
      <c r="P44" s="53">
        <f t="shared" si="47"/>
        <v>0</v>
      </c>
      <c r="Q44" s="53">
        <f t="shared" si="48"/>
        <v>0</v>
      </c>
      <c r="R44" s="53">
        <f t="shared" si="49"/>
        <v>0</v>
      </c>
      <c r="S44" s="53">
        <f t="shared" si="50"/>
        <v>0</v>
      </c>
      <c r="T44" s="53">
        <f t="shared" si="51"/>
        <v>0</v>
      </c>
      <c r="U44" s="53">
        <f t="shared" si="52"/>
        <v>0</v>
      </c>
      <c r="V44" s="53">
        <f>SUM(N44:U44)</f>
        <v>0</v>
      </c>
    </row>
    <row r="45" spans="2:22">
      <c r="N45" s="53"/>
      <c r="O45" s="53"/>
      <c r="P45" s="53"/>
      <c r="Q45" s="53"/>
      <c r="R45" s="53"/>
      <c r="S45" s="53"/>
      <c r="T45" s="53"/>
      <c r="U45" s="53"/>
      <c r="V45" s="53"/>
    </row>
    <row r="46" spans="2:22" ht="15.6">
      <c r="B46" s="59" t="s">
        <v>345</v>
      </c>
      <c r="C46" s="60"/>
      <c r="D46" s="61">
        <f t="shared" ref="D46:L46" si="53">SUM(D38:D44)</f>
        <v>187.07449812113475</v>
      </c>
      <c r="E46" s="61">
        <f t="shared" si="53"/>
        <v>189.53039414850502</v>
      </c>
      <c r="F46" s="61">
        <f t="shared" si="53"/>
        <v>194.82694130883885</v>
      </c>
      <c r="G46" s="61">
        <f t="shared" si="53"/>
        <v>263.78489295294145</v>
      </c>
      <c r="H46" s="61">
        <f t="shared" si="53"/>
        <v>307.4760616168445</v>
      </c>
      <c r="I46" s="61">
        <f t="shared" si="53"/>
        <v>210.66970088771825</v>
      </c>
      <c r="J46" s="61">
        <f t="shared" si="53"/>
        <v>182.83510368458903</v>
      </c>
      <c r="K46" s="61">
        <f t="shared" si="53"/>
        <v>168.64804592544846</v>
      </c>
      <c r="L46" s="61">
        <f t="shared" si="53"/>
        <v>1704.8456386460202</v>
      </c>
      <c r="N46" s="61">
        <f t="shared" ref="N46:V46" si="54">SUM(N38:N44)</f>
        <v>218.31593930736426</v>
      </c>
      <c r="O46" s="61">
        <f t="shared" si="54"/>
        <v>225.54116903672099</v>
      </c>
      <c r="P46" s="61">
        <f t="shared" si="54"/>
        <v>234.18198345322426</v>
      </c>
      <c r="Q46" s="61">
        <f t="shared" si="54"/>
        <v>323.92784854621209</v>
      </c>
      <c r="R46" s="61">
        <f t="shared" si="54"/>
        <v>391.72450249985991</v>
      </c>
      <c r="S46" s="61">
        <f t="shared" si="54"/>
        <v>276.60931726557408</v>
      </c>
      <c r="T46" s="61">
        <f t="shared" si="54"/>
        <v>246.6445548705106</v>
      </c>
      <c r="U46" s="61">
        <f t="shared" si="54"/>
        <v>234.08348774452244</v>
      </c>
      <c r="V46" s="61">
        <f t="shared" si="54"/>
        <v>2151.0288027239885</v>
      </c>
    </row>
    <row r="47" spans="2:22">
      <c r="N47" s="53"/>
      <c r="O47" s="53"/>
      <c r="P47" s="53"/>
      <c r="Q47" s="53"/>
      <c r="R47" s="53"/>
      <c r="S47" s="53"/>
      <c r="T47" s="53"/>
      <c r="U47" s="53"/>
      <c r="V47" s="53"/>
    </row>
    <row r="48" spans="2:22">
      <c r="N48" s="53"/>
      <c r="O48" s="53"/>
      <c r="P48" s="53"/>
      <c r="Q48" s="53"/>
      <c r="R48" s="53"/>
      <c r="S48" s="53"/>
      <c r="T48" s="53"/>
      <c r="U48" s="53"/>
      <c r="V48" s="53"/>
    </row>
    <row r="49" spans="1:16">
      <c r="D49" s="53"/>
      <c r="E49" s="53"/>
      <c r="F49" s="53"/>
      <c r="G49" s="53"/>
      <c r="H49" s="53"/>
      <c r="I49" s="53"/>
      <c r="J49" s="53"/>
      <c r="K49" s="53"/>
      <c r="L49" s="53"/>
    </row>
    <row r="50" spans="1:16" s="195" customFormat="1">
      <c r="D50" s="196"/>
      <c r="E50" s="196"/>
      <c r="F50" s="196"/>
      <c r="G50" s="196"/>
      <c r="H50" s="196"/>
      <c r="I50" s="196"/>
      <c r="J50" s="196"/>
      <c r="K50" s="196"/>
      <c r="L50" s="196"/>
    </row>
    <row r="51" spans="1:16" ht="13.8" thickBot="1"/>
    <row r="52" spans="1:16" ht="16.8">
      <c r="A52" s="68"/>
      <c r="B52" s="69" t="s">
        <v>237</v>
      </c>
      <c r="D52" s="70">
        <v>41729</v>
      </c>
      <c r="E52" s="71">
        <v>42094</v>
      </c>
      <c r="F52" s="71">
        <v>42460</v>
      </c>
      <c r="G52" s="71">
        <v>42825</v>
      </c>
      <c r="H52" s="71">
        <v>43190</v>
      </c>
      <c r="I52" s="71">
        <v>43555</v>
      </c>
      <c r="J52" s="71">
        <v>43921</v>
      </c>
      <c r="K52" s="72">
        <v>44286</v>
      </c>
      <c r="L52" s="73" t="s">
        <v>238</v>
      </c>
    </row>
    <row r="53" spans="1:16" ht="16.8">
      <c r="A53" s="74"/>
      <c r="B53" s="75" t="s">
        <v>239</v>
      </c>
      <c r="D53" s="76" t="s">
        <v>240</v>
      </c>
      <c r="E53" s="77" t="s">
        <v>240</v>
      </c>
      <c r="F53" s="77" t="s">
        <v>240</v>
      </c>
      <c r="G53" s="77" t="s">
        <v>240</v>
      </c>
      <c r="H53" s="77" t="s">
        <v>240</v>
      </c>
      <c r="I53" s="77" t="s">
        <v>240</v>
      </c>
      <c r="J53" s="77" t="s">
        <v>240</v>
      </c>
      <c r="K53" s="78" t="s">
        <v>240</v>
      </c>
      <c r="L53" s="79" t="s">
        <v>240</v>
      </c>
    </row>
    <row r="54" spans="1:16" ht="16.8">
      <c r="A54" s="80"/>
      <c r="B54" s="81" t="s">
        <v>207</v>
      </c>
      <c r="D54" s="82"/>
      <c r="E54" s="83"/>
      <c r="F54" s="83"/>
      <c r="G54" s="83"/>
      <c r="H54" s="83"/>
      <c r="I54" s="83"/>
      <c r="J54" s="83"/>
      <c r="K54" s="84"/>
      <c r="L54" s="85"/>
    </row>
    <row r="55" spans="1:16" ht="16.8">
      <c r="A55" s="86">
        <v>1</v>
      </c>
      <c r="B55" s="75" t="s">
        <v>241</v>
      </c>
      <c r="D55" s="87">
        <v>120.47597679001079</v>
      </c>
      <c r="E55" s="88">
        <v>122.05757383163726</v>
      </c>
      <c r="F55" s="88">
        <v>125.46855020289223</v>
      </c>
      <c r="G55" s="88">
        <v>169.87747106169431</v>
      </c>
      <c r="H55" s="88">
        <v>198.01458368124784</v>
      </c>
      <c r="I55" s="88">
        <v>135.67128737169054</v>
      </c>
      <c r="J55" s="88">
        <v>117.74580677287534</v>
      </c>
      <c r="K55" s="89">
        <v>108.60934157598881</v>
      </c>
      <c r="L55" s="90">
        <v>1097.920591288037</v>
      </c>
    </row>
    <row r="56" spans="1:16" ht="16.8">
      <c r="A56" s="86">
        <v>2</v>
      </c>
      <c r="B56" s="75" t="s">
        <v>242</v>
      </c>
      <c r="D56" s="87">
        <v>66.598521331123962</v>
      </c>
      <c r="E56" s="88">
        <v>67.472820316867796</v>
      </c>
      <c r="F56" s="88">
        <v>69.358391105946623</v>
      </c>
      <c r="G56" s="88">
        <v>93.907421891247139</v>
      </c>
      <c r="H56" s="88">
        <v>109.4614779355966</v>
      </c>
      <c r="I56" s="88">
        <v>74.998413516027682</v>
      </c>
      <c r="J56" s="88">
        <v>65.089296911713689</v>
      </c>
      <c r="K56" s="89">
        <v>60.03870434945965</v>
      </c>
      <c r="L56" s="90">
        <v>606.92504735798309</v>
      </c>
    </row>
    <row r="57" spans="1:16" ht="16.8">
      <c r="A57" s="86">
        <v>3</v>
      </c>
      <c r="B57" s="75" t="s">
        <v>243</v>
      </c>
      <c r="D57" s="87">
        <v>187.07449812113475</v>
      </c>
      <c r="E57" s="88">
        <v>189.53039414850505</v>
      </c>
      <c r="F57" s="88">
        <v>194.82694130883885</v>
      </c>
      <c r="G57" s="88">
        <v>263.78489295294145</v>
      </c>
      <c r="H57" s="88">
        <v>307.47606161684445</v>
      </c>
      <c r="I57" s="88">
        <v>210.66970088771822</v>
      </c>
      <c r="J57" s="88">
        <v>182.83510368458903</v>
      </c>
      <c r="K57" s="89">
        <v>168.64804592544846</v>
      </c>
      <c r="L57" s="90">
        <v>1704.8456386460202</v>
      </c>
      <c r="P57" s="118"/>
    </row>
    <row r="58" spans="1:16" ht="16.8">
      <c r="A58" s="80"/>
      <c r="B58" s="81" t="s">
        <v>244</v>
      </c>
      <c r="D58" s="82">
        <v>0</v>
      </c>
      <c r="E58" s="83">
        <v>0</v>
      </c>
      <c r="F58" s="83">
        <v>0</v>
      </c>
      <c r="G58" s="83">
        <v>0</v>
      </c>
      <c r="H58" s="83">
        <v>0</v>
      </c>
      <c r="I58" s="83">
        <v>0</v>
      </c>
      <c r="J58" s="83">
        <v>0</v>
      </c>
      <c r="K58" s="84">
        <v>0</v>
      </c>
      <c r="L58" s="85">
        <v>0</v>
      </c>
    </row>
    <row r="59" spans="1:16" ht="16.8">
      <c r="A59" s="86">
        <v>4</v>
      </c>
      <c r="B59" s="75" t="s">
        <v>245</v>
      </c>
      <c r="D59" s="87">
        <v>4014.3985484751774</v>
      </c>
      <c r="E59" s="88">
        <v>4234.9966832448035</v>
      </c>
      <c r="F59" s="88">
        <v>4218.817246014868</v>
      </c>
      <c r="G59" s="88">
        <v>4205.3144552237063</v>
      </c>
      <c r="H59" s="88">
        <v>4247.4656576703437</v>
      </c>
      <c r="I59" s="88">
        <v>4764.9758898937098</v>
      </c>
      <c r="J59" s="88">
        <v>4809.4019662825494</v>
      </c>
      <c r="K59" s="89">
        <v>4785.5284262096275</v>
      </c>
      <c r="L59" s="90">
        <v>0</v>
      </c>
    </row>
    <row r="60" spans="1:16" ht="16.8">
      <c r="A60" s="86">
        <v>5</v>
      </c>
      <c r="B60" s="75" t="s">
        <v>246</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8">
      <c r="A61" s="86">
        <v>6</v>
      </c>
      <c r="B61" s="75" t="s">
        <v>247</v>
      </c>
      <c r="D61" s="87">
        <v>4253.3070362551225</v>
      </c>
      <c r="E61" s="88">
        <v>4236.5856482052568</v>
      </c>
      <c r="F61" s="88">
        <v>4220.7544116584195</v>
      </c>
      <c r="G61" s="88">
        <v>4219.9691560627371</v>
      </c>
      <c r="H61" s="88">
        <v>4723.2877981222027</v>
      </c>
      <c r="I61" s="88">
        <v>4834.3256936122825</v>
      </c>
      <c r="J61" s="88">
        <v>4830.1814089893851</v>
      </c>
      <c r="K61" s="89">
        <v>4786.3390488626856</v>
      </c>
      <c r="L61" s="90">
        <v>0</v>
      </c>
    </row>
    <row r="62" spans="1:16" ht="16.8">
      <c r="A62" s="86">
        <v>7</v>
      </c>
      <c r="B62" s="75" t="s">
        <v>248</v>
      </c>
      <c r="D62" s="87">
        <v>120.46821880990612</v>
      </c>
      <c r="E62" s="88">
        <v>122.04981585153259</v>
      </c>
      <c r="F62" s="88">
        <v>125.46079222278756</v>
      </c>
      <c r="G62" s="88">
        <v>169.86971308158965</v>
      </c>
      <c r="H62" s="88">
        <v>198.00682570114319</v>
      </c>
      <c r="I62" s="88">
        <v>135.66352939158588</v>
      </c>
      <c r="J62" s="88">
        <v>117.73804879277067</v>
      </c>
      <c r="K62" s="89">
        <v>108.60158359588414</v>
      </c>
      <c r="L62" s="90">
        <v>1097.8585274471998</v>
      </c>
    </row>
    <row r="63" spans="1:16" ht="16.8">
      <c r="A63" s="86">
        <v>8</v>
      </c>
      <c r="B63" s="75" t="s">
        <v>249</v>
      </c>
      <c r="D63" s="87">
        <v>-138.77857182022461</v>
      </c>
      <c r="E63" s="88">
        <v>-139.81821804192137</v>
      </c>
      <c r="F63" s="88">
        <v>-140.90074865750091</v>
      </c>
      <c r="G63" s="88">
        <v>-142.37321147398359</v>
      </c>
      <c r="H63" s="88">
        <v>-156.31873392963638</v>
      </c>
      <c r="I63" s="88">
        <v>-160.58725672131885</v>
      </c>
      <c r="J63" s="88">
        <v>-162.39103157252816</v>
      </c>
      <c r="K63" s="89">
        <v>-163.35271085367981</v>
      </c>
      <c r="L63" s="90">
        <v>-1204.5204830707937</v>
      </c>
    </row>
    <row r="64" spans="1:16" ht="16.8">
      <c r="A64" s="86">
        <v>9</v>
      </c>
      <c r="B64" s="75" t="s">
        <v>250</v>
      </c>
      <c r="D64" s="87">
        <v>4234.9966832448035</v>
      </c>
      <c r="E64" s="88">
        <v>4218.817246014868</v>
      </c>
      <c r="F64" s="88">
        <v>4205.3144552237063</v>
      </c>
      <c r="G64" s="88">
        <v>4247.4656576703437</v>
      </c>
      <c r="H64" s="88">
        <v>4764.9758898937098</v>
      </c>
      <c r="I64" s="88">
        <v>4809.4019662825494</v>
      </c>
      <c r="J64" s="88">
        <v>4785.5284262096275</v>
      </c>
      <c r="K64" s="89">
        <v>4731.5879216048897</v>
      </c>
      <c r="L64" s="90">
        <v>0</v>
      </c>
    </row>
    <row r="65" spans="1:12" ht="16.8">
      <c r="A65" s="80"/>
      <c r="B65" s="81" t="s">
        <v>251</v>
      </c>
      <c r="D65" s="91">
        <v>0</v>
      </c>
      <c r="E65" s="92">
        <v>0</v>
      </c>
      <c r="F65" s="92">
        <v>0</v>
      </c>
      <c r="G65" s="92">
        <v>0</v>
      </c>
      <c r="H65" s="92">
        <v>0</v>
      </c>
      <c r="I65" s="92">
        <v>0</v>
      </c>
      <c r="J65" s="92">
        <v>0</v>
      </c>
      <c r="K65" s="93">
        <v>0</v>
      </c>
      <c r="L65" s="94">
        <v>0</v>
      </c>
    </row>
    <row r="66" spans="1:12" ht="16.8">
      <c r="A66" s="86">
        <v>10</v>
      </c>
      <c r="B66" s="75" t="s">
        <v>252</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8">
      <c r="A67" s="86">
        <v>11</v>
      </c>
      <c r="B67" s="75" t="s">
        <v>253</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8">
      <c r="A68" s="86">
        <v>12</v>
      </c>
      <c r="B68" s="75" t="s">
        <v>254</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8">
      <c r="A69" s="86">
        <v>13</v>
      </c>
      <c r="B69" s="75" t="s">
        <v>255</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8">
      <c r="A70" s="86">
        <v>14</v>
      </c>
      <c r="B70" s="75" t="s">
        <v>256</v>
      </c>
      <c r="D70" s="87">
        <v>0</v>
      </c>
      <c r="E70" s="88">
        <v>0</v>
      </c>
      <c r="F70" s="88">
        <v>0</v>
      </c>
      <c r="G70" s="88">
        <v>0</v>
      </c>
      <c r="H70" s="88">
        <v>0</v>
      </c>
      <c r="I70" s="88">
        <v>0</v>
      </c>
      <c r="J70" s="88">
        <v>0</v>
      </c>
      <c r="K70" s="89">
        <v>0</v>
      </c>
      <c r="L70" s="90">
        <v>0</v>
      </c>
    </row>
    <row r="71" spans="1:12" ht="16.8">
      <c r="A71" s="86">
        <v>15</v>
      </c>
      <c r="B71" s="75" t="s">
        <v>257</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8">
      <c r="A72" s="86">
        <v>16</v>
      </c>
      <c r="B72" s="75" t="s">
        <v>258</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8">
      <c r="A73" s="86">
        <v>17</v>
      </c>
      <c r="B73" s="75" t="s">
        <v>259</v>
      </c>
      <c r="D73" s="87">
        <v>12.644268657591024</v>
      </c>
      <c r="E73" s="88">
        <v>14.449255534190641</v>
      </c>
      <c r="F73" s="88">
        <v>16.43442755908881</v>
      </c>
      <c r="G73" s="88">
        <v>21.583941415719533</v>
      </c>
      <c r="H73" s="88">
        <v>29.028375270952761</v>
      </c>
      <c r="I73" s="88">
        <v>22.378892169655941</v>
      </c>
      <c r="J73" s="88">
        <v>24.436898369417349</v>
      </c>
      <c r="K73" s="89">
        <v>27.98727368001045</v>
      </c>
      <c r="L73" s="90">
        <v>168.94333265662652</v>
      </c>
    </row>
    <row r="74" spans="1:12" ht="16.8">
      <c r="A74" s="80"/>
      <c r="B74" s="81" t="s">
        <v>260</v>
      </c>
      <c r="D74" s="91">
        <v>0</v>
      </c>
      <c r="E74" s="92">
        <v>0</v>
      </c>
      <c r="F74" s="92">
        <v>0</v>
      </c>
      <c r="G74" s="92">
        <v>0</v>
      </c>
      <c r="H74" s="92">
        <v>0</v>
      </c>
      <c r="I74" s="92">
        <v>0</v>
      </c>
      <c r="J74" s="92">
        <v>0</v>
      </c>
      <c r="K74" s="93">
        <v>0</v>
      </c>
      <c r="L74" s="94">
        <v>0</v>
      </c>
    </row>
    <row r="75" spans="1:12" ht="16.8">
      <c r="A75" s="86">
        <v>18</v>
      </c>
      <c r="B75" s="75" t="s">
        <v>252</v>
      </c>
      <c r="D75" s="87">
        <v>66.598521331123962</v>
      </c>
      <c r="E75" s="88">
        <v>67.472820316867796</v>
      </c>
      <c r="F75" s="88">
        <v>69.358391105946623</v>
      </c>
      <c r="G75" s="88">
        <v>93.907421891247139</v>
      </c>
      <c r="H75" s="88">
        <v>109.4614779355966</v>
      </c>
      <c r="I75" s="88">
        <v>74.998413516027682</v>
      </c>
      <c r="J75" s="88">
        <v>65.089296911713689</v>
      </c>
      <c r="K75" s="89">
        <v>60.03870434945965</v>
      </c>
      <c r="L75" s="90">
        <v>606.92504735798309</v>
      </c>
    </row>
    <row r="76" spans="1:12" ht="16.8">
      <c r="A76" s="86">
        <v>19</v>
      </c>
      <c r="B76" s="75" t="s">
        <v>253</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8">
      <c r="A77" s="86">
        <v>20</v>
      </c>
      <c r="B77" s="75" t="s">
        <v>254</v>
      </c>
      <c r="D77" s="87">
        <v>138.77857182022461</v>
      </c>
      <c r="E77" s="88">
        <v>139.81821804192137</v>
      </c>
      <c r="F77" s="88">
        <v>140.90074865750091</v>
      </c>
      <c r="G77" s="88">
        <v>142.37321147398359</v>
      </c>
      <c r="H77" s="88">
        <v>156.31873392963638</v>
      </c>
      <c r="I77" s="88">
        <v>160.58725672131885</v>
      </c>
      <c r="J77" s="88">
        <v>162.39103157252816</v>
      </c>
      <c r="K77" s="89">
        <v>163.35271085367981</v>
      </c>
      <c r="L77" s="90">
        <v>1204.5204830707937</v>
      </c>
    </row>
    <row r="78" spans="1:12" ht="16.8">
      <c r="A78" s="86">
        <v>21</v>
      </c>
      <c r="B78" s="75" t="s">
        <v>255</v>
      </c>
      <c r="D78" s="87">
        <v>181.79850693518748</v>
      </c>
      <c r="E78" s="88">
        <v>181.09363656977166</v>
      </c>
      <c r="F78" s="88">
        <v>180.46433564893792</v>
      </c>
      <c r="G78" s="88">
        <v>181.33056661729273</v>
      </c>
      <c r="H78" s="88">
        <v>203.18668474337215</v>
      </c>
      <c r="I78" s="88">
        <v>206.54672414051672</v>
      </c>
      <c r="J78" s="88">
        <v>205.9557242601679</v>
      </c>
      <c r="K78" s="89">
        <v>203.86618301493181</v>
      </c>
      <c r="L78" s="90">
        <v>1544.2423619301783</v>
      </c>
    </row>
    <row r="79" spans="1:12" ht="16.8">
      <c r="A79" s="86">
        <v>22</v>
      </c>
      <c r="B79" s="75" t="s">
        <v>256</v>
      </c>
      <c r="D79" s="87">
        <v>0</v>
      </c>
      <c r="E79" s="88">
        <v>0</v>
      </c>
      <c r="F79" s="88">
        <v>0</v>
      </c>
      <c r="G79" s="88">
        <v>0</v>
      </c>
      <c r="H79" s="88">
        <v>0</v>
      </c>
      <c r="I79" s="88">
        <v>0</v>
      </c>
      <c r="J79" s="88">
        <v>0</v>
      </c>
      <c r="K79" s="89">
        <v>0</v>
      </c>
      <c r="L79" s="90">
        <v>0</v>
      </c>
    </row>
    <row r="80" spans="1:12" ht="16.8">
      <c r="A80" s="86">
        <v>23</v>
      </c>
      <c r="B80" s="75" t="s">
        <v>257</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8">
      <c r="A81" s="86">
        <v>24</v>
      </c>
      <c r="B81" s="75" t="s">
        <v>258</v>
      </c>
      <c r="D81" s="87">
        <v>29.880398309084342</v>
      </c>
      <c r="E81" s="88">
        <v>30.94598462072333</v>
      </c>
      <c r="F81" s="88">
        <v>31.653815333496517</v>
      </c>
      <c r="G81" s="88">
        <v>32.605738639953522</v>
      </c>
      <c r="H81" s="88">
        <v>52.203683591068042</v>
      </c>
      <c r="I81" s="88">
        <v>53.34966363379381</v>
      </c>
      <c r="J81" s="88">
        <v>54.645780303388818</v>
      </c>
      <c r="K81" s="89">
        <v>55.794227077278627</v>
      </c>
      <c r="L81" s="90">
        <v>341.07929150878692</v>
      </c>
    </row>
    <row r="82" spans="1:12" ht="16.8">
      <c r="A82" s="86">
        <v>25</v>
      </c>
      <c r="B82" s="75" t="s">
        <v>259</v>
      </c>
      <c r="D82" s="87">
        <v>12.644268657591024</v>
      </c>
      <c r="E82" s="88">
        <v>14.449255534190641</v>
      </c>
      <c r="F82" s="88">
        <v>16.43442755908881</v>
      </c>
      <c r="G82" s="88">
        <v>21.583941415719533</v>
      </c>
      <c r="H82" s="88">
        <v>29.028375270952761</v>
      </c>
      <c r="I82" s="88">
        <v>22.378892169655941</v>
      </c>
      <c r="J82" s="88">
        <v>24.436898369417349</v>
      </c>
      <c r="K82" s="89">
        <v>27.98727368001045</v>
      </c>
      <c r="L82" s="90">
        <v>168.94333265662652</v>
      </c>
    </row>
    <row r="83" spans="1:12" ht="16.8">
      <c r="A83" s="80"/>
      <c r="B83" s="81" t="s">
        <v>261</v>
      </c>
      <c r="D83" s="91">
        <v>0</v>
      </c>
      <c r="E83" s="92">
        <v>0</v>
      </c>
      <c r="F83" s="92">
        <v>0</v>
      </c>
      <c r="G83" s="92">
        <v>0</v>
      </c>
      <c r="H83" s="92">
        <v>0</v>
      </c>
      <c r="I83" s="92">
        <v>0</v>
      </c>
      <c r="J83" s="92">
        <v>0</v>
      </c>
      <c r="K83" s="93">
        <v>0</v>
      </c>
      <c r="L83" s="95">
        <v>0</v>
      </c>
    </row>
    <row r="84" spans="1:12" ht="16.8">
      <c r="A84" s="86">
        <v>26</v>
      </c>
      <c r="B84" s="75" t="s">
        <v>262</v>
      </c>
      <c r="D84" s="87">
        <v>538.68614139232659</v>
      </c>
      <c r="E84" s="88">
        <v>542.92673270130729</v>
      </c>
      <c r="F84" s="88">
        <v>547.96393826079861</v>
      </c>
      <c r="G84" s="88">
        <v>580.56778765647073</v>
      </c>
      <c r="H84" s="88">
        <v>658.61582706975355</v>
      </c>
      <c r="I84" s="88">
        <v>626.86553438812439</v>
      </c>
      <c r="J84" s="88">
        <v>621.71896646768869</v>
      </c>
      <c r="K84" s="89">
        <v>620.33146114939325</v>
      </c>
      <c r="L84" s="90">
        <v>4737.6763890858638</v>
      </c>
    </row>
    <row r="85" spans="1:12" ht="16.8">
      <c r="A85" s="86">
        <v>27</v>
      </c>
      <c r="B85" s="75" t="s">
        <v>263</v>
      </c>
      <c r="D85" s="87">
        <v>0</v>
      </c>
      <c r="E85" s="88">
        <v>0</v>
      </c>
      <c r="F85" s="88">
        <v>0</v>
      </c>
      <c r="G85" s="88">
        <v>0</v>
      </c>
      <c r="H85" s="88">
        <v>0</v>
      </c>
      <c r="I85" s="88">
        <v>0</v>
      </c>
      <c r="J85" s="88">
        <v>0</v>
      </c>
      <c r="K85" s="89">
        <v>0</v>
      </c>
      <c r="L85" s="90">
        <v>0</v>
      </c>
    </row>
    <row r="86" spans="1:12" ht="16.8">
      <c r="A86" s="86">
        <v>28</v>
      </c>
      <c r="B86" s="75" t="s">
        <v>264</v>
      </c>
      <c r="D86" s="96">
        <v>538.68614139232659</v>
      </c>
      <c r="E86" s="88">
        <v>542.92673270130729</v>
      </c>
      <c r="F86" s="88">
        <v>547.96393826079861</v>
      </c>
      <c r="G86" s="88">
        <v>580.56778765647073</v>
      </c>
      <c r="H86" s="88">
        <v>658.61582706975355</v>
      </c>
      <c r="I86" s="88">
        <v>626.86553438812439</v>
      </c>
      <c r="J86" s="88">
        <v>621.71896646768869</v>
      </c>
      <c r="K86" s="89">
        <v>620.33146114939325</v>
      </c>
      <c r="L86" s="90">
        <v>4737.6763890858638</v>
      </c>
    </row>
    <row r="87" spans="1:12" ht="16.8">
      <c r="A87" s="86">
        <v>29</v>
      </c>
      <c r="B87" s="75" t="s">
        <v>168</v>
      </c>
      <c r="D87" s="96">
        <v>0</v>
      </c>
      <c r="E87" s="88">
        <v>0</v>
      </c>
      <c r="F87" s="88">
        <v>0</v>
      </c>
      <c r="G87" s="88">
        <v>0</v>
      </c>
      <c r="H87" s="88">
        <v>0</v>
      </c>
      <c r="I87" s="88">
        <v>0</v>
      </c>
      <c r="J87" s="88">
        <v>0</v>
      </c>
      <c r="K87" s="89">
        <v>0</v>
      </c>
      <c r="L87" s="90">
        <v>0</v>
      </c>
    </row>
    <row r="88" spans="1:12" ht="16.8">
      <c r="A88" s="86">
        <v>30</v>
      </c>
      <c r="B88" s="75" t="s">
        <v>265</v>
      </c>
      <c r="D88" s="96">
        <v>0</v>
      </c>
      <c r="E88" s="88">
        <v>0</v>
      </c>
      <c r="F88" s="88">
        <v>0</v>
      </c>
      <c r="G88" s="88">
        <v>0</v>
      </c>
      <c r="H88" s="88">
        <v>0</v>
      </c>
      <c r="I88" s="88">
        <v>0</v>
      </c>
      <c r="J88" s="88">
        <v>0</v>
      </c>
      <c r="K88" s="89">
        <v>0</v>
      </c>
      <c r="L88" s="90">
        <v>0</v>
      </c>
    </row>
    <row r="89" spans="1:12" ht="16.8">
      <c r="A89" s="86">
        <v>31</v>
      </c>
      <c r="B89" s="75" t="s">
        <v>266</v>
      </c>
      <c r="D89" s="96">
        <v>3.5</v>
      </c>
      <c r="E89" s="88">
        <v>2.9</v>
      </c>
      <c r="F89" s="88">
        <v>3</v>
      </c>
      <c r="G89" s="88">
        <v>3.1</v>
      </c>
      <c r="H89" s="88">
        <v>3</v>
      </c>
      <c r="I89" s="88">
        <v>3</v>
      </c>
      <c r="J89" s="88">
        <v>3</v>
      </c>
      <c r="K89" s="89">
        <v>3</v>
      </c>
      <c r="L89" s="90">
        <v>24.5</v>
      </c>
    </row>
    <row r="90" spans="1:12" ht="16.8">
      <c r="A90" s="86">
        <v>32</v>
      </c>
      <c r="B90" s="75" t="s">
        <v>267</v>
      </c>
      <c r="D90" s="96">
        <v>542.18614139232659</v>
      </c>
      <c r="E90" s="88">
        <v>545.82673270130726</v>
      </c>
      <c r="F90" s="88">
        <v>550.96393826079861</v>
      </c>
      <c r="G90" s="88">
        <v>583.66778765647075</v>
      </c>
      <c r="H90" s="88">
        <v>661.61582706975355</v>
      </c>
      <c r="I90" s="88">
        <v>629.86553438812439</v>
      </c>
      <c r="J90" s="88">
        <v>624.71896646768869</v>
      </c>
      <c r="K90" s="89">
        <v>623.33146114939325</v>
      </c>
      <c r="L90" s="90">
        <v>4762.1763890858638</v>
      </c>
    </row>
    <row r="91" spans="1:12" ht="16.8">
      <c r="A91" s="80"/>
      <c r="B91" s="81" t="s">
        <v>268</v>
      </c>
      <c r="D91" s="91">
        <v>0</v>
      </c>
      <c r="E91" s="92">
        <v>0</v>
      </c>
      <c r="F91" s="92">
        <v>0</v>
      </c>
      <c r="G91" s="92">
        <v>0</v>
      </c>
      <c r="H91" s="92">
        <v>0</v>
      </c>
      <c r="I91" s="97">
        <v>0</v>
      </c>
      <c r="J91" s="92">
        <v>0</v>
      </c>
      <c r="K91" s="93">
        <v>0</v>
      </c>
      <c r="L91" s="95">
        <v>0</v>
      </c>
    </row>
    <row r="92" spans="1:12" ht="16.8">
      <c r="A92" s="86">
        <v>33</v>
      </c>
      <c r="B92" s="75" t="s">
        <v>268</v>
      </c>
      <c r="D92" s="87">
        <v>538.68614139232659</v>
      </c>
      <c r="E92" s="88">
        <v>542.92673270130729</v>
      </c>
      <c r="F92" s="88">
        <v>547.96393826079861</v>
      </c>
      <c r="G92" s="88">
        <v>580.56778765647073</v>
      </c>
      <c r="H92" s="88">
        <v>658.61582706975355</v>
      </c>
      <c r="I92" s="88">
        <v>626.86553438812439</v>
      </c>
      <c r="J92" s="88">
        <v>621.71896646768869</v>
      </c>
      <c r="K92" s="89">
        <v>620.33146114939325</v>
      </c>
      <c r="L92" s="90">
        <v>4737.6763890858638</v>
      </c>
    </row>
    <row r="93" spans="1:12" ht="16.8">
      <c r="A93" s="86">
        <v>34</v>
      </c>
      <c r="B93" s="75" t="s">
        <v>269</v>
      </c>
      <c r="D93" s="87">
        <v>0</v>
      </c>
      <c r="E93" s="88">
        <v>0</v>
      </c>
      <c r="F93" s="88">
        <v>0</v>
      </c>
      <c r="G93" s="88">
        <v>0</v>
      </c>
      <c r="H93" s="88">
        <v>0</v>
      </c>
      <c r="I93" s="88">
        <v>0</v>
      </c>
      <c r="J93" s="88">
        <v>0</v>
      </c>
      <c r="K93" s="89">
        <v>0</v>
      </c>
      <c r="L93" s="90">
        <v>0</v>
      </c>
    </row>
    <row r="94" spans="1:12" ht="16.8">
      <c r="A94" s="80"/>
      <c r="B94" s="81" t="s">
        <v>270</v>
      </c>
      <c r="D94" s="91">
        <v>0</v>
      </c>
      <c r="E94" s="92">
        <v>0</v>
      </c>
      <c r="F94" s="92">
        <v>0</v>
      </c>
      <c r="G94" s="92">
        <v>0</v>
      </c>
      <c r="H94" s="92">
        <v>0</v>
      </c>
      <c r="I94" s="97">
        <v>0</v>
      </c>
      <c r="J94" s="92">
        <v>0</v>
      </c>
      <c r="K94" s="93">
        <v>0</v>
      </c>
      <c r="L94" s="95">
        <v>0</v>
      </c>
    </row>
    <row r="95" spans="1:12" ht="16.8">
      <c r="A95" s="86">
        <v>35</v>
      </c>
      <c r="B95" s="98">
        <v>41729</v>
      </c>
      <c r="D95" s="96">
        <v>538.68614139232659</v>
      </c>
      <c r="E95" s="88">
        <v>542.92673270130729</v>
      </c>
      <c r="F95" s="88">
        <v>547.96393826079861</v>
      </c>
      <c r="G95" s="88">
        <v>580.56778765647073</v>
      </c>
      <c r="H95" s="88">
        <v>658.61582706975355</v>
      </c>
      <c r="I95" s="88">
        <v>626.86553438812439</v>
      </c>
      <c r="J95" s="88">
        <v>621.71896646768869</v>
      </c>
      <c r="K95" s="89">
        <v>620.33146114939325</v>
      </c>
      <c r="L95" s="90">
        <v>4737.6763890858638</v>
      </c>
    </row>
    <row r="96" spans="1:12" ht="16.8">
      <c r="A96" s="86">
        <v>36</v>
      </c>
      <c r="B96" s="98">
        <v>42094</v>
      </c>
      <c r="D96" s="96">
        <v>0</v>
      </c>
      <c r="E96" s="88">
        <v>0</v>
      </c>
      <c r="F96" s="88">
        <v>0</v>
      </c>
      <c r="G96" s="88">
        <v>0</v>
      </c>
      <c r="H96" s="88">
        <v>0</v>
      </c>
      <c r="I96" s="88">
        <v>0</v>
      </c>
      <c r="J96" s="88">
        <v>0</v>
      </c>
      <c r="K96" s="89">
        <v>0</v>
      </c>
      <c r="L96" s="90">
        <v>0</v>
      </c>
    </row>
    <row r="97" spans="1:12" ht="16.8">
      <c r="A97" s="86">
        <v>37</v>
      </c>
      <c r="B97" s="98">
        <v>42460</v>
      </c>
      <c r="D97" s="96">
        <v>0</v>
      </c>
      <c r="E97" s="88">
        <v>0</v>
      </c>
      <c r="F97" s="88">
        <v>0</v>
      </c>
      <c r="G97" s="88">
        <v>0</v>
      </c>
      <c r="H97" s="88">
        <v>0</v>
      </c>
      <c r="I97" s="88">
        <v>0</v>
      </c>
      <c r="J97" s="88">
        <v>0</v>
      </c>
      <c r="K97" s="89">
        <v>0</v>
      </c>
      <c r="L97" s="90">
        <v>0</v>
      </c>
    </row>
    <row r="98" spans="1:12" ht="16.8">
      <c r="A98" s="86">
        <v>38</v>
      </c>
      <c r="B98" s="98">
        <v>42825</v>
      </c>
      <c r="D98" s="96">
        <v>0</v>
      </c>
      <c r="E98" s="88">
        <v>0</v>
      </c>
      <c r="F98" s="88">
        <v>0</v>
      </c>
      <c r="G98" s="88">
        <v>0</v>
      </c>
      <c r="H98" s="88">
        <v>0</v>
      </c>
      <c r="I98" s="88">
        <v>0</v>
      </c>
      <c r="J98" s="88">
        <v>0</v>
      </c>
      <c r="K98" s="89">
        <v>0</v>
      </c>
      <c r="L98" s="90">
        <v>0</v>
      </c>
    </row>
    <row r="99" spans="1:12" ht="16.8">
      <c r="A99" s="86">
        <v>39</v>
      </c>
      <c r="B99" s="98">
        <v>43190</v>
      </c>
      <c r="D99" s="96">
        <v>0</v>
      </c>
      <c r="E99" s="88">
        <v>0</v>
      </c>
      <c r="F99" s="88">
        <v>0</v>
      </c>
      <c r="G99" s="88">
        <v>0</v>
      </c>
      <c r="H99" s="88">
        <v>0</v>
      </c>
      <c r="I99" s="88">
        <v>0</v>
      </c>
      <c r="J99" s="88">
        <v>0</v>
      </c>
      <c r="K99" s="89">
        <v>0</v>
      </c>
      <c r="L99" s="90">
        <v>0</v>
      </c>
    </row>
    <row r="100" spans="1:12" ht="16.8">
      <c r="A100" s="86">
        <v>40</v>
      </c>
      <c r="B100" s="98">
        <v>43555</v>
      </c>
      <c r="D100" s="96">
        <v>0</v>
      </c>
      <c r="E100" s="88">
        <v>0</v>
      </c>
      <c r="F100" s="88">
        <v>0</v>
      </c>
      <c r="G100" s="88">
        <v>0</v>
      </c>
      <c r="H100" s="88">
        <v>0</v>
      </c>
      <c r="I100" s="88">
        <v>0</v>
      </c>
      <c r="J100" s="88">
        <v>0</v>
      </c>
      <c r="K100" s="89">
        <v>0</v>
      </c>
      <c r="L100" s="90">
        <v>0</v>
      </c>
    </row>
    <row r="101" spans="1:12" ht="16.8">
      <c r="A101" s="86">
        <v>41</v>
      </c>
      <c r="B101" s="98">
        <v>43921</v>
      </c>
      <c r="D101" s="96">
        <v>0</v>
      </c>
      <c r="E101" s="88">
        <v>0</v>
      </c>
      <c r="F101" s="88">
        <v>0</v>
      </c>
      <c r="G101" s="88">
        <v>0</v>
      </c>
      <c r="H101" s="88">
        <v>0</v>
      </c>
      <c r="I101" s="88">
        <v>0</v>
      </c>
      <c r="J101" s="88">
        <v>0</v>
      </c>
      <c r="K101" s="89">
        <v>0</v>
      </c>
      <c r="L101" s="90">
        <v>0</v>
      </c>
    </row>
    <row r="102" spans="1:12" ht="16.8">
      <c r="A102" s="86">
        <v>42</v>
      </c>
      <c r="B102" s="98">
        <v>44286</v>
      </c>
      <c r="D102" s="96">
        <v>0</v>
      </c>
      <c r="E102" s="88">
        <v>0</v>
      </c>
      <c r="F102" s="88">
        <v>0</v>
      </c>
      <c r="G102" s="88">
        <v>0</v>
      </c>
      <c r="H102" s="88">
        <v>0</v>
      </c>
      <c r="I102" s="88">
        <v>0</v>
      </c>
      <c r="J102" s="88">
        <v>0</v>
      </c>
      <c r="K102" s="89">
        <v>0</v>
      </c>
      <c r="L102" s="90">
        <v>0</v>
      </c>
    </row>
    <row r="103" spans="1:12" ht="16.8">
      <c r="A103" s="80"/>
      <c r="B103" s="81" t="s">
        <v>271</v>
      </c>
      <c r="D103" s="91">
        <v>0</v>
      </c>
      <c r="E103" s="92">
        <v>0</v>
      </c>
      <c r="F103" s="92">
        <v>0</v>
      </c>
      <c r="G103" s="92">
        <v>0</v>
      </c>
      <c r="H103" s="92">
        <v>0</v>
      </c>
      <c r="I103" s="97">
        <v>0</v>
      </c>
      <c r="J103" s="92">
        <v>0</v>
      </c>
      <c r="K103" s="93">
        <v>0</v>
      </c>
      <c r="L103" s="95">
        <v>0</v>
      </c>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0</v>
      </c>
      <c r="F105" s="88">
        <v>0</v>
      </c>
      <c r="G105" s="88">
        <v>0</v>
      </c>
      <c r="H105" s="88">
        <v>0</v>
      </c>
      <c r="I105" s="88">
        <v>0</v>
      </c>
      <c r="J105" s="88">
        <v>0</v>
      </c>
      <c r="K105" s="89">
        <v>0</v>
      </c>
      <c r="L105" s="90">
        <v>0</v>
      </c>
    </row>
    <row r="106" spans="1:12" ht="16.8">
      <c r="A106" s="86">
        <v>45</v>
      </c>
      <c r="B106" s="98">
        <v>42460</v>
      </c>
      <c r="D106" s="96">
        <v>0</v>
      </c>
      <c r="E106" s="88">
        <v>0</v>
      </c>
      <c r="F106" s="88">
        <v>0</v>
      </c>
      <c r="G106" s="88">
        <v>0</v>
      </c>
      <c r="H106" s="88">
        <v>0</v>
      </c>
      <c r="I106" s="88">
        <v>0</v>
      </c>
      <c r="J106" s="88">
        <v>0</v>
      </c>
      <c r="K106" s="89">
        <v>0</v>
      </c>
      <c r="L106" s="90">
        <v>0</v>
      </c>
    </row>
    <row r="107" spans="1:12" ht="16.8">
      <c r="A107" s="86">
        <v>46</v>
      </c>
      <c r="B107" s="98">
        <v>42825</v>
      </c>
      <c r="D107" s="96">
        <v>0</v>
      </c>
      <c r="E107" s="88">
        <v>0</v>
      </c>
      <c r="F107" s="88">
        <v>0</v>
      </c>
      <c r="G107" s="88">
        <v>0</v>
      </c>
      <c r="H107" s="88">
        <v>0</v>
      </c>
      <c r="I107" s="88">
        <v>0</v>
      </c>
      <c r="J107" s="88">
        <v>0</v>
      </c>
      <c r="K107" s="89">
        <v>0</v>
      </c>
      <c r="L107" s="90">
        <v>0</v>
      </c>
    </row>
    <row r="108" spans="1:12" ht="16.8">
      <c r="A108" s="86">
        <v>47</v>
      </c>
      <c r="B108" s="98">
        <v>43190</v>
      </c>
      <c r="D108" s="96">
        <v>0</v>
      </c>
      <c r="E108" s="88">
        <v>0</v>
      </c>
      <c r="F108" s="88">
        <v>0</v>
      </c>
      <c r="G108" s="88">
        <v>0</v>
      </c>
      <c r="H108" s="88">
        <v>0</v>
      </c>
      <c r="I108" s="88">
        <v>0</v>
      </c>
      <c r="J108" s="88">
        <v>0</v>
      </c>
      <c r="K108" s="89">
        <v>0</v>
      </c>
      <c r="L108" s="90">
        <v>0</v>
      </c>
    </row>
    <row r="109" spans="1:12" ht="16.8">
      <c r="A109" s="86">
        <v>48</v>
      </c>
      <c r="B109" s="98">
        <v>43555</v>
      </c>
      <c r="D109" s="96">
        <v>0</v>
      </c>
      <c r="E109" s="88">
        <v>0</v>
      </c>
      <c r="F109" s="88">
        <v>0</v>
      </c>
      <c r="G109" s="88">
        <v>0</v>
      </c>
      <c r="H109" s="88">
        <v>0</v>
      </c>
      <c r="I109" s="88">
        <v>0</v>
      </c>
      <c r="J109" s="88">
        <v>0</v>
      </c>
      <c r="K109" s="89">
        <v>0</v>
      </c>
      <c r="L109" s="90">
        <v>0</v>
      </c>
    </row>
    <row r="110" spans="1:12" ht="16.8">
      <c r="A110" s="86">
        <v>49</v>
      </c>
      <c r="B110" s="98">
        <v>43921</v>
      </c>
      <c r="D110" s="96">
        <v>0</v>
      </c>
      <c r="E110" s="88">
        <v>0</v>
      </c>
      <c r="F110" s="88">
        <v>0</v>
      </c>
      <c r="G110" s="88">
        <v>0</v>
      </c>
      <c r="H110" s="88">
        <v>0</v>
      </c>
      <c r="I110" s="88">
        <v>0</v>
      </c>
      <c r="J110" s="88">
        <v>0</v>
      </c>
      <c r="K110" s="89">
        <v>0</v>
      </c>
      <c r="L110" s="90">
        <v>0</v>
      </c>
    </row>
    <row r="111" spans="1:12" ht="16.8">
      <c r="A111" s="86">
        <v>50</v>
      </c>
      <c r="B111" s="98">
        <v>44286</v>
      </c>
      <c r="D111" s="96">
        <v>0</v>
      </c>
      <c r="E111" s="88">
        <v>0</v>
      </c>
      <c r="F111" s="88">
        <v>0</v>
      </c>
      <c r="G111" s="88">
        <v>0</v>
      </c>
      <c r="H111" s="88">
        <v>0</v>
      </c>
      <c r="I111" s="88">
        <v>0</v>
      </c>
      <c r="J111" s="88">
        <v>0</v>
      </c>
      <c r="K111" s="89">
        <v>0</v>
      </c>
      <c r="L111" s="90">
        <v>0</v>
      </c>
    </row>
    <row r="112" spans="1:12" ht="16.8">
      <c r="A112" s="80"/>
      <c r="B112" s="81" t="s">
        <v>272</v>
      </c>
      <c r="D112" s="91">
        <v>0</v>
      </c>
      <c r="E112" s="92">
        <v>0</v>
      </c>
      <c r="F112" s="92">
        <v>0</v>
      </c>
      <c r="G112" s="92">
        <v>0</v>
      </c>
      <c r="H112" s="92">
        <v>0</v>
      </c>
      <c r="I112" s="97">
        <v>0</v>
      </c>
      <c r="J112" s="92">
        <v>0</v>
      </c>
      <c r="K112" s="93">
        <v>0</v>
      </c>
      <c r="L112" s="95">
        <v>0</v>
      </c>
    </row>
    <row r="113" spans="1:12" ht="16.8">
      <c r="A113" s="86">
        <v>51</v>
      </c>
      <c r="B113" s="75" t="s">
        <v>273</v>
      </c>
      <c r="D113" s="87">
        <v>4155.3944442328566</v>
      </c>
      <c r="E113" s="88">
        <v>4139.2831215947808</v>
      </c>
      <c r="F113" s="88">
        <v>4124.8991005471526</v>
      </c>
      <c r="G113" s="88">
        <v>4144.6986655381197</v>
      </c>
      <c r="H113" s="88">
        <v>4644.2670798485069</v>
      </c>
      <c r="I113" s="88">
        <v>4721.0679803546682</v>
      </c>
      <c r="J113" s="88">
        <v>4707.5594116609809</v>
      </c>
      <c r="K113" s="89">
        <v>4659.798468912727</v>
      </c>
      <c r="L113" s="90">
        <v>35296.968272689788</v>
      </c>
    </row>
    <row r="114" spans="1:12" ht="16.8">
      <c r="A114" s="86">
        <v>52</v>
      </c>
      <c r="B114" s="75" t="s">
        <v>26</v>
      </c>
      <c r="D114" s="99">
        <v>0.625</v>
      </c>
      <c r="E114" s="100">
        <v>0.625</v>
      </c>
      <c r="F114" s="100">
        <v>0.625</v>
      </c>
      <c r="G114" s="100">
        <v>0.625</v>
      </c>
      <c r="H114" s="100">
        <v>0.625</v>
      </c>
      <c r="I114" s="100">
        <v>0.625</v>
      </c>
      <c r="J114" s="100">
        <v>0.625</v>
      </c>
      <c r="K114" s="101">
        <v>0.625</v>
      </c>
      <c r="L114" s="102">
        <v>0.62499999999999989</v>
      </c>
    </row>
    <row r="115" spans="1:12" ht="16.8">
      <c r="A115" s="86">
        <v>53</v>
      </c>
      <c r="B115" s="75" t="s">
        <v>274</v>
      </c>
      <c r="D115" s="87">
        <v>1558.2729165873211</v>
      </c>
      <c r="E115" s="88">
        <v>1552.2311705980428</v>
      </c>
      <c r="F115" s="88">
        <v>1546.8371627051822</v>
      </c>
      <c r="G115" s="88">
        <v>1554.261999576795</v>
      </c>
      <c r="H115" s="88">
        <v>1741.6001549431901</v>
      </c>
      <c r="I115" s="88">
        <v>1770.4004926330006</v>
      </c>
      <c r="J115" s="88">
        <v>1765.3347793728678</v>
      </c>
      <c r="K115" s="89">
        <v>1747.4244258422727</v>
      </c>
      <c r="L115" s="90">
        <v>13236.363102258674</v>
      </c>
    </row>
    <row r="116" spans="1:12" ht="16.8">
      <c r="A116" s="86">
        <v>54</v>
      </c>
      <c r="B116" s="75" t="s">
        <v>275</v>
      </c>
      <c r="D116" s="87">
        <v>75.835948607249634</v>
      </c>
      <c r="E116" s="88">
        <v>75.541916969104747</v>
      </c>
      <c r="F116" s="88">
        <v>75.279408584985546</v>
      </c>
      <c r="G116" s="88">
        <v>75.640750646070686</v>
      </c>
      <c r="H116" s="88">
        <v>84.757874207235247</v>
      </c>
      <c r="I116" s="88">
        <v>86.159490641472686</v>
      </c>
      <c r="J116" s="88">
        <v>85.91295926281289</v>
      </c>
      <c r="K116" s="89">
        <v>85.041322057657268</v>
      </c>
      <c r="L116" s="90">
        <v>644.16967097658869</v>
      </c>
    </row>
    <row r="117" spans="1:12" ht="17.399999999999999" thickBot="1">
      <c r="A117" s="103">
        <v>55</v>
      </c>
      <c r="B117" s="104" t="s">
        <v>276</v>
      </c>
      <c r="D117" s="105">
        <v>105.96255832793784</v>
      </c>
      <c r="E117" s="106">
        <v>105.55171960066691</v>
      </c>
      <c r="F117" s="106">
        <v>105.18492706395237</v>
      </c>
      <c r="G117" s="106">
        <v>105.68981597122205</v>
      </c>
      <c r="H117" s="106">
        <v>118.42881053613691</v>
      </c>
      <c r="I117" s="106">
        <v>120.38723349904403</v>
      </c>
      <c r="J117" s="106">
        <v>120.04276499735501</v>
      </c>
      <c r="K117" s="107">
        <v>118.82486095727454</v>
      </c>
      <c r="L117" s="108">
        <v>900.07269095358959</v>
      </c>
    </row>
    <row r="118" spans="1:12">
      <c r="D118" s="53"/>
      <c r="E118" s="53"/>
      <c r="F118" s="53"/>
      <c r="G118" s="53"/>
      <c r="H118" s="53"/>
      <c r="I118" s="53"/>
      <c r="J118" s="53"/>
      <c r="K118" s="53"/>
    </row>
    <row r="119" spans="1:12" ht="16.8">
      <c r="B119" s="75" t="s">
        <v>277</v>
      </c>
      <c r="D119" s="96">
        <v>94.224999999999994</v>
      </c>
      <c r="E119" s="88">
        <v>87.484999999999999</v>
      </c>
      <c r="F119" s="88">
        <v>79.322999999999993</v>
      </c>
      <c r="G119" s="88">
        <v>58.722999999999999</v>
      </c>
      <c r="H119" s="88">
        <v>3.3000000000000002E-2</v>
      </c>
      <c r="I119" s="88">
        <v>3.3000000000000002E-2</v>
      </c>
      <c r="J119" s="88">
        <v>0</v>
      </c>
      <c r="K119" s="88">
        <v>0</v>
      </c>
      <c r="L119" s="172">
        <v>319.822</v>
      </c>
    </row>
    <row r="120" spans="1:12">
      <c r="D120" s="53"/>
      <c r="E120" s="53"/>
      <c r="F120" s="53"/>
      <c r="G120" s="53"/>
      <c r="H120" s="53"/>
      <c r="I120" s="53"/>
      <c r="J120" s="53"/>
      <c r="K120" s="53"/>
    </row>
    <row r="121" spans="1:12" ht="16.8">
      <c r="B121" s="213" t="s">
        <v>278</v>
      </c>
      <c r="D121" s="53">
        <v>66.598521331123962</v>
      </c>
      <c r="E121" s="53">
        <v>67.472820316867796</v>
      </c>
      <c r="F121" s="53">
        <v>69.358391105946623</v>
      </c>
      <c r="G121" s="53">
        <v>93.907421891247139</v>
      </c>
      <c r="H121" s="53">
        <v>109.4614779355966</v>
      </c>
      <c r="I121" s="53">
        <v>74.998413516027682</v>
      </c>
      <c r="J121" s="53">
        <v>65.089296911713689</v>
      </c>
      <c r="K121" s="53">
        <v>60.03870434945965</v>
      </c>
    </row>
    <row r="122" spans="1:12">
      <c r="B122" t="s">
        <v>279</v>
      </c>
      <c r="D122" s="53">
        <v>120.47597679001079</v>
      </c>
      <c r="E122" s="53">
        <v>122.05757383163726</v>
      </c>
      <c r="F122" s="53">
        <v>125.46855020289223</v>
      </c>
      <c r="G122" s="53">
        <v>169.87747106169431</v>
      </c>
      <c r="H122" s="53">
        <v>198.01458368124784</v>
      </c>
      <c r="I122" s="53">
        <v>135.67128737169054</v>
      </c>
      <c r="J122" s="53">
        <v>117.74580677287534</v>
      </c>
      <c r="K122" s="53">
        <v>108.60934157598881</v>
      </c>
    </row>
    <row r="123" spans="1:12" ht="16.8">
      <c r="B123" s="213" t="s">
        <v>280</v>
      </c>
      <c r="D123" s="53">
        <v>0</v>
      </c>
      <c r="E123" s="53">
        <v>0</v>
      </c>
      <c r="F123" s="53">
        <v>0</v>
      </c>
      <c r="G123" s="53">
        <v>0</v>
      </c>
      <c r="H123" s="53">
        <v>0</v>
      </c>
      <c r="I123" s="53">
        <v>0</v>
      </c>
      <c r="J123" s="53">
        <v>0</v>
      </c>
      <c r="K123" s="53">
        <v>0</v>
      </c>
    </row>
    <row r="124" spans="1:12">
      <c r="B124" t="s">
        <v>281</v>
      </c>
      <c r="D124" s="53">
        <v>0</v>
      </c>
      <c r="E124" s="53">
        <v>0</v>
      </c>
      <c r="F124" s="53">
        <v>0</v>
      </c>
      <c r="G124" s="53">
        <v>0</v>
      </c>
      <c r="H124" s="53">
        <v>0</v>
      </c>
      <c r="I124" s="53">
        <v>0</v>
      </c>
      <c r="J124" s="53">
        <v>0</v>
      </c>
      <c r="K124" s="53">
        <v>0</v>
      </c>
    </row>
    <row r="125" spans="1:12">
      <c r="D125" s="53"/>
      <c r="E125" s="53"/>
      <c r="F125" s="53"/>
      <c r="G125" s="53"/>
      <c r="H125" s="53"/>
      <c r="I125" s="53"/>
      <c r="J125" s="53"/>
      <c r="K125" s="53"/>
    </row>
    <row r="126" spans="1:12">
      <c r="B126" t="s">
        <v>282</v>
      </c>
      <c r="D126" s="53">
        <v>97.132518315217595</v>
      </c>
      <c r="E126" s="53">
        <v>109.87971241227922</v>
      </c>
      <c r="F126" s="53">
        <v>114.43672637584547</v>
      </c>
      <c r="G126" s="53">
        <v>123.96977718673423</v>
      </c>
      <c r="H126" s="53">
        <v>138.27838395379189</v>
      </c>
      <c r="I126" s="53">
        <v>117.50342084599842</v>
      </c>
      <c r="J126" s="53">
        <v>101.87556011564801</v>
      </c>
      <c r="K126" s="53">
        <v>91.157975802007329</v>
      </c>
    </row>
    <row r="127" spans="1:12">
      <c r="B127" t="s">
        <v>283</v>
      </c>
      <c r="D127" s="53">
        <v>34.579176520217459</v>
      </c>
      <c r="E127" s="53">
        <v>39.1171776187714</v>
      </c>
      <c r="F127" s="53">
        <v>40.739474589800984</v>
      </c>
      <c r="G127" s="53">
        <v>44.133240678477385</v>
      </c>
      <c r="H127" s="53">
        <v>49.227104687549911</v>
      </c>
      <c r="I127" s="53">
        <v>41.831217821175436</v>
      </c>
      <c r="J127" s="53">
        <v>36.267699401170688</v>
      </c>
      <c r="K127" s="53">
        <v>32.452239385514609</v>
      </c>
    </row>
    <row r="128" spans="1:12">
      <c r="B128" t="s">
        <v>284</v>
      </c>
      <c r="D128" s="53">
        <f>D126-D127</f>
        <v>62.553341795000136</v>
      </c>
      <c r="E128" s="53">
        <f t="shared" ref="E128:K128" si="55">E126-E127</f>
        <v>70.762534793507825</v>
      </c>
      <c r="F128" s="53">
        <f t="shared" si="55"/>
        <v>73.69725178604449</v>
      </c>
      <c r="G128" s="53">
        <f t="shared" si="55"/>
        <v>79.836536508256842</v>
      </c>
      <c r="H128" s="53">
        <f t="shared" si="55"/>
        <v>89.051279266241977</v>
      </c>
      <c r="I128" s="53">
        <f t="shared" si="55"/>
        <v>75.672203024822977</v>
      </c>
      <c r="J128" s="53">
        <f t="shared" si="55"/>
        <v>65.607860714477326</v>
      </c>
      <c r="K128" s="53">
        <f t="shared" si="55"/>
        <v>58.705736416492719</v>
      </c>
    </row>
    <row r="129" spans="2:25">
      <c r="D129" s="53"/>
      <c r="E129" s="53"/>
      <c r="F129" s="53"/>
      <c r="G129" s="53"/>
      <c r="H129" s="53"/>
      <c r="I129" s="53"/>
      <c r="J129" s="53"/>
      <c r="K129" s="53"/>
    </row>
    <row r="130" spans="2:25">
      <c r="B130" t="s">
        <v>430</v>
      </c>
      <c r="D130" s="196">
        <v>308.75273694375045</v>
      </c>
      <c r="E130" s="196">
        <v>313.89720450059929</v>
      </c>
      <c r="F130" s="196">
        <v>330.26456177636072</v>
      </c>
      <c r="G130" s="196">
        <v>376.83616903024597</v>
      </c>
      <c r="H130" s="196">
        <v>0</v>
      </c>
      <c r="I130" s="196">
        <v>0</v>
      </c>
      <c r="J130" s="196">
        <v>0</v>
      </c>
      <c r="K130" s="196">
        <v>0</v>
      </c>
    </row>
    <row r="131" spans="2:25">
      <c r="B131" t="s">
        <v>206</v>
      </c>
      <c r="D131" s="196">
        <v>14.16619923431</v>
      </c>
      <c r="E131" s="196">
        <v>26.016783731295874</v>
      </c>
      <c r="F131" s="196">
        <v>69.473671529071126</v>
      </c>
      <c r="G131" s="196">
        <v>108.4200133736822</v>
      </c>
      <c r="H131" s="196">
        <v>69.349803718573156</v>
      </c>
      <c r="I131" s="196">
        <v>20.779442706835688</v>
      </c>
      <c r="J131" s="196">
        <v>0.81062265305823133</v>
      </c>
      <c r="K131" s="196">
        <v>0</v>
      </c>
    </row>
    <row r="132" spans="2:25" ht="16.8">
      <c r="B132" s="110" t="s">
        <v>287</v>
      </c>
      <c r="D132" s="196">
        <v>7.4327667170082803</v>
      </c>
      <c r="E132" s="196">
        <v>7.7122608119828824</v>
      </c>
      <c r="F132" s="196">
        <v>8.2473634361549806</v>
      </c>
      <c r="G132" s="196">
        <v>9.4340419520691015</v>
      </c>
      <c r="H132" s="196">
        <v>0</v>
      </c>
      <c r="I132" s="196">
        <v>0</v>
      </c>
      <c r="J132" s="196">
        <v>0</v>
      </c>
      <c r="K132" s="196">
        <v>0</v>
      </c>
    </row>
    <row r="133" spans="2:25" ht="16.8">
      <c r="B133" s="110" t="s">
        <v>288</v>
      </c>
      <c r="D133" s="53">
        <f>SUM(D130:D131)-D132</f>
        <v>315.48616946105216</v>
      </c>
      <c r="E133" s="53">
        <f t="shared" ref="E133:K133" si="56">SUM(E130:E131)-E132</f>
        <v>332.20172741991223</v>
      </c>
      <c r="F133" s="53">
        <f t="shared" si="56"/>
        <v>391.49086986927688</v>
      </c>
      <c r="G133" s="53">
        <f t="shared" si="56"/>
        <v>475.82214045185907</v>
      </c>
      <c r="H133" s="53">
        <f t="shared" si="56"/>
        <v>69.349803718573156</v>
      </c>
      <c r="I133" s="53">
        <f t="shared" si="56"/>
        <v>20.779442706835688</v>
      </c>
      <c r="J133" s="53">
        <f t="shared" si="56"/>
        <v>0.81062265305823133</v>
      </c>
      <c r="K133" s="53">
        <f t="shared" si="56"/>
        <v>0</v>
      </c>
    </row>
    <row r="134" spans="2:25">
      <c r="D134" s="53"/>
      <c r="E134" s="53"/>
      <c r="F134" s="53"/>
      <c r="G134" s="53"/>
      <c r="H134" s="53"/>
      <c r="I134" s="53"/>
      <c r="J134" s="53"/>
      <c r="K134" s="53"/>
    </row>
    <row r="135" spans="2:25">
      <c r="B135" t="s">
        <v>289</v>
      </c>
      <c r="D135" s="53">
        <f>D61+D130</f>
        <v>4562.0597731988728</v>
      </c>
      <c r="E135" s="53">
        <f>D138</f>
        <v>4550.4828527058562</v>
      </c>
      <c r="F135" s="53">
        <f t="shared" ref="F135:K135" si="57">E138</f>
        <v>4551.0189734347805</v>
      </c>
      <c r="G135" s="53">
        <f t="shared" si="57"/>
        <v>4596.8053250929834</v>
      </c>
      <c r="H135" s="53">
        <f t="shared" si="57"/>
        <v>4723.2877981222027</v>
      </c>
      <c r="I135" s="53">
        <f t="shared" si="57"/>
        <v>4834.3256936122825</v>
      </c>
      <c r="J135" s="53">
        <f t="shared" si="57"/>
        <v>4830.1814089893851</v>
      </c>
      <c r="K135" s="53">
        <f t="shared" si="57"/>
        <v>4786.3390488626865</v>
      </c>
      <c r="L135" s="53"/>
      <c r="N135" s="53">
        <f t="shared" ref="N135:U135" si="58">D135*N$1</f>
        <v>5323.9237553230851</v>
      </c>
      <c r="O135" s="53">
        <f t="shared" si="58"/>
        <v>5415.0745947199684</v>
      </c>
      <c r="P135" s="53">
        <f t="shared" si="58"/>
        <v>5470.3248060686055</v>
      </c>
      <c r="Q135" s="53">
        <f t="shared" si="58"/>
        <v>5644.876939214183</v>
      </c>
      <c r="R135" s="53">
        <f t="shared" si="58"/>
        <v>6017.4686548076861</v>
      </c>
      <c r="S135" s="53">
        <f t="shared" si="58"/>
        <v>6347.4696357129269</v>
      </c>
      <c r="T135" s="53">
        <f t="shared" si="58"/>
        <v>6515.9147207266806</v>
      </c>
      <c r="U135" s="53">
        <f t="shared" si="58"/>
        <v>6643.4385998214084</v>
      </c>
    </row>
    <row r="136" spans="2:25">
      <c r="B136" t="str">
        <f>B62</f>
        <v>RAV additions (after disposals)</v>
      </c>
      <c r="D136" s="53">
        <f>D62+D131</f>
        <v>134.63441804421612</v>
      </c>
      <c r="E136" s="53">
        <f t="shared" ref="E136:K136" si="59">E62+E131</f>
        <v>148.06659958282847</v>
      </c>
      <c r="F136" s="53">
        <f t="shared" si="59"/>
        <v>194.93446375185869</v>
      </c>
      <c r="G136" s="53">
        <f t="shared" si="59"/>
        <v>278.28972645527188</v>
      </c>
      <c r="H136" s="53">
        <f t="shared" si="59"/>
        <v>267.35662941971634</v>
      </c>
      <c r="I136" s="53">
        <f t="shared" si="59"/>
        <v>156.44297209842156</v>
      </c>
      <c r="J136" s="53">
        <f t="shared" si="59"/>
        <v>118.5486714458289</v>
      </c>
      <c r="K136" s="53">
        <f t="shared" si="59"/>
        <v>108.60158359588414</v>
      </c>
    </row>
    <row r="137" spans="2:25">
      <c r="B137" t="str">
        <f>B63</f>
        <v>Depreciation</v>
      </c>
      <c r="D137" s="53">
        <f>D63-D132</f>
        <v>-146.2113385372329</v>
      </c>
      <c r="E137" s="53">
        <f t="shared" ref="E137:K137" si="60">E63-E132</f>
        <v>-147.53047885390424</v>
      </c>
      <c r="F137" s="53">
        <f t="shared" si="60"/>
        <v>-149.1481120936559</v>
      </c>
      <c r="G137" s="53">
        <f t="shared" si="60"/>
        <v>-151.80725342605268</v>
      </c>
      <c r="H137" s="53">
        <f t="shared" si="60"/>
        <v>-156.31873392963638</v>
      </c>
      <c r="I137" s="53">
        <f t="shared" si="60"/>
        <v>-160.58725672131885</v>
      </c>
      <c r="J137" s="53">
        <f t="shared" si="60"/>
        <v>-162.39103157252816</v>
      </c>
      <c r="K137" s="53">
        <f t="shared" si="60"/>
        <v>-163.35271085367981</v>
      </c>
    </row>
    <row r="138" spans="2:25">
      <c r="B138" t="str">
        <f>B64</f>
        <v>Closing asset value</v>
      </c>
      <c r="D138" s="53">
        <f>SUM(D135:D137)</f>
        <v>4550.4828527058562</v>
      </c>
      <c r="E138" s="53">
        <f t="shared" ref="E138:K138" si="61">SUM(E135:E137)</f>
        <v>4551.0189734347805</v>
      </c>
      <c r="F138" s="53">
        <f t="shared" si="61"/>
        <v>4596.8053250929834</v>
      </c>
      <c r="G138" s="53">
        <f t="shared" si="61"/>
        <v>4723.2877981222027</v>
      </c>
      <c r="H138" s="53">
        <f t="shared" si="61"/>
        <v>4834.3256936122825</v>
      </c>
      <c r="I138" s="53">
        <f t="shared" si="61"/>
        <v>4830.1814089893851</v>
      </c>
      <c r="J138" s="53">
        <f t="shared" si="61"/>
        <v>4786.3390488626865</v>
      </c>
      <c r="K138" s="53">
        <f t="shared" si="61"/>
        <v>4731.5879216048907</v>
      </c>
      <c r="N138" s="53">
        <f t="shared" ref="N138:U138" si="62">D138*N$1</f>
        <v>5310.4134891077347</v>
      </c>
      <c r="O138" s="53">
        <f t="shared" si="62"/>
        <v>5415.7125783873889</v>
      </c>
      <c r="P138" s="53">
        <f t="shared" si="62"/>
        <v>5525.3600007617661</v>
      </c>
      <c r="Q138" s="53">
        <f t="shared" si="62"/>
        <v>5800.1974160940645</v>
      </c>
      <c r="R138" s="53">
        <f t="shared" si="62"/>
        <v>6158.9309336620481</v>
      </c>
      <c r="S138" s="53">
        <f t="shared" si="62"/>
        <v>6342.0281900030623</v>
      </c>
      <c r="T138" s="53">
        <f t="shared" si="62"/>
        <v>6456.7713769157635</v>
      </c>
      <c r="U138" s="53">
        <f t="shared" si="62"/>
        <v>6567.4440351875874</v>
      </c>
      <c r="V138" s="53"/>
      <c r="W138" s="53"/>
      <c r="X138" s="53"/>
      <c r="Y138" s="53"/>
    </row>
    <row r="139" spans="2:25">
      <c r="B139" t="s">
        <v>201</v>
      </c>
      <c r="D139" s="53">
        <f>D64+D133-D138</f>
        <v>0</v>
      </c>
      <c r="E139" s="53">
        <f t="shared" ref="E139:K139" si="63">E64+E133-E138</f>
        <v>0</v>
      </c>
      <c r="F139" s="53">
        <f t="shared" si="63"/>
        <v>0</v>
      </c>
      <c r="G139" s="53">
        <f t="shared" si="63"/>
        <v>0</v>
      </c>
      <c r="H139" s="53">
        <f t="shared" si="63"/>
        <v>0</v>
      </c>
      <c r="I139" s="53">
        <f t="shared" si="63"/>
        <v>0</v>
      </c>
      <c r="J139" s="53">
        <f t="shared" si="63"/>
        <v>0</v>
      </c>
      <c r="K139" s="53">
        <f t="shared" si="63"/>
        <v>0</v>
      </c>
    </row>
    <row r="140" spans="2:25">
      <c r="D140" s="53"/>
      <c r="E140" s="53"/>
      <c r="F140" s="53"/>
      <c r="G140" s="53"/>
      <c r="H140" s="53"/>
      <c r="I140" s="53"/>
      <c r="J140" s="53"/>
      <c r="K140" s="53"/>
    </row>
    <row r="141" spans="2:25">
      <c r="B141" t="s">
        <v>290</v>
      </c>
      <c r="D141" s="196">
        <v>2.6999999999999997</v>
      </c>
      <c r="E141" s="196">
        <v>2.6</v>
      </c>
      <c r="F141" s="196">
        <v>2.6</v>
      </c>
      <c r="G141" s="196">
        <v>2.6999999999999997</v>
      </c>
      <c r="H141" s="196">
        <v>2.6</v>
      </c>
      <c r="I141" s="196">
        <v>2.6</v>
      </c>
      <c r="J141" s="196">
        <v>2.6999999999999997</v>
      </c>
      <c r="K141" s="196">
        <v>2.6</v>
      </c>
    </row>
    <row r="142" spans="2:25">
      <c r="B142" t="s">
        <v>291</v>
      </c>
      <c r="D142" s="196">
        <v>26.409854043050455</v>
      </c>
      <c r="E142" s="196">
        <v>26.409854043050455</v>
      </c>
      <c r="F142" s="196">
        <v>26.409854043050455</v>
      </c>
      <c r="G142" s="196">
        <v>26.409854043050455</v>
      </c>
      <c r="H142" s="196">
        <v>26.409854043050455</v>
      </c>
      <c r="I142" s="196">
        <v>26.409854043050455</v>
      </c>
      <c r="J142" s="196">
        <v>26.409854043050455</v>
      </c>
      <c r="K142" s="196">
        <v>26.409854043050455</v>
      </c>
    </row>
    <row r="143" spans="2:25">
      <c r="B143" t="s">
        <v>292</v>
      </c>
      <c r="D143" s="53">
        <f t="shared" ref="D143:K143" si="64">D141+D142</f>
        <v>29.109854043050454</v>
      </c>
      <c r="E143" s="53">
        <f t="shared" si="64"/>
        <v>29.009854043050456</v>
      </c>
      <c r="F143" s="53">
        <f t="shared" si="64"/>
        <v>29.009854043050456</v>
      </c>
      <c r="G143" s="53">
        <f t="shared" si="64"/>
        <v>29.109854043050454</v>
      </c>
      <c r="H143" s="53">
        <f t="shared" si="64"/>
        <v>29.009854043050456</v>
      </c>
      <c r="I143" s="53">
        <f t="shared" si="64"/>
        <v>29.009854043050456</v>
      </c>
      <c r="J143" s="53">
        <f t="shared" si="64"/>
        <v>29.109854043050454</v>
      </c>
      <c r="K143" s="53">
        <f t="shared" si="64"/>
        <v>29.009854043050456</v>
      </c>
    </row>
    <row r="144" spans="2:25">
      <c r="B144" t="s">
        <v>293</v>
      </c>
      <c r="D144" s="196">
        <v>11.622445302613123</v>
      </c>
      <c r="E144" s="196">
        <v>12.130927284602448</v>
      </c>
      <c r="F144" s="196">
        <v>12.661655353303805</v>
      </c>
      <c r="G144" s="196">
        <v>13.215602775010845</v>
      </c>
      <c r="H144" s="196">
        <v>13.793785396417569</v>
      </c>
      <c r="I144" s="196">
        <v>14.397263507510837</v>
      </c>
      <c r="J144" s="196">
        <v>15.027143785964435</v>
      </c>
      <c r="K144" s="196">
        <v>15.684581326600378</v>
      </c>
    </row>
    <row r="145" spans="2:12">
      <c r="B145" s="38" t="s">
        <v>294</v>
      </c>
      <c r="C145" s="38"/>
      <c r="D145" s="58">
        <f t="shared" ref="D145:K145" si="65">D143+D144</f>
        <v>40.732299345663577</v>
      </c>
      <c r="E145" s="58">
        <f t="shared" si="65"/>
        <v>41.140781327652903</v>
      </c>
      <c r="F145" s="58">
        <f t="shared" si="65"/>
        <v>41.67150939635426</v>
      </c>
      <c r="G145" s="58">
        <f t="shared" si="65"/>
        <v>42.325456818061298</v>
      </c>
      <c r="H145" s="58">
        <f t="shared" si="65"/>
        <v>42.803639439468029</v>
      </c>
      <c r="I145" s="58">
        <f t="shared" si="65"/>
        <v>43.407117550561296</v>
      </c>
      <c r="J145" s="58">
        <f t="shared" si="65"/>
        <v>44.136997829014888</v>
      </c>
      <c r="K145" s="58">
        <f t="shared" si="65"/>
        <v>44.694435369650833</v>
      </c>
    </row>
    <row r="146" spans="2:12">
      <c r="D146" s="53"/>
      <c r="E146" s="53"/>
      <c r="F146" s="53"/>
      <c r="G146" s="53"/>
      <c r="H146" s="53"/>
      <c r="I146" s="53"/>
      <c r="J146" s="53"/>
      <c r="K146" s="53"/>
    </row>
    <row r="147" spans="2:12">
      <c r="B147" t="s">
        <v>295</v>
      </c>
      <c r="D147" s="196">
        <v>-17.8</v>
      </c>
      <c r="E147" s="196">
        <v>-18.2</v>
      </c>
      <c r="F147" s="196">
        <v>-18.399999999999999</v>
      </c>
      <c r="G147" s="196">
        <v>-18.5</v>
      </c>
      <c r="H147" s="196">
        <v>0</v>
      </c>
      <c r="I147" s="196">
        <v>0</v>
      </c>
      <c r="J147" s="196">
        <v>0</v>
      </c>
      <c r="K147" s="196">
        <v>0</v>
      </c>
    </row>
    <row r="148" spans="2:12">
      <c r="B148" t="s">
        <v>296</v>
      </c>
      <c r="D148" s="196">
        <v>10.448098963420765</v>
      </c>
      <c r="E148" s="196">
        <v>10.905203293070423</v>
      </c>
      <c r="F148" s="196">
        <v>11.382305937142254</v>
      </c>
      <c r="G148" s="196">
        <v>11.880281821892227</v>
      </c>
      <c r="H148" s="196">
        <v>12.400044151600012</v>
      </c>
      <c r="I148" s="196">
        <v>12.942546083232511</v>
      </c>
      <c r="J148" s="196">
        <v>13.508782474373934</v>
      </c>
      <c r="K148" s="196">
        <v>14.099791707627793</v>
      </c>
    </row>
    <row r="149" spans="2:12">
      <c r="B149" t="s">
        <v>297</v>
      </c>
      <c r="D149" s="53">
        <v>-3.5</v>
      </c>
      <c r="E149" s="53">
        <v>-2.9</v>
      </c>
      <c r="F149" s="53">
        <v>-3</v>
      </c>
      <c r="G149" s="53">
        <v>-3.1</v>
      </c>
      <c r="H149" s="53">
        <v>-3</v>
      </c>
      <c r="I149" s="53">
        <v>-3</v>
      </c>
      <c r="J149" s="53">
        <v>-3</v>
      </c>
      <c r="K149" s="53">
        <v>-3</v>
      </c>
    </row>
    <row r="150" spans="2:12">
      <c r="B150" s="38" t="s">
        <v>298</v>
      </c>
      <c r="D150" s="58">
        <f t="shared" ref="D150:K150" si="66">SUM(D145:D149)</f>
        <v>29.880398309084342</v>
      </c>
      <c r="E150" s="58">
        <f t="shared" si="66"/>
        <v>30.94598462072333</v>
      </c>
      <c r="F150" s="58">
        <f t="shared" si="66"/>
        <v>31.653815333496517</v>
      </c>
      <c r="G150" s="58">
        <f t="shared" si="66"/>
        <v>32.605738639953522</v>
      </c>
      <c r="H150" s="58">
        <f t="shared" si="66"/>
        <v>52.203683591068042</v>
      </c>
      <c r="I150" s="58">
        <f t="shared" si="66"/>
        <v>53.34966363379381</v>
      </c>
      <c r="J150" s="58">
        <f t="shared" si="66"/>
        <v>54.645780303388818</v>
      </c>
      <c r="K150" s="58">
        <f t="shared" si="66"/>
        <v>55.794227077278627</v>
      </c>
    </row>
    <row r="151" spans="2:12">
      <c r="B151" t="s">
        <v>299</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300</v>
      </c>
      <c r="D153" s="53">
        <f t="shared" ref="D153:K153" si="67">SUM(D147:D149,D151)</f>
        <v>-10.851901036579235</v>
      </c>
      <c r="E153" s="53">
        <f t="shared" si="67"/>
        <v>-10.194796706929576</v>
      </c>
      <c r="F153" s="53">
        <f t="shared" si="67"/>
        <v>-10.017694062857744</v>
      </c>
      <c r="G153" s="53">
        <f t="shared" si="67"/>
        <v>-9.7197181781077724</v>
      </c>
      <c r="H153" s="53">
        <f t="shared" si="67"/>
        <v>9.4000441516000119</v>
      </c>
      <c r="I153" s="53">
        <f t="shared" si="67"/>
        <v>9.9425460832325108</v>
      </c>
      <c r="J153" s="53">
        <f t="shared" si="67"/>
        <v>10.508782474373934</v>
      </c>
      <c r="K153" s="53">
        <f t="shared" si="67"/>
        <v>11.099791707627793</v>
      </c>
    </row>
    <row r="156" spans="2:12" ht="16.8">
      <c r="B156" s="75" t="s">
        <v>247</v>
      </c>
      <c r="D156" s="198">
        <v>53.000554975302876</v>
      </c>
      <c r="E156" s="199">
        <v>74.240648461440642</v>
      </c>
      <c r="F156" s="199">
        <v>88.559233840023296</v>
      </c>
      <c r="G156" s="199">
        <v>99.160642580526599</v>
      </c>
      <c r="H156" s="199">
        <v>107.15261923028876</v>
      </c>
      <c r="I156" s="199">
        <v>111.23957026076641</v>
      </c>
      <c r="J156" s="199">
        <v>110.57883207228869</v>
      </c>
      <c r="K156" s="200">
        <v>108.09271529517444</v>
      </c>
    </row>
    <row r="157" spans="2:12" ht="16.8">
      <c r="B157" s="75" t="s">
        <v>248</v>
      </c>
      <c r="D157" s="198">
        <v>31.785127976980597</v>
      </c>
      <c r="E157" s="199">
        <v>29.404352437565585</v>
      </c>
      <c r="F157" s="199">
        <v>28.318912342542578</v>
      </c>
      <c r="G157" s="199">
        <v>28.668372505992771</v>
      </c>
      <c r="H157" s="199">
        <v>27.411971530421514</v>
      </c>
      <c r="I157" s="199">
        <v>25.265392341568841</v>
      </c>
      <c r="J157" s="199">
        <v>25.396105065855693</v>
      </c>
      <c r="K157" s="200">
        <v>24.829470975539607</v>
      </c>
    </row>
    <row r="158" spans="2:12" ht="16.8">
      <c r="B158" s="75" t="s">
        <v>249</v>
      </c>
      <c r="D158" s="198">
        <v>-10.545034490842841</v>
      </c>
      <c r="E158" s="199">
        <v>-15.085767058982928</v>
      </c>
      <c r="F158" s="199">
        <v>-17.717503602039272</v>
      </c>
      <c r="G158" s="199">
        <v>-20.676395856230613</v>
      </c>
      <c r="H158" s="199">
        <v>-23.325020499943864</v>
      </c>
      <c r="I158" s="199">
        <v>-25.926130530046557</v>
      </c>
      <c r="J158" s="199">
        <v>-27.88222184296994</v>
      </c>
      <c r="K158" s="200">
        <v>-28.035747742989653</v>
      </c>
    </row>
    <row r="159" spans="2:12" ht="16.8">
      <c r="B159" s="75" t="s">
        <v>250</v>
      </c>
      <c r="D159" s="198">
        <v>74.240648461440642</v>
      </c>
      <c r="E159" s="199">
        <v>88.559233840023296</v>
      </c>
      <c r="F159" s="199">
        <v>99.160642580526599</v>
      </c>
      <c r="G159" s="199">
        <v>107.15261923028876</v>
      </c>
      <c r="H159" s="199">
        <v>111.23957026076641</v>
      </c>
      <c r="I159" s="199">
        <v>110.57883207228869</v>
      </c>
      <c r="J159" s="199">
        <v>108.09271529517444</v>
      </c>
      <c r="K159" s="200">
        <v>104.88643852772441</v>
      </c>
    </row>
    <row r="160" spans="2:12" ht="15.6">
      <c r="L160" s="119" t="s">
        <v>301</v>
      </c>
    </row>
    <row r="161" spans="2:21" ht="15.6">
      <c r="B161" t="s">
        <v>289</v>
      </c>
      <c r="D161" s="53">
        <f t="shared" ref="D161:K161" si="68">D135+D156</f>
        <v>4615.060328174176</v>
      </c>
      <c r="E161" s="53">
        <f t="shared" si="68"/>
        <v>4624.7235011672965</v>
      </c>
      <c r="F161" s="53">
        <f t="shared" si="68"/>
        <v>4639.5782072748034</v>
      </c>
      <c r="G161" s="53">
        <f t="shared" si="68"/>
        <v>4695.96596767351</v>
      </c>
      <c r="H161" s="53">
        <f t="shared" si="68"/>
        <v>4830.4404173524917</v>
      </c>
      <c r="I161" s="53">
        <f t="shared" si="68"/>
        <v>4945.5652638730489</v>
      </c>
      <c r="J161" s="53">
        <f t="shared" si="68"/>
        <v>4940.7602410616737</v>
      </c>
      <c r="K161" s="53">
        <f t="shared" si="68"/>
        <v>4894.4317641578609</v>
      </c>
      <c r="L161" s="120">
        <f>(K161/D161)^(1/7)-1</f>
        <v>8.4315245039423559E-3</v>
      </c>
      <c r="M161" t="s">
        <v>302</v>
      </c>
      <c r="N161" s="114">
        <f t="shared" ref="N161:U162" si="69">D161*N$1</f>
        <v>5385.7754029792632</v>
      </c>
      <c r="O161" s="109">
        <f t="shared" si="69"/>
        <v>5503.4209663890824</v>
      </c>
      <c r="P161" s="109">
        <f t="shared" si="69"/>
        <v>5576.7730051443132</v>
      </c>
      <c r="Q161" s="109">
        <f t="shared" si="69"/>
        <v>5766.6462083030701</v>
      </c>
      <c r="R161" s="109">
        <f t="shared" si="69"/>
        <v>6153.9810917070745</v>
      </c>
      <c r="S161" s="109">
        <f t="shared" si="69"/>
        <v>6493.5271914653131</v>
      </c>
      <c r="T161" s="109">
        <f t="shared" si="69"/>
        <v>6665.0855651921975</v>
      </c>
      <c r="U161" s="109">
        <f t="shared" si="69"/>
        <v>6793.4712886511106</v>
      </c>
    </row>
    <row r="162" spans="2:21" ht="15.6">
      <c r="B162" t="s">
        <v>250</v>
      </c>
      <c r="D162" s="53">
        <f t="shared" ref="D162:K162" si="70">D138+D159</f>
        <v>4624.7235011672965</v>
      </c>
      <c r="E162" s="53">
        <f t="shared" si="70"/>
        <v>4639.5782072748034</v>
      </c>
      <c r="F162" s="53">
        <f t="shared" si="70"/>
        <v>4695.96596767351</v>
      </c>
      <c r="G162" s="53">
        <f t="shared" si="70"/>
        <v>4830.4404173524917</v>
      </c>
      <c r="H162" s="53">
        <f t="shared" si="70"/>
        <v>4945.5652638730489</v>
      </c>
      <c r="I162" s="53">
        <f t="shared" si="70"/>
        <v>4940.7602410616737</v>
      </c>
      <c r="J162" s="53">
        <f t="shared" si="70"/>
        <v>4894.4317641578609</v>
      </c>
      <c r="K162" s="53">
        <f t="shared" si="70"/>
        <v>4836.4743601326154</v>
      </c>
      <c r="L162" s="121">
        <f>(K162/D162)^(1/7)-1</f>
        <v>6.4161288258097748E-3</v>
      </c>
      <c r="N162" s="109">
        <f t="shared" si="69"/>
        <v>5397.0523258622352</v>
      </c>
      <c r="O162" s="109">
        <f t="shared" si="69"/>
        <v>5521.0980666570158</v>
      </c>
      <c r="P162" s="109">
        <f t="shared" si="69"/>
        <v>5644.5510931435592</v>
      </c>
      <c r="Q162" s="109">
        <f t="shared" si="69"/>
        <v>5931.7808325088599</v>
      </c>
      <c r="R162" s="109">
        <f t="shared" si="69"/>
        <v>6300.6501461742646</v>
      </c>
      <c r="S162" s="109">
        <f t="shared" si="69"/>
        <v>6487.2181965139771</v>
      </c>
      <c r="T162" s="109">
        <f t="shared" si="69"/>
        <v>6602.588449848954</v>
      </c>
      <c r="U162" s="114">
        <f t="shared" si="69"/>
        <v>6713.0264118640698</v>
      </c>
    </row>
    <row r="163" spans="2:21">
      <c r="N163" s="109"/>
      <c r="O163" s="109"/>
      <c r="P163" s="109"/>
      <c r="Q163" s="109"/>
      <c r="R163" s="109"/>
      <c r="S163" s="109"/>
      <c r="T163" s="109"/>
      <c r="U163" s="109"/>
    </row>
    <row r="164" spans="2:21">
      <c r="B164" t="s">
        <v>289</v>
      </c>
      <c r="M164" t="s">
        <v>303</v>
      </c>
      <c r="N164" s="115">
        <f>D161*N$3</f>
        <v>5305.0164815467579</v>
      </c>
      <c r="O164" s="109">
        <f t="shared" ref="N164:U165" si="71">E161*O$2</f>
        <v>5510.6584836248057</v>
      </c>
      <c r="P164" s="109">
        <f t="shared" si="71"/>
        <v>5614.3698590427221</v>
      </c>
      <c r="Q164" s="109">
        <f t="shared" si="71"/>
        <v>5861.0704546322095</v>
      </c>
      <c r="R164" s="109">
        <f t="shared" si="71"/>
        <v>6230.3950323614963</v>
      </c>
      <c r="S164" s="109">
        <f t="shared" si="71"/>
        <v>6534.747366276255</v>
      </c>
      <c r="T164" s="109">
        <f t="shared" si="71"/>
        <v>6725.3265076462867</v>
      </c>
      <c r="U164" s="109">
        <f t="shared" si="71"/>
        <v>6861.8829383180282</v>
      </c>
    </row>
    <row r="165" spans="2:21">
      <c r="B165" t="s">
        <v>250</v>
      </c>
      <c r="N165" s="109">
        <f t="shared" si="71"/>
        <v>5461.3604886332187</v>
      </c>
      <c r="O165" s="109">
        <f t="shared" si="71"/>
        <v>5528.3588309455536</v>
      </c>
      <c r="P165" s="109">
        <f t="shared" si="71"/>
        <v>5682.6048856460084</v>
      </c>
      <c r="Q165" s="109">
        <f t="shared" si="71"/>
        <v>6028.9090270030565</v>
      </c>
      <c r="R165" s="109">
        <f t="shared" si="71"/>
        <v>6378.8852754636337</v>
      </c>
      <c r="S165" s="109">
        <f t="shared" si="71"/>
        <v>6528.3983225398588</v>
      </c>
      <c r="T165" s="109">
        <f t="shared" si="71"/>
        <v>6662.2645255669586</v>
      </c>
      <c r="U165" s="115">
        <f t="shared" si="71"/>
        <v>6780.6279651171781</v>
      </c>
    </row>
    <row r="166" spans="2:21">
      <c r="D166" s="53"/>
    </row>
    <row r="167" spans="2:21">
      <c r="B167" t="s">
        <v>304</v>
      </c>
      <c r="D167" s="190">
        <f>D63-D132-D168</f>
        <v>-146.2113385372329</v>
      </c>
      <c r="E167" s="190">
        <f t="shared" ref="E167:K167" si="72">E63-E132-E168</f>
        <v>-144.85340732479523</v>
      </c>
      <c r="F167" s="190">
        <f t="shared" si="72"/>
        <v>-143.75882243451281</v>
      </c>
      <c r="G167" s="190">
        <f t="shared" si="72"/>
        <v>-143.62994616195877</v>
      </c>
      <c r="H167" s="190">
        <f t="shared" si="72"/>
        <v>-144.36654415261825</v>
      </c>
      <c r="I167" s="190">
        <f t="shared" si="72"/>
        <v>-144.23491526205311</v>
      </c>
      <c r="J167" s="190">
        <f t="shared" si="72"/>
        <v>-143.02394501567161</v>
      </c>
      <c r="K167" s="190">
        <f t="shared" si="72"/>
        <v>-141.36922321253945</v>
      </c>
    </row>
    <row r="168" spans="2:21">
      <c r="B168" t="s">
        <v>305</v>
      </c>
      <c r="D168" s="190">
        <v>0</v>
      </c>
      <c r="E168" s="190">
        <v>-2.6770715291090248</v>
      </c>
      <c r="F168" s="190">
        <v>-5.3892896591430821</v>
      </c>
      <c r="G168" s="190">
        <v>-8.1773072640939173</v>
      </c>
      <c r="H168" s="190">
        <v>-11.952189777018132</v>
      </c>
      <c r="I168" s="190">
        <v>-16.352341459265759</v>
      </c>
      <c r="J168" s="190">
        <v>-19.367086556856556</v>
      </c>
      <c r="K168" s="190">
        <v>-21.98348764114035</v>
      </c>
    </row>
    <row r="171" spans="2:21" ht="16.8">
      <c r="B171" t="s">
        <v>306</v>
      </c>
      <c r="D171" s="201">
        <v>12.577234273857108</v>
      </c>
      <c r="E171" s="201">
        <v>24.079618087744361</v>
      </c>
      <c r="F171" s="201">
        <v>67.51894883370673</v>
      </c>
      <c r="G171" s="201">
        <v>106.4475745022352</v>
      </c>
      <c r="H171" s="201">
        <v>55.417594420676267</v>
      </c>
      <c r="I171" s="201">
        <v>2.3025824270640456</v>
      </c>
      <c r="J171" s="201">
        <v>0</v>
      </c>
      <c r="K171" s="201">
        <v>0</v>
      </c>
    </row>
    <row r="172" spans="2:21" ht="16.8">
      <c r="B172" t="s">
        <v>307</v>
      </c>
      <c r="D172" s="201">
        <v>0.82105844574251929</v>
      </c>
      <c r="E172" s="201">
        <v>0</v>
      </c>
      <c r="F172" s="201">
        <v>0</v>
      </c>
      <c r="G172" s="201">
        <v>0</v>
      </c>
      <c r="H172" s="201">
        <v>0</v>
      </c>
      <c r="I172" s="201">
        <v>0</v>
      </c>
      <c r="J172" s="201">
        <v>0</v>
      </c>
      <c r="K172" s="201">
        <v>0</v>
      </c>
    </row>
    <row r="173" spans="2:21" ht="16.8">
      <c r="B173" t="s">
        <v>308</v>
      </c>
      <c r="D173" s="201">
        <v>0.7679065147103713</v>
      </c>
      <c r="E173" s="201">
        <v>1.9371656435515117</v>
      </c>
      <c r="F173" s="201">
        <v>1.9547226953643968</v>
      </c>
      <c r="G173" s="201">
        <v>1.9724388714470038</v>
      </c>
      <c r="H173" s="201">
        <v>13.932209297896886</v>
      </c>
      <c r="I173" s="201">
        <v>18.476860279771643</v>
      </c>
      <c r="J173" s="201">
        <v>0.81062265305823133</v>
      </c>
      <c r="K173" s="201">
        <v>0</v>
      </c>
    </row>
    <row r="174" spans="2:21">
      <c r="D174" s="173">
        <f>SUM(D171:D173)</f>
        <v>14.16619923431</v>
      </c>
      <c r="E174" s="173">
        <f t="shared" ref="E174:K174" si="73">SUM(E171:E173)</f>
        <v>26.016783731295874</v>
      </c>
      <c r="F174" s="173">
        <f t="shared" si="73"/>
        <v>69.473671529071126</v>
      </c>
      <c r="G174" s="173">
        <f t="shared" si="73"/>
        <v>108.4200133736822</v>
      </c>
      <c r="H174" s="173">
        <f t="shared" si="73"/>
        <v>69.349803718573156</v>
      </c>
      <c r="I174" s="173">
        <f t="shared" si="73"/>
        <v>20.779442706835688</v>
      </c>
      <c r="J174" s="173">
        <f t="shared" si="73"/>
        <v>0.81062265305823133</v>
      </c>
      <c r="K174" s="173">
        <f t="shared" si="73"/>
        <v>0</v>
      </c>
    </row>
    <row r="175" spans="2:21">
      <c r="D175" s="173"/>
      <c r="E175" s="173"/>
      <c r="F175" s="173"/>
      <c r="G175" s="173"/>
      <c r="H175" s="173"/>
      <c r="I175" s="173"/>
      <c r="J175" s="173"/>
      <c r="K175" s="173"/>
    </row>
    <row r="176" spans="2:21" s="195" customFormat="1">
      <c r="D176" s="202"/>
      <c r="E176" s="202"/>
      <c r="F176" s="202"/>
      <c r="G176" s="202"/>
      <c r="H176" s="202"/>
      <c r="I176" s="202"/>
      <c r="J176" s="202"/>
      <c r="K176" s="202"/>
    </row>
    <row r="177" spans="1:13">
      <c r="D177" s="173"/>
      <c r="E177" s="173"/>
      <c r="F177" s="173"/>
      <c r="G177" s="173"/>
      <c r="H177" s="173"/>
      <c r="I177" s="173"/>
      <c r="J177" s="173"/>
      <c r="K177" s="173"/>
    </row>
    <row r="178" spans="1:13" ht="16.8">
      <c r="A178" s="86">
        <v>1</v>
      </c>
      <c r="B178" s="75" t="s">
        <v>241</v>
      </c>
      <c r="D178" s="87">
        <f>D187</f>
        <v>31.785127976980597</v>
      </c>
      <c r="E178" s="88">
        <f t="shared" ref="E178:K178" si="74">E187</f>
        <v>29.404352437565585</v>
      </c>
      <c r="F178" s="88">
        <f t="shared" si="74"/>
        <v>28.318912342542578</v>
      </c>
      <c r="G178" s="88">
        <f t="shared" si="74"/>
        <v>28.668372505992771</v>
      </c>
      <c r="H178" s="88">
        <f t="shared" si="74"/>
        <v>27.411971530421514</v>
      </c>
      <c r="I178" s="88">
        <f t="shared" si="74"/>
        <v>25.265392341568841</v>
      </c>
      <c r="J178" s="88">
        <f t="shared" si="74"/>
        <v>25.396105065855693</v>
      </c>
      <c r="K178" s="89">
        <f t="shared" si="74"/>
        <v>24.829470975539607</v>
      </c>
    </row>
    <row r="179" spans="1:13" ht="16.8">
      <c r="A179" s="86">
        <f>+A178+1</f>
        <v>2</v>
      </c>
      <c r="B179" s="75" t="s">
        <v>242</v>
      </c>
      <c r="D179" s="87">
        <f t="shared" ref="D179:K179" si="75">D188</f>
        <v>53.201845223502282</v>
      </c>
      <c r="E179" s="88">
        <f t="shared" si="75"/>
        <v>49.216910764481433</v>
      </c>
      <c r="F179" s="88">
        <f t="shared" si="75"/>
        <v>47.400104616127415</v>
      </c>
      <c r="G179" s="88">
        <f t="shared" si="75"/>
        <v>47.985029916447793</v>
      </c>
      <c r="H179" s="88">
        <f t="shared" si="75"/>
        <v>45.882069994769701</v>
      </c>
      <c r="I179" s="88">
        <f t="shared" si="75"/>
        <v>42.289132635887952</v>
      </c>
      <c r="J179" s="88">
        <f t="shared" si="75"/>
        <v>42.507919174400172</v>
      </c>
      <c r="K179" s="89">
        <f t="shared" si="75"/>
        <v>41.559488852106398</v>
      </c>
    </row>
    <row r="180" spans="1:13" ht="16.8">
      <c r="A180" s="86">
        <f>+A179+1</f>
        <v>3</v>
      </c>
      <c r="B180" s="75" t="s">
        <v>243</v>
      </c>
      <c r="D180" s="87">
        <f t="shared" ref="D180:K180" si="76">D189</f>
        <v>84.986973200482879</v>
      </c>
      <c r="E180" s="88">
        <f t="shared" si="76"/>
        <v>78.621263202047018</v>
      </c>
      <c r="F180" s="88">
        <f t="shared" si="76"/>
        <v>75.719016958669997</v>
      </c>
      <c r="G180" s="88">
        <f t="shared" si="76"/>
        <v>76.653402422440564</v>
      </c>
      <c r="H180" s="88">
        <f t="shared" si="76"/>
        <v>73.294041525191219</v>
      </c>
      <c r="I180" s="88">
        <f t="shared" si="76"/>
        <v>67.554524977456794</v>
      </c>
      <c r="J180" s="88">
        <f t="shared" si="76"/>
        <v>67.904024240255865</v>
      </c>
      <c r="K180" s="89">
        <f t="shared" si="76"/>
        <v>66.388959827646005</v>
      </c>
    </row>
    <row r="183" spans="1:13" ht="13.8" thickBot="1"/>
    <row r="184" spans="1:13" ht="16.8">
      <c r="A184" s="68"/>
      <c r="B184" s="69" t="s">
        <v>237</v>
      </c>
      <c r="D184" s="70">
        <v>41729</v>
      </c>
      <c r="E184" s="71">
        <v>42094</v>
      </c>
      <c r="F184" s="71">
        <v>42460</v>
      </c>
      <c r="G184" s="71">
        <v>42825</v>
      </c>
      <c r="H184" s="71">
        <v>43190</v>
      </c>
      <c r="I184" s="71">
        <v>43555</v>
      </c>
      <c r="J184" s="71">
        <v>43921</v>
      </c>
      <c r="K184" s="72">
        <v>44286</v>
      </c>
      <c r="L184" s="180" t="s">
        <v>238</v>
      </c>
      <c r="M184" s="181" t="s">
        <v>310</v>
      </c>
    </row>
    <row r="185" spans="1:13" ht="16.8">
      <c r="A185" s="74"/>
      <c r="B185" s="75" t="s">
        <v>239</v>
      </c>
      <c r="D185" s="76" t="s">
        <v>240</v>
      </c>
      <c r="E185" s="77" t="s">
        <v>240</v>
      </c>
      <c r="F185" s="77" t="s">
        <v>240</v>
      </c>
      <c r="G185" s="77" t="s">
        <v>240</v>
      </c>
      <c r="H185" s="77" t="s">
        <v>240</v>
      </c>
      <c r="I185" s="77" t="s">
        <v>240</v>
      </c>
      <c r="J185" s="77" t="s">
        <v>240</v>
      </c>
      <c r="K185" s="78" t="s">
        <v>240</v>
      </c>
      <c r="L185" s="182" t="s">
        <v>240</v>
      </c>
      <c r="M185" s="79" t="s">
        <v>240</v>
      </c>
    </row>
    <row r="186" spans="1:13" ht="16.8">
      <c r="A186" s="80"/>
      <c r="B186" s="81" t="s">
        <v>207</v>
      </c>
      <c r="D186" s="82"/>
      <c r="E186" s="83"/>
      <c r="F186" s="83"/>
      <c r="G186" s="83"/>
      <c r="H186" s="83"/>
      <c r="I186" s="83"/>
      <c r="J186" s="83"/>
      <c r="K186" s="84"/>
      <c r="L186" s="183"/>
      <c r="M186" s="85"/>
    </row>
    <row r="187" spans="1:13" ht="16.8">
      <c r="A187" s="86">
        <v>1</v>
      </c>
      <c r="B187" s="75" t="s">
        <v>241</v>
      </c>
      <c r="D187" s="87">
        <v>31.785127976980597</v>
      </c>
      <c r="E187" s="88">
        <v>29.404352437565585</v>
      </c>
      <c r="F187" s="88">
        <v>28.318912342542578</v>
      </c>
      <c r="G187" s="88">
        <v>28.668372505992771</v>
      </c>
      <c r="H187" s="88">
        <v>27.411971530421514</v>
      </c>
      <c r="I187" s="88">
        <v>25.265392341568841</v>
      </c>
      <c r="J187" s="88">
        <v>25.396105065855693</v>
      </c>
      <c r="K187" s="89">
        <v>24.829470975539607</v>
      </c>
      <c r="L187" s="172">
        <v>221.0797051764672</v>
      </c>
      <c r="M187" s="90">
        <v>27.6349631470584</v>
      </c>
    </row>
    <row r="188" spans="1:13" ht="16.8">
      <c r="A188" s="86">
        <v>2</v>
      </c>
      <c r="B188" s="75" t="s">
        <v>242</v>
      </c>
      <c r="D188" s="87">
        <v>53.201845223502282</v>
      </c>
      <c r="E188" s="88">
        <v>49.216910764481433</v>
      </c>
      <c r="F188" s="88">
        <v>47.400104616127415</v>
      </c>
      <c r="G188" s="88">
        <v>47.985029916447793</v>
      </c>
      <c r="H188" s="88">
        <v>45.882069994769701</v>
      </c>
      <c r="I188" s="88">
        <v>42.289132635887952</v>
      </c>
      <c r="J188" s="88">
        <v>42.507919174400172</v>
      </c>
      <c r="K188" s="89">
        <v>41.559488852106398</v>
      </c>
      <c r="L188" s="172">
        <v>370.04250117772312</v>
      </c>
      <c r="M188" s="90">
        <v>46.255312647215391</v>
      </c>
    </row>
    <row r="189" spans="1:13" ht="16.8">
      <c r="A189" s="86">
        <v>3</v>
      </c>
      <c r="B189" s="75" t="s">
        <v>243</v>
      </c>
      <c r="D189" s="87">
        <v>84.986973200482879</v>
      </c>
      <c r="E189" s="88">
        <v>78.621263202047018</v>
      </c>
      <c r="F189" s="88">
        <v>75.719016958669997</v>
      </c>
      <c r="G189" s="88">
        <v>76.653402422440564</v>
      </c>
      <c r="H189" s="88">
        <v>73.294041525191219</v>
      </c>
      <c r="I189" s="88">
        <v>67.554524977456794</v>
      </c>
      <c r="J189" s="88">
        <v>67.904024240255865</v>
      </c>
      <c r="K189" s="89">
        <v>66.388959827646005</v>
      </c>
      <c r="L189" s="172">
        <v>591.12220635419044</v>
      </c>
      <c r="M189" s="90">
        <v>73.890275794273805</v>
      </c>
    </row>
    <row r="190" spans="1:13" ht="16.8">
      <c r="A190" s="80"/>
      <c r="B190" s="81" t="s">
        <v>244</v>
      </c>
      <c r="D190" s="82">
        <v>0</v>
      </c>
      <c r="E190" s="83">
        <v>0</v>
      </c>
      <c r="F190" s="83">
        <v>0</v>
      </c>
      <c r="G190" s="83">
        <v>0</v>
      </c>
      <c r="H190" s="83">
        <v>0</v>
      </c>
      <c r="I190" s="83">
        <v>0</v>
      </c>
      <c r="J190" s="83">
        <v>0</v>
      </c>
      <c r="K190" s="84">
        <v>0</v>
      </c>
      <c r="L190" s="183">
        <v>0</v>
      </c>
      <c r="M190" s="85">
        <v>0</v>
      </c>
    </row>
    <row r="191" spans="1:13" ht="16.8">
      <c r="A191" s="86">
        <v>4</v>
      </c>
      <c r="B191" s="75" t="s">
        <v>311</v>
      </c>
      <c r="D191" s="87">
        <v>53.000554975302876</v>
      </c>
      <c r="E191" s="88">
        <v>74.240648461440642</v>
      </c>
      <c r="F191" s="88">
        <v>88.559233840023296</v>
      </c>
      <c r="G191" s="88">
        <v>99.160642580526599</v>
      </c>
      <c r="H191" s="88">
        <v>107.15261923028876</v>
      </c>
      <c r="I191" s="88">
        <v>111.23957026076641</v>
      </c>
      <c r="J191" s="88">
        <v>110.57883207228869</v>
      </c>
      <c r="K191" s="89">
        <v>108.09271529517444</v>
      </c>
      <c r="L191" s="172">
        <v>0</v>
      </c>
      <c r="M191" s="90">
        <v>94.003102089476471</v>
      </c>
    </row>
    <row r="192" spans="1:13" ht="16.8">
      <c r="A192" s="86">
        <v>5</v>
      </c>
      <c r="B192" s="75" t="s">
        <v>246</v>
      </c>
      <c r="D192" s="87">
        <v>0</v>
      </c>
      <c r="E192" s="88">
        <v>0</v>
      </c>
      <c r="F192" s="88">
        <v>0</v>
      </c>
      <c r="G192" s="88">
        <v>0</v>
      </c>
      <c r="H192" s="88">
        <v>0</v>
      </c>
      <c r="I192" s="88">
        <v>0</v>
      </c>
      <c r="J192" s="88">
        <v>0</v>
      </c>
      <c r="K192" s="89">
        <v>0</v>
      </c>
      <c r="L192" s="172">
        <v>0</v>
      </c>
      <c r="M192" s="90">
        <v>0</v>
      </c>
    </row>
    <row r="193" spans="1:13" ht="16.8">
      <c r="A193" s="86">
        <v>6</v>
      </c>
      <c r="B193" s="75" t="s">
        <v>247</v>
      </c>
      <c r="D193" s="87">
        <v>53.000554975302876</v>
      </c>
      <c r="E193" s="88">
        <v>74.240648461440642</v>
      </c>
      <c r="F193" s="88">
        <v>88.559233840023296</v>
      </c>
      <c r="G193" s="88">
        <v>99.160642580526599</v>
      </c>
      <c r="H193" s="88">
        <v>107.15261923028876</v>
      </c>
      <c r="I193" s="88">
        <v>111.23957026076641</v>
      </c>
      <c r="J193" s="88">
        <v>110.57883207228869</v>
      </c>
      <c r="K193" s="89">
        <v>108.09271529517444</v>
      </c>
      <c r="L193" s="172">
        <v>0</v>
      </c>
      <c r="M193" s="90">
        <v>94.003102089476471</v>
      </c>
    </row>
    <row r="194" spans="1:13" ht="16.8">
      <c r="A194" s="86">
        <v>7</v>
      </c>
      <c r="B194" s="75" t="s">
        <v>248</v>
      </c>
      <c r="D194" s="87">
        <v>31.785127976980597</v>
      </c>
      <c r="E194" s="88">
        <v>29.404352437565585</v>
      </c>
      <c r="F194" s="88">
        <v>28.318912342542578</v>
      </c>
      <c r="G194" s="88">
        <v>28.668372505992771</v>
      </c>
      <c r="H194" s="88">
        <v>27.411971530421514</v>
      </c>
      <c r="I194" s="88">
        <v>25.265392341568841</v>
      </c>
      <c r="J194" s="88">
        <v>25.396105065855693</v>
      </c>
      <c r="K194" s="89">
        <v>24.829470975539607</v>
      </c>
      <c r="L194" s="172">
        <v>221.0797051764672</v>
      </c>
      <c r="M194" s="90">
        <v>27.6349631470584</v>
      </c>
    </row>
    <row r="195" spans="1:13" ht="16.8">
      <c r="A195" s="86">
        <v>8</v>
      </c>
      <c r="B195" s="75" t="s">
        <v>249</v>
      </c>
      <c r="D195" s="87">
        <v>-10.545034490842841</v>
      </c>
      <c r="E195" s="88">
        <v>-15.085767058982928</v>
      </c>
      <c r="F195" s="88">
        <v>-17.717503602039272</v>
      </c>
      <c r="G195" s="88">
        <v>-20.676395856230613</v>
      </c>
      <c r="H195" s="88">
        <v>-23.325020499943864</v>
      </c>
      <c r="I195" s="88">
        <v>-25.926130530046557</v>
      </c>
      <c r="J195" s="88">
        <v>-27.88222184296994</v>
      </c>
      <c r="K195" s="89">
        <v>-28.035747742989653</v>
      </c>
      <c r="L195" s="172">
        <v>-169.19382162404565</v>
      </c>
      <c r="M195" s="90">
        <v>-21.149227703005707</v>
      </c>
    </row>
    <row r="196" spans="1:13" ht="16.8">
      <c r="A196" s="86">
        <v>9</v>
      </c>
      <c r="B196" s="75" t="s">
        <v>250</v>
      </c>
      <c r="D196" s="87">
        <v>74.240648461440642</v>
      </c>
      <c r="E196" s="88">
        <v>88.559233840023296</v>
      </c>
      <c r="F196" s="88">
        <v>99.160642580526599</v>
      </c>
      <c r="G196" s="88">
        <v>107.15261923028876</v>
      </c>
      <c r="H196" s="88">
        <v>111.23957026076641</v>
      </c>
      <c r="I196" s="88">
        <v>110.57883207228869</v>
      </c>
      <c r="J196" s="88">
        <v>108.09271529517444</v>
      </c>
      <c r="K196" s="186">
        <v>104.88643852772441</v>
      </c>
      <c r="L196" s="172">
        <v>0</v>
      </c>
      <c r="M196" s="90">
        <v>100.48883753352916</v>
      </c>
    </row>
    <row r="197" spans="1:13" ht="16.8">
      <c r="A197" s="80"/>
      <c r="B197" s="81" t="s">
        <v>251</v>
      </c>
      <c r="D197" s="91">
        <v>0</v>
      </c>
      <c r="E197" s="92">
        <v>0</v>
      </c>
      <c r="F197" s="92">
        <v>0</v>
      </c>
      <c r="G197" s="92">
        <v>0</v>
      </c>
      <c r="H197" s="92">
        <v>0</v>
      </c>
      <c r="I197" s="92">
        <v>0</v>
      </c>
      <c r="J197" s="92">
        <v>0</v>
      </c>
      <c r="K197" s="93">
        <v>0</v>
      </c>
      <c r="L197" s="184">
        <v>0</v>
      </c>
      <c r="M197" s="94">
        <v>0</v>
      </c>
    </row>
    <row r="198" spans="1:13" ht="16.8">
      <c r="A198" s="86">
        <v>10</v>
      </c>
      <c r="B198" s="75" t="s">
        <v>252</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72">
        <v>370.04250117772312</v>
      </c>
      <c r="M198" s="90">
        <v>46.255312647215391</v>
      </c>
    </row>
    <row r="199" spans="1:13" ht="16.8">
      <c r="A199" s="86">
        <v>11</v>
      </c>
      <c r="B199" s="75" t="s">
        <v>253</v>
      </c>
      <c r="D199" s="87">
        <v>0</v>
      </c>
      <c r="E199" s="88">
        <v>0</v>
      </c>
      <c r="F199" s="88">
        <v>0</v>
      </c>
      <c r="G199" s="88">
        <v>0</v>
      </c>
      <c r="H199" s="88">
        <v>0</v>
      </c>
      <c r="I199" s="88">
        <v>0</v>
      </c>
      <c r="J199" s="88">
        <v>0</v>
      </c>
      <c r="K199" s="89">
        <v>0</v>
      </c>
      <c r="L199" s="172">
        <v>0</v>
      </c>
      <c r="M199" s="90">
        <v>0</v>
      </c>
    </row>
    <row r="200" spans="1:13" ht="16.8">
      <c r="A200" s="86">
        <v>12</v>
      </c>
      <c r="B200" s="75" t="s">
        <v>254</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72">
        <v>169.19382162404565</v>
      </c>
      <c r="M200" s="90">
        <v>21.149227703005707</v>
      </c>
    </row>
    <row r="201" spans="1:13" ht="16.8">
      <c r="A201" s="86">
        <v>13</v>
      </c>
      <c r="B201" s="75" t="s">
        <v>255</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72">
        <v>33.298970715591416</v>
      </c>
      <c r="M201" s="90">
        <v>4.162371339448927</v>
      </c>
    </row>
    <row r="202" spans="1:13" ht="16.8">
      <c r="A202" s="86">
        <v>14</v>
      </c>
      <c r="B202" s="75" t="s">
        <v>256</v>
      </c>
      <c r="D202" s="87">
        <v>0</v>
      </c>
      <c r="E202" s="88">
        <v>0</v>
      </c>
      <c r="F202" s="88">
        <v>0</v>
      </c>
      <c r="G202" s="88">
        <v>0</v>
      </c>
      <c r="H202" s="88">
        <v>0</v>
      </c>
      <c r="I202" s="88">
        <v>0</v>
      </c>
      <c r="J202" s="88">
        <v>0</v>
      </c>
      <c r="K202" s="89">
        <v>0</v>
      </c>
      <c r="L202" s="172">
        <v>0</v>
      </c>
      <c r="M202" s="90">
        <v>0</v>
      </c>
    </row>
    <row r="203" spans="1:13" ht="16.8">
      <c r="A203" s="86">
        <v>15</v>
      </c>
      <c r="B203" s="75" t="s">
        <v>257</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72">
        <v>-2.7598268924942051</v>
      </c>
      <c r="M203" s="90">
        <v>-0.34497836156177564</v>
      </c>
    </row>
    <row r="204" spans="1:13" ht="16.8">
      <c r="A204" s="86">
        <v>16</v>
      </c>
      <c r="B204" s="75" t="s">
        <v>258</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72">
        <v>0.25852794282552904</v>
      </c>
      <c r="M204" s="90">
        <v>3.2315992853191131E-2</v>
      </c>
    </row>
    <row r="205" spans="1:13" ht="16.8">
      <c r="A205" s="86">
        <v>17</v>
      </c>
      <c r="B205" s="75" t="s">
        <v>259</v>
      </c>
      <c r="D205" s="87">
        <v>0.8125503950547055</v>
      </c>
      <c r="E205" s="88">
        <v>0</v>
      </c>
      <c r="F205" s="88">
        <v>0</v>
      </c>
      <c r="G205" s="88">
        <v>0</v>
      </c>
      <c r="H205" s="88">
        <v>0</v>
      </c>
      <c r="I205" s="88">
        <v>0</v>
      </c>
      <c r="J205" s="88">
        <v>0</v>
      </c>
      <c r="K205" s="89">
        <v>0</v>
      </c>
      <c r="L205" s="172">
        <v>0.8125503950547055</v>
      </c>
      <c r="M205" s="90">
        <v>0.10156879938183819</v>
      </c>
    </row>
    <row r="206" spans="1:13" ht="16.8">
      <c r="A206" s="80"/>
      <c r="B206" s="81" t="s">
        <v>260</v>
      </c>
      <c r="D206" s="91">
        <v>0</v>
      </c>
      <c r="E206" s="92">
        <v>0</v>
      </c>
      <c r="F206" s="92">
        <v>0</v>
      </c>
      <c r="G206" s="92">
        <v>0</v>
      </c>
      <c r="H206" s="92">
        <v>0</v>
      </c>
      <c r="I206" s="92">
        <v>0</v>
      </c>
      <c r="J206" s="92">
        <v>0</v>
      </c>
      <c r="K206" s="93">
        <v>0</v>
      </c>
      <c r="L206" s="184">
        <v>0</v>
      </c>
      <c r="M206" s="94">
        <v>0</v>
      </c>
    </row>
    <row r="207" spans="1:13" ht="16.8">
      <c r="A207" s="86">
        <v>18</v>
      </c>
      <c r="B207" s="75" t="s">
        <v>252</v>
      </c>
      <c r="D207" s="87">
        <v>53.201845223502282</v>
      </c>
      <c r="E207" s="88">
        <v>49.216910764481433</v>
      </c>
      <c r="F207" s="88">
        <v>47.400104616127415</v>
      </c>
      <c r="G207" s="88">
        <v>47.985029916447793</v>
      </c>
      <c r="H207" s="88">
        <v>45.882069994769701</v>
      </c>
      <c r="I207" s="88">
        <v>42.289132635887952</v>
      </c>
      <c r="J207" s="88">
        <v>42.507919174400172</v>
      </c>
      <c r="K207" s="89">
        <v>41.559488852106398</v>
      </c>
      <c r="L207" s="172">
        <v>370.04250117772312</v>
      </c>
      <c r="M207" s="90">
        <v>46.255312647215391</v>
      </c>
    </row>
    <row r="208" spans="1:13" ht="16.8">
      <c r="A208" s="86">
        <v>19</v>
      </c>
      <c r="B208" s="75" t="s">
        <v>253</v>
      </c>
      <c r="D208" s="87">
        <v>0</v>
      </c>
      <c r="E208" s="88">
        <v>0</v>
      </c>
      <c r="F208" s="88">
        <v>0</v>
      </c>
      <c r="G208" s="88">
        <v>0</v>
      </c>
      <c r="H208" s="88">
        <v>0</v>
      </c>
      <c r="I208" s="88">
        <v>0</v>
      </c>
      <c r="J208" s="88">
        <v>0</v>
      </c>
      <c r="K208" s="89">
        <v>0</v>
      </c>
      <c r="L208" s="172">
        <v>0</v>
      </c>
      <c r="M208" s="90">
        <v>0</v>
      </c>
    </row>
    <row r="209" spans="1:13" ht="16.8">
      <c r="A209" s="86">
        <v>20</v>
      </c>
      <c r="B209" s="75" t="s">
        <v>254</v>
      </c>
      <c r="D209" s="87">
        <v>10.545034490842841</v>
      </c>
      <c r="E209" s="88">
        <v>15.085767058982928</v>
      </c>
      <c r="F209" s="88">
        <v>17.717503602039272</v>
      </c>
      <c r="G209" s="88">
        <v>20.676395856230613</v>
      </c>
      <c r="H209" s="88">
        <v>23.325020499943864</v>
      </c>
      <c r="I209" s="88">
        <v>25.926130530046557</v>
      </c>
      <c r="J209" s="88">
        <v>27.88222184296994</v>
      </c>
      <c r="K209" s="89">
        <v>28.035747742989653</v>
      </c>
      <c r="L209" s="172">
        <v>169.19382162404565</v>
      </c>
      <c r="M209" s="90">
        <v>21.149227703005707</v>
      </c>
    </row>
    <row r="210" spans="1:13" ht="16.8">
      <c r="A210" s="86">
        <v>21</v>
      </c>
      <c r="B210" s="75" t="s">
        <v>255</v>
      </c>
      <c r="D210" s="87">
        <v>2.71532887430656</v>
      </c>
      <c r="E210" s="88">
        <v>3.4800460320406099</v>
      </c>
      <c r="F210" s="88">
        <v>4.0154503003214259</v>
      </c>
      <c r="G210" s="88">
        <v>4.4148526331317184</v>
      </c>
      <c r="H210" s="88">
        <v>4.6753317846606652</v>
      </c>
      <c r="I210" s="88">
        <v>4.7508860321070223</v>
      </c>
      <c r="J210" s="88">
        <v>4.6843281404023367</v>
      </c>
      <c r="K210" s="89">
        <v>4.562746918621075</v>
      </c>
      <c r="L210" s="172">
        <v>33.298970715591416</v>
      </c>
      <c r="M210" s="90">
        <v>4.162371339448927</v>
      </c>
    </row>
    <row r="211" spans="1:13" ht="16.8">
      <c r="A211" s="86">
        <v>22</v>
      </c>
      <c r="B211" s="75" t="s">
        <v>256</v>
      </c>
      <c r="D211" s="87">
        <v>0</v>
      </c>
      <c r="E211" s="88">
        <v>0</v>
      </c>
      <c r="F211" s="88">
        <v>0</v>
      </c>
      <c r="G211" s="88">
        <v>0</v>
      </c>
      <c r="H211" s="88">
        <v>0</v>
      </c>
      <c r="I211" s="88">
        <v>0</v>
      </c>
      <c r="J211" s="88">
        <v>0</v>
      </c>
      <c r="K211" s="89">
        <v>0</v>
      </c>
      <c r="L211" s="172">
        <v>0</v>
      </c>
      <c r="M211" s="90">
        <v>0</v>
      </c>
    </row>
    <row r="212" spans="1:13" ht="16.8">
      <c r="A212" s="86">
        <v>23</v>
      </c>
      <c r="B212" s="75" t="s">
        <v>257</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72">
        <v>-2.7598268924942051</v>
      </c>
      <c r="M212" s="90">
        <v>-0.34497836156177564</v>
      </c>
    </row>
    <row r="213" spans="1:13" ht="16.8">
      <c r="A213" s="86">
        <v>24</v>
      </c>
      <c r="B213" s="75" t="s">
        <v>258</v>
      </c>
      <c r="D213" s="87">
        <v>5.0764622252258459E-2</v>
      </c>
      <c r="E213" s="88">
        <v>4.5939681659865533E-2</v>
      </c>
      <c r="F213" s="88">
        <v>4.0903649916555401E-2</v>
      </c>
      <c r="G213" s="88">
        <v>3.5647291784475482E-2</v>
      </c>
      <c r="H213" s="88">
        <v>3.0160967984117021E-2</v>
      </c>
      <c r="I213" s="88">
        <v>2.4434617517492901E-2</v>
      </c>
      <c r="J213" s="88">
        <v>1.8457739217953989E-2</v>
      </c>
      <c r="K213" s="89">
        <v>1.2219372492810243E-2</v>
      </c>
      <c r="L213" s="172">
        <v>0.25852794282552904</v>
      </c>
      <c r="M213" s="90">
        <v>3.2315992853191131E-2</v>
      </c>
    </row>
    <row r="214" spans="1:13" ht="16.8">
      <c r="A214" s="86">
        <v>25</v>
      </c>
      <c r="B214" s="75" t="s">
        <v>259</v>
      </c>
      <c r="D214" s="87">
        <v>0.8125503950547055</v>
      </c>
      <c r="E214" s="88">
        <v>0</v>
      </c>
      <c r="F214" s="88">
        <v>0</v>
      </c>
      <c r="G214" s="88">
        <v>0</v>
      </c>
      <c r="H214" s="88">
        <v>0</v>
      </c>
      <c r="I214" s="88">
        <v>0</v>
      </c>
      <c r="J214" s="88">
        <v>0</v>
      </c>
      <c r="K214" s="89">
        <v>0</v>
      </c>
      <c r="L214" s="172">
        <v>0.8125503950547055</v>
      </c>
      <c r="M214" s="90">
        <v>0.10156879938183819</v>
      </c>
    </row>
    <row r="215" spans="1:13" ht="16.8">
      <c r="A215" s="80"/>
      <c r="B215" s="81" t="s">
        <v>261</v>
      </c>
      <c r="D215" s="91">
        <v>0</v>
      </c>
      <c r="E215" s="92">
        <v>0</v>
      </c>
      <c r="F215" s="92">
        <v>0</v>
      </c>
      <c r="G215" s="92">
        <v>0</v>
      </c>
      <c r="H215" s="92">
        <v>0</v>
      </c>
      <c r="I215" s="92">
        <v>0</v>
      </c>
      <c r="J215" s="92">
        <v>0</v>
      </c>
      <c r="K215" s="93">
        <v>0</v>
      </c>
      <c r="L215" s="91">
        <v>0</v>
      </c>
      <c r="M215" s="184">
        <v>0</v>
      </c>
    </row>
    <row r="216" spans="1:13" ht="16.8">
      <c r="A216" s="86">
        <v>26</v>
      </c>
      <c r="B216" s="75" t="s">
        <v>262</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72">
        <v>570.84654496274629</v>
      </c>
      <c r="M216" s="90">
        <v>71.355818120343287</v>
      </c>
    </row>
    <row r="217" spans="1:13" ht="16.8">
      <c r="A217" s="86">
        <v>27</v>
      </c>
      <c r="B217" s="75" t="s">
        <v>312</v>
      </c>
      <c r="D217" s="87">
        <v>0</v>
      </c>
      <c r="E217" s="88">
        <v>0</v>
      </c>
      <c r="F217" s="88">
        <v>0</v>
      </c>
      <c r="G217" s="88">
        <v>0</v>
      </c>
      <c r="H217" s="88">
        <v>0</v>
      </c>
      <c r="I217" s="88">
        <v>0</v>
      </c>
      <c r="J217" s="88">
        <v>0</v>
      </c>
      <c r="K217" s="88">
        <v>0</v>
      </c>
      <c r="L217" s="172">
        <v>0</v>
      </c>
      <c r="M217" s="90">
        <v>0</v>
      </c>
    </row>
    <row r="218" spans="1:13" ht="16.8">
      <c r="A218" s="86">
        <v>28</v>
      </c>
      <c r="B218" s="75" t="s">
        <v>264</v>
      </c>
      <c r="D218" s="96">
        <v>66.893712056086201</v>
      </c>
      <c r="E218" s="88">
        <v>67.429191577201763</v>
      </c>
      <c r="F218" s="88">
        <v>68.82661899796868</v>
      </c>
      <c r="G218" s="88">
        <v>72.79260504510404</v>
      </c>
      <c r="H218" s="88">
        <v>73.599926978535336</v>
      </c>
      <c r="I218" s="88">
        <v>72.682590016069625</v>
      </c>
      <c r="J218" s="88">
        <v>74.76721766777959</v>
      </c>
      <c r="K218" s="88">
        <v>73.854682624001015</v>
      </c>
      <c r="L218" s="172">
        <v>570.84654496274629</v>
      </c>
      <c r="M218" s="90">
        <v>71.355818120343287</v>
      </c>
    </row>
    <row r="219" spans="1:13" ht="16.8">
      <c r="A219" s="86">
        <v>29</v>
      </c>
      <c r="B219" s="75" t="s">
        <v>265</v>
      </c>
      <c r="D219" s="96">
        <v>0</v>
      </c>
      <c r="E219" s="88">
        <v>0</v>
      </c>
      <c r="F219" s="88">
        <v>0</v>
      </c>
      <c r="G219" s="88">
        <v>0</v>
      </c>
      <c r="H219" s="88">
        <v>0</v>
      </c>
      <c r="I219" s="88">
        <v>0</v>
      </c>
      <c r="J219" s="88">
        <v>0</v>
      </c>
      <c r="K219" s="88">
        <v>0</v>
      </c>
      <c r="L219" s="172">
        <v>0</v>
      </c>
      <c r="M219" s="90">
        <v>0</v>
      </c>
    </row>
    <row r="220" spans="1:13" ht="16.8">
      <c r="A220" s="86">
        <v>30</v>
      </c>
      <c r="B220" s="75" t="s">
        <v>277</v>
      </c>
      <c r="D220" s="96">
        <v>94.224999999999994</v>
      </c>
      <c r="E220" s="88">
        <v>87.484999999999999</v>
      </c>
      <c r="F220" s="88">
        <v>79.322999999999993</v>
      </c>
      <c r="G220" s="88">
        <v>58.722999999999999</v>
      </c>
      <c r="H220" s="88">
        <v>3.3000000000000002E-2</v>
      </c>
      <c r="I220" s="88">
        <v>3.3000000000000002E-2</v>
      </c>
      <c r="J220" s="88">
        <v>0</v>
      </c>
      <c r="K220" s="88">
        <v>0</v>
      </c>
      <c r="L220" s="172">
        <v>319.822</v>
      </c>
      <c r="M220" s="90">
        <v>39.97775</v>
      </c>
    </row>
    <row r="221" spans="1:13" ht="16.8">
      <c r="A221" s="86">
        <v>31</v>
      </c>
      <c r="B221" s="75" t="s">
        <v>266</v>
      </c>
      <c r="D221" s="96">
        <v>0</v>
      </c>
      <c r="E221" s="88">
        <v>0</v>
      </c>
      <c r="F221" s="88">
        <v>0</v>
      </c>
      <c r="G221" s="88">
        <v>0</v>
      </c>
      <c r="H221" s="88">
        <v>0</v>
      </c>
      <c r="I221" s="88">
        <v>0</v>
      </c>
      <c r="J221" s="88">
        <v>0</v>
      </c>
      <c r="K221" s="88">
        <v>0</v>
      </c>
      <c r="L221" s="172">
        <v>0</v>
      </c>
      <c r="M221" s="90">
        <v>0</v>
      </c>
    </row>
    <row r="222" spans="1:13" ht="16.8">
      <c r="A222" s="86">
        <v>32</v>
      </c>
      <c r="B222" s="75" t="s">
        <v>267</v>
      </c>
      <c r="D222" s="96">
        <v>161.1187120560862</v>
      </c>
      <c r="E222" s="88">
        <v>154.91419157720176</v>
      </c>
      <c r="F222" s="88">
        <v>148.14961899796867</v>
      </c>
      <c r="G222" s="88">
        <v>131.51560504510405</v>
      </c>
      <c r="H222" s="88">
        <v>73.632926978535338</v>
      </c>
      <c r="I222" s="88">
        <v>72.715590016069626</v>
      </c>
      <c r="J222" s="88">
        <v>74.76721766777959</v>
      </c>
      <c r="K222" s="88">
        <v>73.854682624001015</v>
      </c>
      <c r="L222" s="172">
        <v>890.6685449627463</v>
      </c>
      <c r="M222" s="90">
        <v>111.33356812034329</v>
      </c>
    </row>
    <row r="223" spans="1:13" ht="16.8">
      <c r="A223" s="80"/>
      <c r="B223" s="81" t="s">
        <v>268</v>
      </c>
      <c r="D223" s="91">
        <v>0</v>
      </c>
      <c r="E223" s="92">
        <v>0</v>
      </c>
      <c r="F223" s="92">
        <v>0</v>
      </c>
      <c r="G223" s="92">
        <v>0</v>
      </c>
      <c r="H223" s="92">
        <v>0</v>
      </c>
      <c r="I223" s="92">
        <v>0</v>
      </c>
      <c r="J223" s="92">
        <v>0</v>
      </c>
      <c r="K223" s="93">
        <v>0</v>
      </c>
      <c r="L223" s="91">
        <v>0</v>
      </c>
      <c r="M223" s="184">
        <v>0</v>
      </c>
    </row>
    <row r="224" spans="1:13" ht="16.8">
      <c r="A224" s="86">
        <v>33</v>
      </c>
      <c r="B224" s="75" t="s">
        <v>268</v>
      </c>
      <c r="D224" s="87">
        <v>66.893712056086201</v>
      </c>
      <c r="E224" s="88">
        <v>67.429191577201763</v>
      </c>
      <c r="F224" s="88">
        <v>68.82661899796868</v>
      </c>
      <c r="G224" s="88">
        <v>72.79260504510404</v>
      </c>
      <c r="H224" s="88">
        <v>73.599926978535336</v>
      </c>
      <c r="I224" s="88">
        <v>72.682590016069625</v>
      </c>
      <c r="J224" s="88">
        <v>74.76721766777959</v>
      </c>
      <c r="K224" s="89">
        <v>73.854682624001015</v>
      </c>
      <c r="L224" s="172">
        <v>570.84654496274629</v>
      </c>
      <c r="M224" s="90">
        <v>71.355818120343287</v>
      </c>
    </row>
    <row r="225" spans="1:13" ht="16.8">
      <c r="A225" s="86">
        <v>34</v>
      </c>
      <c r="B225" s="75" t="s">
        <v>269</v>
      </c>
      <c r="D225" s="87">
        <v>0</v>
      </c>
      <c r="E225" s="88">
        <v>0</v>
      </c>
      <c r="F225" s="88">
        <v>0</v>
      </c>
      <c r="G225" s="88">
        <v>0</v>
      </c>
      <c r="H225" s="88">
        <v>0</v>
      </c>
      <c r="I225" s="88">
        <v>0</v>
      </c>
      <c r="J225" s="88">
        <v>0</v>
      </c>
      <c r="K225" s="89">
        <v>0</v>
      </c>
      <c r="L225" s="172">
        <v>0</v>
      </c>
      <c r="M225" s="90">
        <v>0</v>
      </c>
    </row>
  </sheetData>
  <pageMargins left="0.7" right="0.7" top="0.75" bottom="0.75" header="0.3" footer="0.3"/>
  <pageSetup paperSize="9" orientation="portrait"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Q35"/>
  <sheetViews>
    <sheetView workbookViewId="0">
      <selection activeCell="I31" sqref="I31"/>
    </sheetView>
  </sheetViews>
  <sheetFormatPr defaultRowHeight="13.2"/>
  <cols>
    <col min="2" max="2" width="20.6640625" bestFit="1" customWidth="1"/>
    <col min="3" max="3" width="6.6640625" bestFit="1" customWidth="1"/>
    <col min="4" max="4" width="7.5546875" bestFit="1" customWidth="1"/>
    <col min="5" max="5" width="8.33203125" bestFit="1" customWidth="1"/>
    <col min="6" max="6" width="7.5546875" bestFit="1" customWidth="1"/>
    <col min="7" max="7" width="7.5546875" customWidth="1"/>
    <col min="8" max="11" width="7.5546875" bestFit="1" customWidth="1"/>
    <col min="12" max="12" width="8.33203125" bestFit="1" customWidth="1"/>
    <col min="14" max="14" width="10.109375" bestFit="1" customWidth="1"/>
  </cols>
  <sheetData>
    <row r="1" spans="2:17" ht="13.8" thickBot="1">
      <c r="B1" s="116" t="s">
        <v>434</v>
      </c>
      <c r="E1" s="8" t="s">
        <v>59</v>
      </c>
      <c r="F1" s="8" t="s">
        <v>60</v>
      </c>
      <c r="G1" s="8" t="s">
        <v>61</v>
      </c>
      <c r="H1" s="8" t="s">
        <v>62</v>
      </c>
      <c r="I1" s="8" t="s">
        <v>63</v>
      </c>
      <c r="J1" s="8" t="s">
        <v>64</v>
      </c>
      <c r="K1" s="8" t="s">
        <v>65</v>
      </c>
      <c r="L1" s="8" t="s">
        <v>66</v>
      </c>
    </row>
    <row r="2" spans="2:17">
      <c r="B2" t="s">
        <v>196</v>
      </c>
      <c r="C2" s="54"/>
      <c r="D2" s="54"/>
      <c r="E2" s="54">
        <f>E10</f>
        <v>1.167</v>
      </c>
      <c r="F2" s="54">
        <f t="shared" ref="F2:L2" si="0">F10</f>
        <v>1.19</v>
      </c>
      <c r="G2" s="54">
        <f t="shared" si="0"/>
        <v>1.202</v>
      </c>
      <c r="H2" s="54">
        <f t="shared" si="0"/>
        <v>1.228</v>
      </c>
      <c r="I2" s="54">
        <f t="shared" si="0"/>
        <v>1.274</v>
      </c>
      <c r="J2" s="54">
        <f t="shared" si="0"/>
        <v>1.3129999999999999</v>
      </c>
      <c r="K2" s="54">
        <f t="shared" si="0"/>
        <v>1.349</v>
      </c>
      <c r="L2" s="54">
        <f t="shared" si="0"/>
        <v>1.3879999999999999</v>
      </c>
      <c r="N2" s="109"/>
      <c r="O2" s="109"/>
      <c r="P2" s="109"/>
    </row>
    <row r="3" spans="2:17">
      <c r="B3" t="s">
        <v>435</v>
      </c>
      <c r="E3" s="54">
        <f>E15</f>
        <v>1.1809052989340341</v>
      </c>
      <c r="F3" s="54">
        <f t="shared" ref="F3:L3" si="1">F15</f>
        <v>1.1915649621504716</v>
      </c>
      <c r="G3" s="54">
        <f t="shared" si="1"/>
        <v>1.2101035068747106</v>
      </c>
      <c r="H3" s="54">
        <f t="shared" si="1"/>
        <v>1.2481075235594008</v>
      </c>
      <c r="I3" s="54">
        <f t="shared" si="1"/>
        <v>1.2898192491889391</v>
      </c>
      <c r="J3" s="54">
        <f t="shared" si="1"/>
        <v>1.3213347752201456</v>
      </c>
      <c r="K3" s="54">
        <f t="shared" si="1"/>
        <v>1.3611926463772597</v>
      </c>
      <c r="L3" s="54">
        <f t="shared" si="1"/>
        <v>1.4019774447705857</v>
      </c>
      <c r="N3" s="109"/>
      <c r="O3" s="109"/>
      <c r="P3" s="109"/>
    </row>
    <row r="4" spans="2:17">
      <c r="B4" t="s">
        <v>436</v>
      </c>
      <c r="E4" s="54">
        <f>D15</f>
        <v>1.1495010041711728</v>
      </c>
    </row>
    <row r="8" spans="2:17" ht="13.8" thickBot="1"/>
    <row r="9" spans="2:17" ht="13.8" thickBot="1">
      <c r="B9" t="s">
        <v>437</v>
      </c>
      <c r="C9" s="8" t="s">
        <v>438</v>
      </c>
      <c r="D9" s="8" t="s">
        <v>439</v>
      </c>
      <c r="E9" s="8" t="s">
        <v>59</v>
      </c>
      <c r="F9" s="8" t="s">
        <v>60</v>
      </c>
      <c r="G9" s="8" t="s">
        <v>61</v>
      </c>
      <c r="H9" s="8" t="s">
        <v>62</v>
      </c>
      <c r="I9" s="8" t="s">
        <v>63</v>
      </c>
      <c r="J9" s="8" t="s">
        <v>64</v>
      </c>
      <c r="K9" s="8" t="s">
        <v>65</v>
      </c>
      <c r="L9" s="8" t="s">
        <v>66</v>
      </c>
    </row>
    <row r="10" spans="2:17">
      <c r="C10" s="54"/>
      <c r="D10" s="54"/>
      <c r="E10" s="117">
        <v>1.167</v>
      </c>
      <c r="F10" s="117">
        <v>1.19</v>
      </c>
      <c r="G10" s="117">
        <v>1.202</v>
      </c>
      <c r="H10" s="117">
        <v>1.228</v>
      </c>
      <c r="I10" s="117">
        <v>1.274</v>
      </c>
      <c r="J10" s="117">
        <v>1.3129999999999999</v>
      </c>
      <c r="K10" s="117">
        <v>1.349</v>
      </c>
      <c r="L10" s="117">
        <v>1.3879999999999999</v>
      </c>
      <c r="N10" t="s">
        <v>440</v>
      </c>
      <c r="Q10" s="116" t="s">
        <v>441</v>
      </c>
    </row>
    <row r="12" spans="2:17">
      <c r="C12" s="111">
        <v>40969</v>
      </c>
      <c r="D12" s="111">
        <f>EDATE(C12,12)</f>
        <v>41334</v>
      </c>
      <c r="E12" s="111">
        <f t="shared" ref="E12:L12" si="2">EDATE(D12,12)</f>
        <v>41699</v>
      </c>
      <c r="F12" s="111">
        <f t="shared" si="2"/>
        <v>42064</v>
      </c>
      <c r="G12" s="111">
        <f t="shared" si="2"/>
        <v>42430</v>
      </c>
      <c r="H12" s="111">
        <f t="shared" si="2"/>
        <v>42795</v>
      </c>
      <c r="I12" s="111">
        <f t="shared" si="2"/>
        <v>43160</v>
      </c>
      <c r="J12" s="111">
        <f t="shared" si="2"/>
        <v>43525</v>
      </c>
      <c r="K12" s="111">
        <f t="shared" si="2"/>
        <v>43891</v>
      </c>
      <c r="L12" s="111">
        <f t="shared" si="2"/>
        <v>44256</v>
      </c>
    </row>
    <row r="13" spans="2:17">
      <c r="C13">
        <v>240.8</v>
      </c>
      <c r="D13" s="189">
        <v>248.02400000000003</v>
      </c>
      <c r="E13" s="53">
        <v>254.8</v>
      </c>
      <c r="F13" s="53">
        <v>257.10000000000002</v>
      </c>
      <c r="G13" s="53">
        <v>261.10000000000002</v>
      </c>
      <c r="H13" s="196">
        <v>269.3</v>
      </c>
      <c r="I13" s="196">
        <v>278.3</v>
      </c>
      <c r="J13" s="196">
        <v>285.10000000000002</v>
      </c>
      <c r="K13" s="196">
        <v>293.7</v>
      </c>
      <c r="L13" s="196">
        <v>302.5</v>
      </c>
      <c r="N13" t="s">
        <v>442</v>
      </c>
      <c r="Q13" s="116" t="s">
        <v>441</v>
      </c>
    </row>
    <row r="14" spans="2:17">
      <c r="C14" s="53"/>
      <c r="D14" s="53">
        <v>215.76666666666662</v>
      </c>
      <c r="E14" s="53">
        <v>215.76666666666662</v>
      </c>
      <c r="F14" s="53">
        <v>215.76666666666662</v>
      </c>
      <c r="G14" s="53">
        <v>215.76666666666662</v>
      </c>
      <c r="H14" s="53">
        <v>215.76666666666662</v>
      </c>
      <c r="I14" s="53">
        <v>215.76666666666662</v>
      </c>
      <c r="J14" s="53">
        <v>215.76666666666662</v>
      </c>
      <c r="K14" s="53">
        <v>215.76666666666662</v>
      </c>
      <c r="L14" s="53">
        <v>215.76666666666662</v>
      </c>
      <c r="N14" t="s">
        <v>443</v>
      </c>
    </row>
    <row r="15" spans="2:17">
      <c r="D15" s="117">
        <f t="shared" ref="D15:L15" si="3">D13/D14</f>
        <v>1.1495010041711728</v>
      </c>
      <c r="E15" s="117">
        <f t="shared" si="3"/>
        <v>1.1809052989340341</v>
      </c>
      <c r="F15" s="117">
        <f t="shared" si="3"/>
        <v>1.1915649621504716</v>
      </c>
      <c r="G15" s="117">
        <f t="shared" si="3"/>
        <v>1.2101035068747106</v>
      </c>
      <c r="H15" s="117">
        <f t="shared" si="3"/>
        <v>1.2481075235594008</v>
      </c>
      <c r="I15" s="117">
        <f t="shared" si="3"/>
        <v>1.2898192491889391</v>
      </c>
      <c r="J15" s="117">
        <f t="shared" si="3"/>
        <v>1.3213347752201456</v>
      </c>
      <c r="K15" s="117">
        <f t="shared" si="3"/>
        <v>1.3611926463772597</v>
      </c>
      <c r="L15" s="117">
        <f t="shared" si="3"/>
        <v>1.4019774447705857</v>
      </c>
    </row>
    <row r="19" spans="2:13">
      <c r="B19" s="38"/>
    </row>
    <row r="20" spans="2:13">
      <c r="E20" s="109"/>
      <c r="F20" s="109"/>
      <c r="G20" s="109"/>
      <c r="H20" s="109"/>
      <c r="I20" s="109"/>
      <c r="J20" s="109"/>
      <c r="K20" s="109"/>
      <c r="L20" s="109"/>
    </row>
    <row r="21" spans="2:13">
      <c r="E21" s="109"/>
      <c r="F21" s="109"/>
      <c r="G21" s="109"/>
      <c r="H21" s="109"/>
      <c r="I21" s="109"/>
      <c r="J21" s="109"/>
      <c r="K21" s="109"/>
      <c r="L21" s="109"/>
    </row>
    <row r="24" spans="2:13">
      <c r="E24" s="204"/>
      <c r="F24" s="204"/>
      <c r="G24" s="204"/>
      <c r="H24" s="204"/>
      <c r="I24" s="204"/>
      <c r="J24" s="204"/>
      <c r="K24" s="204"/>
      <c r="L24" s="204"/>
      <c r="M24" s="204"/>
    </row>
    <row r="25" spans="2:13">
      <c r="B25" s="38"/>
      <c r="E25" s="345"/>
      <c r="F25" s="345"/>
      <c r="G25" s="345"/>
      <c r="H25" s="345"/>
      <c r="I25" s="345"/>
      <c r="J25" s="345"/>
      <c r="K25" s="345"/>
      <c r="L25" s="345"/>
    </row>
    <row r="26" spans="2:13">
      <c r="E26" s="346"/>
      <c r="F26" s="346"/>
      <c r="G26" s="346"/>
      <c r="H26" s="346"/>
      <c r="I26" s="346"/>
      <c r="J26" s="346"/>
      <c r="K26" s="346"/>
      <c r="L26" s="346"/>
      <c r="M26" s="347"/>
    </row>
    <row r="27" spans="2:13">
      <c r="D27" s="111"/>
      <c r="E27" s="346"/>
      <c r="F27" s="346"/>
      <c r="G27" s="346"/>
      <c r="H27" s="346"/>
      <c r="I27" s="346"/>
      <c r="J27" s="346"/>
      <c r="K27" s="111"/>
      <c r="L27" s="346"/>
    </row>
    <row r="28" spans="2:13">
      <c r="E28" s="345"/>
      <c r="F28" s="345"/>
      <c r="G28" s="345"/>
      <c r="H28" s="345"/>
      <c r="I28" s="345"/>
      <c r="J28" s="345"/>
      <c r="K28" s="345"/>
      <c r="L28" s="345"/>
    </row>
    <row r="29" spans="2:13">
      <c r="B29" s="38"/>
      <c r="E29" s="345"/>
      <c r="F29" s="345"/>
      <c r="G29" s="345"/>
      <c r="H29" s="345"/>
      <c r="I29" s="345"/>
      <c r="J29" s="345"/>
      <c r="K29" s="345"/>
      <c r="L29" s="345"/>
    </row>
    <row r="30" spans="2:13">
      <c r="E30" s="346"/>
      <c r="F30" s="346"/>
      <c r="G30" s="346"/>
      <c r="H30" s="346"/>
      <c r="I30" s="346"/>
      <c r="J30" s="346"/>
      <c r="K30" s="346"/>
      <c r="L30" s="346"/>
      <c r="M30" s="347"/>
    </row>
    <row r="31" spans="2:13">
      <c r="D31" s="111"/>
      <c r="E31" s="346"/>
      <c r="F31" s="346"/>
      <c r="G31" s="346"/>
      <c r="H31" s="346"/>
      <c r="I31" s="346"/>
      <c r="J31" s="346"/>
      <c r="K31" s="111"/>
      <c r="L31" s="346"/>
    </row>
    <row r="32" spans="2:13">
      <c r="E32" s="345"/>
      <c r="F32" s="345"/>
      <c r="G32" s="345"/>
      <c r="H32" s="345"/>
      <c r="I32" s="345"/>
      <c r="J32" s="345"/>
      <c r="K32" s="345"/>
      <c r="L32" s="345"/>
    </row>
    <row r="33" spans="2:13">
      <c r="B33" s="38"/>
      <c r="E33" s="345"/>
      <c r="F33" s="345"/>
      <c r="G33" s="345"/>
      <c r="H33" s="345"/>
      <c r="I33" s="345"/>
      <c r="J33" s="345"/>
      <c r="K33" s="345"/>
      <c r="L33" s="345"/>
    </row>
    <row r="34" spans="2:13">
      <c r="E34" s="346"/>
      <c r="F34" s="346"/>
      <c r="G34" s="346"/>
      <c r="H34" s="346"/>
      <c r="I34" s="346"/>
      <c r="J34" s="346"/>
      <c r="K34" s="346"/>
      <c r="L34" s="346"/>
      <c r="M34" s="346"/>
    </row>
    <row r="35" spans="2:13">
      <c r="D35" s="111"/>
      <c r="E35" s="346"/>
      <c r="F35" s="346"/>
      <c r="G35" s="346"/>
      <c r="H35" s="346"/>
      <c r="I35" s="346"/>
      <c r="J35" s="346"/>
      <c r="K35" s="346"/>
      <c r="L35" s="346"/>
    </row>
  </sheetData>
  <pageMargins left="0.7" right="0.7" top="0.75" bottom="0.75" header="0.3" footer="0.3"/>
  <pageSetup paperSize="9" orientation="portrait" r:id="rId1"/>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D9F9-2B94-46C0-85AD-E852D41C97A3}">
  <sheetPr>
    <tabColor theme="9"/>
  </sheetPr>
  <dimension ref="B3:V214"/>
  <sheetViews>
    <sheetView topLeftCell="A117" zoomScaleNormal="100" workbookViewId="0">
      <selection activeCell="C188" sqref="C188:D188"/>
    </sheetView>
  </sheetViews>
  <sheetFormatPr defaultColWidth="9.109375" defaultRowHeight="13.2"/>
  <cols>
    <col min="1" max="1" width="3.6640625" style="386" customWidth="1"/>
    <col min="2" max="2" width="4.6640625" style="386" customWidth="1"/>
    <col min="3" max="3" width="43.33203125" style="386" customWidth="1"/>
    <col min="4" max="4" width="11.88671875" style="386" customWidth="1"/>
    <col min="5" max="5" width="14.5546875" style="386" customWidth="1"/>
    <col min="6" max="6" width="10.88671875" style="386" customWidth="1"/>
    <col min="7" max="12" width="10.6640625" style="386" customWidth="1"/>
    <col min="13" max="13" width="9.109375" style="386"/>
    <col min="14" max="14" width="7.5546875" style="386" customWidth="1"/>
    <col min="15" max="16" width="9.109375" style="386"/>
    <col min="17" max="17" width="9.109375" style="386" customWidth="1"/>
    <col min="18" max="16384" width="9.109375" style="386"/>
  </cols>
  <sheetData>
    <row r="3" spans="2:6" ht="23.4">
      <c r="B3" s="400">
        <v>1</v>
      </c>
      <c r="C3" s="400" t="s">
        <v>18</v>
      </c>
      <c r="D3" s="401"/>
      <c r="E3" s="402"/>
      <c r="F3" s="402"/>
    </row>
    <row r="4" spans="2:6" ht="33.75" customHeight="1">
      <c r="B4" s="400"/>
      <c r="C4" s="526" t="s">
        <v>19</v>
      </c>
      <c r="D4" s="527"/>
      <c r="E4" s="527"/>
      <c r="F4" s="402"/>
    </row>
    <row r="5" spans="2:6">
      <c r="B5" s="402"/>
      <c r="C5" s="402"/>
      <c r="D5" s="402"/>
      <c r="E5" s="402"/>
      <c r="F5" s="402"/>
    </row>
    <row r="6" spans="2:6" ht="31.8" thickBot="1">
      <c r="B6" s="402"/>
      <c r="C6" s="415" t="s">
        <v>20</v>
      </c>
      <c r="D6" s="416" t="s">
        <v>21</v>
      </c>
      <c r="E6" s="402"/>
      <c r="F6" s="402"/>
    </row>
    <row r="7" spans="2:6" ht="15.6">
      <c r="B7" s="402"/>
      <c r="C7" s="431" t="s">
        <v>22</v>
      </c>
      <c r="D7" s="433" t="s">
        <v>23</v>
      </c>
      <c r="E7" s="402"/>
      <c r="F7" s="402"/>
    </row>
    <row r="8" spans="2:6" ht="15.6">
      <c r="B8" s="402"/>
      <c r="C8" s="432" t="s">
        <v>24</v>
      </c>
      <c r="D8" s="434" t="s">
        <v>25</v>
      </c>
      <c r="E8" s="402"/>
      <c r="F8" s="402"/>
    </row>
    <row r="9" spans="2:6" ht="15.6">
      <c r="B9" s="402"/>
      <c r="C9" s="432" t="s">
        <v>26</v>
      </c>
      <c r="D9" s="434" t="s">
        <v>27</v>
      </c>
      <c r="E9" s="402"/>
      <c r="F9" s="402"/>
    </row>
    <row r="10" spans="2:6" ht="15.6">
      <c r="B10" s="402"/>
      <c r="C10" s="432" t="s">
        <v>28</v>
      </c>
      <c r="D10" s="434" t="s">
        <v>29</v>
      </c>
      <c r="E10" s="402"/>
      <c r="F10" s="402"/>
    </row>
    <row r="11" spans="2:6" ht="15.6">
      <c r="B11" s="402"/>
      <c r="C11" s="432" t="s">
        <v>30</v>
      </c>
      <c r="D11" s="434" t="s">
        <v>31</v>
      </c>
      <c r="E11" s="402"/>
      <c r="F11" s="402"/>
    </row>
    <row r="12" spans="2:6" ht="15.6">
      <c r="B12" s="402"/>
      <c r="C12" s="432" t="s">
        <v>32</v>
      </c>
      <c r="D12" s="434" t="s">
        <v>33</v>
      </c>
      <c r="E12" s="402"/>
      <c r="F12" s="402"/>
    </row>
    <row r="13" spans="2:6" ht="15.6">
      <c r="B13" s="402"/>
      <c r="C13" s="432" t="s">
        <v>34</v>
      </c>
      <c r="D13" s="519">
        <v>0.37</v>
      </c>
      <c r="E13" s="402"/>
      <c r="F13" s="402"/>
    </row>
    <row r="14" spans="2:6" ht="15.6">
      <c r="B14" s="402"/>
      <c r="C14" s="432" t="s">
        <v>35</v>
      </c>
      <c r="D14" s="434" t="s">
        <v>36</v>
      </c>
      <c r="E14" s="402"/>
      <c r="F14" s="402"/>
    </row>
    <row r="15" spans="2:6">
      <c r="B15" s="402"/>
      <c r="C15" s="402"/>
      <c r="D15" s="402"/>
      <c r="E15" s="402"/>
      <c r="F15" s="402"/>
    </row>
    <row r="17" spans="2:7" ht="29.25" customHeight="1">
      <c r="B17" s="400">
        <v>2</v>
      </c>
      <c r="C17" s="430" t="s">
        <v>37</v>
      </c>
      <c r="D17" s="402"/>
      <c r="E17" s="402"/>
      <c r="F17" s="402"/>
    </row>
    <row r="18" spans="2:7" ht="82.5" customHeight="1">
      <c r="B18" s="400"/>
      <c r="C18" s="526" t="s">
        <v>38</v>
      </c>
      <c r="D18" s="527"/>
      <c r="E18" s="527"/>
      <c r="F18" s="402"/>
    </row>
    <row r="19" spans="2:7">
      <c r="B19" s="402"/>
      <c r="C19" s="414"/>
      <c r="D19" s="402"/>
      <c r="E19" s="402"/>
      <c r="F19" s="402"/>
    </row>
    <row r="20" spans="2:7" ht="36.6" thickBot="1">
      <c r="B20" s="402"/>
      <c r="C20" s="415" t="s">
        <v>39</v>
      </c>
      <c r="D20" s="416" t="s">
        <v>40</v>
      </c>
      <c r="E20" s="416" t="s">
        <v>41</v>
      </c>
      <c r="F20" s="402"/>
    </row>
    <row r="21" spans="2:7" ht="15.6">
      <c r="B21" s="402"/>
      <c r="C21" s="431" t="s">
        <v>42</v>
      </c>
      <c r="D21" s="433">
        <f>'GT workings 19-20'!W16/1000</f>
        <v>4.2292355421608883E-2</v>
      </c>
      <c r="E21" s="433">
        <f>'GT workings 19-20'!M16/1000</f>
        <v>3.4797849634703379E-2</v>
      </c>
      <c r="F21" s="402"/>
    </row>
    <row r="22" spans="2:7" ht="15.6">
      <c r="B22" s="402"/>
      <c r="C22" s="432" t="s">
        <v>43</v>
      </c>
      <c r="D22" s="434">
        <f>'GT workings 19-20'!W17/1000</f>
        <v>1.1303834863721527</v>
      </c>
      <c r="E22" s="434">
        <f>'GT workings 19-20'!M17/1000</f>
        <v>0.89423407500752217</v>
      </c>
      <c r="F22" s="402"/>
    </row>
    <row r="23" spans="2:7" ht="15.6">
      <c r="B23" s="402"/>
      <c r="C23" s="432" t="s">
        <v>44</v>
      </c>
      <c r="D23" s="434">
        <f>'GT workings 19-20'!W21/1000</f>
        <v>-2.9243405964244344E-2</v>
      </c>
      <c r="E23" s="434">
        <f>'GT workings 19-20'!M21/1000</f>
        <v>-1.6139765125300323E-2</v>
      </c>
      <c r="F23" s="402"/>
    </row>
    <row r="24" spans="2:7" ht="15.6">
      <c r="B24" s="402"/>
      <c r="C24" s="432" t="s">
        <v>45</v>
      </c>
      <c r="D24" s="434">
        <f>'GT workings 19-20'!W22/1000</f>
        <v>2.3953609824013612E-2</v>
      </c>
      <c r="E24" s="434">
        <f>'GT workings 19-20'!M22/1000</f>
        <v>1.9174831287328494E-2</v>
      </c>
      <c r="F24" s="402"/>
    </row>
    <row r="25" spans="2:7" ht="15.6">
      <c r="B25" s="402"/>
      <c r="C25" s="432" t="s">
        <v>46</v>
      </c>
      <c r="D25" s="434">
        <f>'GT workings 19-20'!W18/1000</f>
        <v>0.7721052017188873</v>
      </c>
      <c r="E25" s="434">
        <f>'GT workings 19-20'!M18/1000</f>
        <v>0.60703868961485508</v>
      </c>
      <c r="F25" s="402"/>
    </row>
    <row r="26" spans="2:7" ht="15.6">
      <c r="B26" s="402"/>
      <c r="C26" s="432" t="s">
        <v>47</v>
      </c>
      <c r="D26" s="434">
        <f>SUMPRODUCT(D186:K186,'GT workings 19-20'!O1:V1)/1000</f>
        <v>4.7136000821645145E-2</v>
      </c>
      <c r="E26" s="434">
        <f>'NGGT AIP 2018'!L186/1000</f>
        <v>3.6127561213099964E-2</v>
      </c>
      <c r="F26" s="402"/>
      <c r="G26" s="413"/>
    </row>
    <row r="27" spans="2:7" ht="15.6">
      <c r="B27" s="402"/>
      <c r="C27" s="419" t="s">
        <v>48</v>
      </c>
      <c r="D27" s="420">
        <f>SUM(D21:D26)</f>
        <v>1.986627248194063</v>
      </c>
      <c r="E27" s="420">
        <f>SUM(E21:E26)</f>
        <v>1.5752332416322088</v>
      </c>
      <c r="F27" s="402"/>
    </row>
    <row r="28" spans="2:7">
      <c r="B28" s="402"/>
      <c r="C28" s="421"/>
      <c r="D28" s="422"/>
      <c r="E28" s="422"/>
      <c r="F28" s="402"/>
    </row>
    <row r="29" spans="2:7" ht="15.6">
      <c r="B29" s="402"/>
      <c r="C29" s="417" t="s">
        <v>49</v>
      </c>
      <c r="D29" s="418">
        <f>'GT workings 19-20'!W8/1000</f>
        <v>0.1869295489336768</v>
      </c>
      <c r="E29" s="418">
        <f>'GT workings 19-20'!M8/1000</f>
        <v>0.15032504731952542</v>
      </c>
      <c r="F29" s="402"/>
    </row>
    <row r="30" spans="2:7" ht="15.6">
      <c r="B30" s="402"/>
      <c r="C30" s="417" t="s">
        <v>44</v>
      </c>
      <c r="D30" s="418">
        <f>'GT workings 19-20'!W12/1000</f>
        <v>0.13966392257957644</v>
      </c>
      <c r="E30" s="418">
        <f>'GT workings 19-20'!M12/1000</f>
        <v>0.10945861530435269</v>
      </c>
      <c r="F30" s="402"/>
    </row>
    <row r="31" spans="2:7" ht="15.6">
      <c r="B31" s="402"/>
      <c r="C31" s="417" t="s">
        <v>45</v>
      </c>
      <c r="D31" s="418">
        <f>'GT workings 19-20'!W13/1000</f>
        <v>0.10988096048356794</v>
      </c>
      <c r="E31" s="418">
        <f>'GT workings 19-20'!M13/1000</f>
        <v>8.6178027958814019E-2</v>
      </c>
      <c r="F31" s="402"/>
    </row>
    <row r="32" spans="2:7" ht="15.6">
      <c r="B32" s="402"/>
      <c r="C32" s="417" t="s">
        <v>46</v>
      </c>
      <c r="D32" s="418">
        <f>'GT workings 19-20'!W7/1000</f>
        <v>0.38869274400267373</v>
      </c>
      <c r="E32" s="418">
        <f>'GT workings 19-20'!M7/1000</f>
        <v>0.30674480978356433</v>
      </c>
      <c r="F32" s="402"/>
    </row>
    <row r="33" spans="2:13" ht="15.6">
      <c r="B33" s="402"/>
      <c r="C33" s="417" t="s">
        <v>47</v>
      </c>
      <c r="D33" s="434">
        <f>SUMPRODUCT(D194:K194,'GT workings 19-20'!O1:V1)/1000</f>
        <v>-3.3490612902466445E-2</v>
      </c>
      <c r="E33" s="434">
        <f>L194/1000</f>
        <v>-2.8201247754557145E-2</v>
      </c>
      <c r="F33" s="402"/>
    </row>
    <row r="34" spans="2:13" ht="15.6">
      <c r="B34" s="402"/>
      <c r="C34" s="419" t="s">
        <v>50</v>
      </c>
      <c r="D34" s="420">
        <f>SUM(D29:D33)</f>
        <v>0.7916765630970285</v>
      </c>
      <c r="E34" s="420">
        <f>SUM(E29:E33)</f>
        <v>0.62450525261169931</v>
      </c>
      <c r="F34" s="402"/>
    </row>
    <row r="35" spans="2:13">
      <c r="B35" s="402"/>
      <c r="C35" s="423"/>
      <c r="D35" s="424"/>
      <c r="E35" s="424"/>
      <c r="F35" s="402"/>
    </row>
    <row r="36" spans="2:13" ht="15.6">
      <c r="B36" s="402"/>
      <c r="C36" s="419" t="s">
        <v>51</v>
      </c>
      <c r="D36" s="420">
        <f>D27+D34</f>
        <v>2.7783038112910914</v>
      </c>
      <c r="E36" s="420">
        <f>E27+E34</f>
        <v>2.199738494243908</v>
      </c>
      <c r="F36" s="402"/>
    </row>
    <row r="37" spans="2:13" ht="15.6">
      <c r="B37" s="402"/>
      <c r="C37" s="425"/>
      <c r="D37" s="426"/>
      <c r="E37" s="426"/>
      <c r="F37" s="402"/>
    </row>
    <row r="38" spans="2:13" ht="15.6">
      <c r="B38" s="402"/>
      <c r="C38" s="417" t="s">
        <v>52</v>
      </c>
      <c r="D38" s="418">
        <f>'GT workings 19-20'!W27/1000</f>
        <v>1.1173974547059218</v>
      </c>
      <c r="E38" s="418">
        <f>'GT workings 19-20'!M27/1000</f>
        <v>0.88225987635099723</v>
      </c>
      <c r="F38" s="402"/>
    </row>
    <row r="39" spans="2:13" ht="16.2" thickBot="1">
      <c r="B39" s="402"/>
      <c r="C39" s="427"/>
      <c r="D39" s="428"/>
      <c r="E39" s="428"/>
      <c r="F39" s="402"/>
    </row>
    <row r="40" spans="2:13" ht="16.2" thickBot="1">
      <c r="B40" s="402"/>
      <c r="C40" s="429" t="s">
        <v>53</v>
      </c>
      <c r="D40" s="486">
        <f>E40*'GT workings 19-20'!O3</f>
        <v>5.2944559162197029</v>
      </c>
      <c r="E40" s="486">
        <f>D202/1000</f>
        <v>4.6058732415263748</v>
      </c>
      <c r="F40" s="402"/>
    </row>
    <row r="41" spans="2:13" ht="16.2" thickBot="1">
      <c r="B41" s="402"/>
      <c r="C41" s="429" t="s">
        <v>54</v>
      </c>
      <c r="D41" s="486">
        <f>E41*'GT workings 19-20'!V2</f>
        <v>6.4270034604158885</v>
      </c>
      <c r="E41" s="486">
        <f>'NGGT AIP 2018'!K205/1000</f>
        <v>4.5600332101819392</v>
      </c>
      <c r="F41" s="402"/>
    </row>
    <row r="42" spans="2:13">
      <c r="B42" s="402"/>
      <c r="C42" s="402"/>
      <c r="D42" s="402"/>
      <c r="E42" s="402"/>
      <c r="F42" s="402"/>
    </row>
    <row r="45" spans="2:13" ht="23.4">
      <c r="B45" s="400">
        <v>3</v>
      </c>
      <c r="C45" s="430" t="s">
        <v>55</v>
      </c>
      <c r="D45" s="402"/>
      <c r="E45" s="402"/>
      <c r="F45" s="402"/>
      <c r="G45" s="402"/>
      <c r="H45" s="402"/>
      <c r="I45" s="402"/>
      <c r="J45" s="402"/>
      <c r="K45" s="402"/>
      <c r="L45" s="402"/>
      <c r="M45" s="402"/>
    </row>
    <row r="46" spans="2:13" ht="147" customHeight="1">
      <c r="B46" s="400"/>
      <c r="C46" s="528" t="s">
        <v>444</v>
      </c>
      <c r="D46" s="529"/>
      <c r="E46" s="529"/>
      <c r="F46" s="529"/>
      <c r="G46" s="529"/>
      <c r="H46" s="529"/>
      <c r="I46" s="529"/>
      <c r="J46" s="529"/>
      <c r="K46" s="529"/>
      <c r="L46" s="529"/>
      <c r="M46" s="402"/>
    </row>
    <row r="47" spans="2:13" ht="13.8" thickBot="1">
      <c r="B47" s="402"/>
      <c r="C47" s="448"/>
      <c r="D47" s="402"/>
      <c r="E47" s="402"/>
      <c r="F47" s="402"/>
      <c r="G47" s="402"/>
      <c r="H47" s="402"/>
      <c r="I47" s="402"/>
      <c r="J47" s="402"/>
      <c r="K47" s="402"/>
      <c r="L47" s="402"/>
      <c r="M47" s="402"/>
    </row>
    <row r="48" spans="2:13" ht="13.8" thickBot="1">
      <c r="B48" s="402"/>
      <c r="C48" s="448" t="s">
        <v>57</v>
      </c>
      <c r="D48" s="449"/>
      <c r="E48" s="530"/>
      <c r="F48" s="530"/>
      <c r="G48" s="450"/>
      <c r="H48" s="451"/>
      <c r="I48" s="451"/>
      <c r="J48" s="451"/>
      <c r="K48" s="402"/>
      <c r="L48" s="402"/>
      <c r="M48" s="402"/>
    </row>
    <row r="49" spans="2:15" ht="12.75" customHeight="1" thickBot="1">
      <c r="B49" s="402"/>
      <c r="C49" s="448" t="s">
        <v>58</v>
      </c>
      <c r="D49" s="452" t="s">
        <v>59</v>
      </c>
      <c r="E49" s="452" t="s">
        <v>60</v>
      </c>
      <c r="F49" s="453" t="s">
        <v>61</v>
      </c>
      <c r="G49" s="453" t="s">
        <v>62</v>
      </c>
      <c r="H49" s="453" t="s">
        <v>63</v>
      </c>
      <c r="I49" s="453" t="s">
        <v>64</v>
      </c>
      <c r="J49" s="453" t="s">
        <v>65</v>
      </c>
      <c r="K49" s="453" t="s">
        <v>66</v>
      </c>
      <c r="L49" s="453" t="s">
        <v>67</v>
      </c>
      <c r="M49" s="402"/>
    </row>
    <row r="50" spans="2:15" ht="12.75" customHeight="1">
      <c r="B50" s="402"/>
      <c r="C50" s="454"/>
      <c r="D50" s="455"/>
      <c r="E50" s="455"/>
      <c r="F50" s="455"/>
      <c r="G50" s="455"/>
      <c r="H50" s="455"/>
      <c r="I50" s="455"/>
      <c r="J50" s="455"/>
      <c r="K50" s="455"/>
      <c r="L50" s="454"/>
      <c r="M50" s="402"/>
    </row>
    <row r="51" spans="2:15" ht="12.75" customHeight="1">
      <c r="B51" s="402"/>
      <c r="C51" s="454" t="s">
        <v>68</v>
      </c>
      <c r="D51" s="455">
        <v>25.459307795372435</v>
      </c>
      <c r="E51" s="455">
        <v>14.41280752104567</v>
      </c>
      <c r="F51" s="455">
        <v>9.6173202079823099</v>
      </c>
      <c r="G51" s="455">
        <v>60.446777499796859</v>
      </c>
      <c r="H51" s="455">
        <v>84.880198528547851</v>
      </c>
      <c r="I51" s="455">
        <v>8.5249336835233791</v>
      </c>
      <c r="J51" s="455">
        <v>0.23152878737450566</v>
      </c>
      <c r="K51" s="455">
        <v>0</v>
      </c>
      <c r="L51" s="456">
        <f>SUM(D51:K51)</f>
        <v>203.57287402364304</v>
      </c>
      <c r="M51" s="402"/>
    </row>
    <row r="52" spans="2:15" ht="12.75" customHeight="1">
      <c r="B52" s="402"/>
      <c r="C52" s="454" t="s">
        <v>69</v>
      </c>
      <c r="D52" s="455">
        <v>97.132518315217595</v>
      </c>
      <c r="E52" s="455">
        <v>109.87971241227922</v>
      </c>
      <c r="F52" s="455">
        <v>114.43672637584547</v>
      </c>
      <c r="G52" s="455">
        <v>123.96977718673423</v>
      </c>
      <c r="H52" s="455">
        <v>138.27838395379189</v>
      </c>
      <c r="I52" s="455">
        <v>117.50342084599842</v>
      </c>
      <c r="J52" s="455">
        <v>101.87556011564801</v>
      </c>
      <c r="K52" s="455">
        <v>91.157975802007329</v>
      </c>
      <c r="L52" s="456">
        <f t="shared" ref="L52:L55" si="0">SUM(D52:K52)</f>
        <v>894.23407500752216</v>
      </c>
      <c r="M52" s="402"/>
    </row>
    <row r="53" spans="2:15" ht="12.75" customHeight="1">
      <c r="B53" s="402"/>
      <c r="C53" s="454" t="s">
        <v>70</v>
      </c>
      <c r="D53" s="455">
        <v>64.482672010544718</v>
      </c>
      <c r="E53" s="455">
        <v>65.237874215180156</v>
      </c>
      <c r="F53" s="455">
        <v>70.772894725011071</v>
      </c>
      <c r="G53" s="455">
        <v>79.368338266410362</v>
      </c>
      <c r="H53" s="455">
        <v>84.317479134504765</v>
      </c>
      <c r="I53" s="455">
        <v>84.641346358196444</v>
      </c>
      <c r="J53" s="455">
        <v>80.728014781566515</v>
      </c>
      <c r="K53" s="455">
        <v>77.490070123441129</v>
      </c>
      <c r="L53" s="456">
        <f t="shared" si="0"/>
        <v>607.03868961485512</v>
      </c>
      <c r="M53" s="402"/>
      <c r="O53" s="403"/>
    </row>
    <row r="54" spans="2:15" ht="12.75" customHeight="1">
      <c r="B54" s="402"/>
      <c r="C54" s="457" t="s">
        <v>71</v>
      </c>
      <c r="D54" s="458">
        <f>SUM(D51:D53)</f>
        <v>187.07449812113475</v>
      </c>
      <c r="E54" s="458">
        <f t="shared" ref="E54:K54" si="1">SUM(E51:E53)</f>
        <v>189.53039414850502</v>
      </c>
      <c r="F54" s="458">
        <f t="shared" si="1"/>
        <v>194.82694130883885</v>
      </c>
      <c r="G54" s="458">
        <f t="shared" si="1"/>
        <v>263.78489295294145</v>
      </c>
      <c r="H54" s="458">
        <f t="shared" si="1"/>
        <v>307.4760616168445</v>
      </c>
      <c r="I54" s="458">
        <f t="shared" si="1"/>
        <v>210.66970088771825</v>
      </c>
      <c r="J54" s="458">
        <f t="shared" si="1"/>
        <v>182.83510368458903</v>
      </c>
      <c r="K54" s="458">
        <f t="shared" si="1"/>
        <v>168.64804592544846</v>
      </c>
      <c r="L54" s="456">
        <f t="shared" si="0"/>
        <v>1704.8456386460205</v>
      </c>
      <c r="M54" s="402"/>
    </row>
    <row r="55" spans="2:15">
      <c r="B55" s="402"/>
      <c r="C55" s="454" t="s">
        <v>72</v>
      </c>
      <c r="D55" s="455">
        <f>D56-D54</f>
        <v>20.078514268186041</v>
      </c>
      <c r="E55" s="455">
        <f t="shared" ref="E55:K55" si="2">E56-E54</f>
        <v>13.255660470025248</v>
      </c>
      <c r="F55" s="455">
        <f t="shared" si="2"/>
        <v>-10.187306840206872</v>
      </c>
      <c r="G55" s="455">
        <f t="shared" si="2"/>
        <v>-72.336665172075499</v>
      </c>
      <c r="H55" s="455">
        <f t="shared" si="2"/>
        <v>-71.151219923452885</v>
      </c>
      <c r="I55" s="455">
        <f t="shared" si="2"/>
        <v>2.4594511907823176</v>
      </c>
      <c r="J55" s="455">
        <f t="shared" si="2"/>
        <v>-21.122647296975799</v>
      </c>
      <c r="K55" s="455">
        <f t="shared" si="2"/>
        <v>-26.735744923193977</v>
      </c>
      <c r="L55" s="456">
        <f t="shared" si="0"/>
        <v>-165.73995822691143</v>
      </c>
      <c r="M55" s="402"/>
    </row>
    <row r="56" spans="2:15">
      <c r="B56" s="402"/>
      <c r="C56" s="457" t="s">
        <v>73</v>
      </c>
      <c r="D56" s="458">
        <f>'GT workings 19-20'!E24</f>
        <v>207.15301238932079</v>
      </c>
      <c r="E56" s="458">
        <f>'GT workings 19-20'!F24</f>
        <v>202.78605461853027</v>
      </c>
      <c r="F56" s="458">
        <f>'GT workings 19-20'!G24</f>
        <v>184.63963446863198</v>
      </c>
      <c r="G56" s="458">
        <f>'GT workings 19-20'!H24</f>
        <v>191.44822778086595</v>
      </c>
      <c r="H56" s="458">
        <f>'GT workings 19-20'!I24</f>
        <v>236.32484169339162</v>
      </c>
      <c r="I56" s="458">
        <f>'GT workings 19-20'!J24</f>
        <v>213.12915207850057</v>
      </c>
      <c r="J56" s="458">
        <f>'GT workings 19-20'!K24</f>
        <v>161.71245638761323</v>
      </c>
      <c r="K56" s="458">
        <f>'GT workings 19-20'!L24</f>
        <v>141.91230100225448</v>
      </c>
      <c r="L56" s="456">
        <f>SUM(D56:K56)</f>
        <v>1539.1056804191089</v>
      </c>
      <c r="M56" s="402"/>
    </row>
    <row r="57" spans="2:15">
      <c r="B57" s="402"/>
      <c r="C57" s="459"/>
      <c r="D57" s="460"/>
      <c r="E57" s="460"/>
      <c r="F57" s="460"/>
      <c r="G57" s="460"/>
      <c r="H57" s="460"/>
      <c r="I57" s="460"/>
      <c r="J57" s="460"/>
      <c r="K57" s="460"/>
      <c r="L57" s="460"/>
      <c r="M57" s="402"/>
    </row>
    <row r="58" spans="2:15" ht="12.75" customHeight="1">
      <c r="B58" s="402"/>
      <c r="C58" s="454" t="s">
        <v>74</v>
      </c>
      <c r="D58" s="455">
        <f>'GT workings 19-20'!E41+'GT workings 19-20'!E46</f>
        <v>2.9582169044297091</v>
      </c>
      <c r="E58" s="455">
        <f>'GT workings 19-20'!F41+'GT workings 19-20'!F46</f>
        <v>1.2243087640771908</v>
      </c>
      <c r="F58" s="455">
        <f>'GT workings 19-20'!G41+'GT workings 19-20'!G46</f>
        <v>1.1459862431889645</v>
      </c>
      <c r="G58" s="455">
        <f>'GT workings 19-20'!H41+'GT workings 19-20'!H46</f>
        <v>1.3744988226661938</v>
      </c>
      <c r="H58" s="455">
        <f>'GT workings 19-20'!I41+'GT workings 19-20'!I46</f>
        <v>2.087771093729021</v>
      </c>
      <c r="I58" s="455">
        <f>'GT workings 19-20'!J41+'GT workings 19-20'!J46</f>
        <v>5.0594200163138892</v>
      </c>
      <c r="J58" s="455">
        <f>'GT workings 19-20'!K41+'GT workings 19-20'!K46</f>
        <v>0.23152878737450566</v>
      </c>
      <c r="K58" s="455">
        <f>'GT workings 19-20'!L41+'GT workings 19-20'!L46</f>
        <v>0</v>
      </c>
      <c r="L58" s="456">
        <f t="shared" ref="L58:L61" si="3">SUM(D58:K58)</f>
        <v>14.081730631779473</v>
      </c>
      <c r="M58" s="402"/>
      <c r="O58" s="405"/>
    </row>
    <row r="59" spans="2:15" ht="12.75" customHeight="1">
      <c r="B59" s="402"/>
      <c r="C59" s="454" t="s">
        <v>75</v>
      </c>
      <c r="D59" s="455">
        <f>'GT workings 19-20'!E42+'GT workings 19-20'!E47</f>
        <v>115.00942594680427</v>
      </c>
      <c r="E59" s="455">
        <f>'GT workings 19-20'!F42+'GT workings 19-20'!F47</f>
        <v>108.17202110984888</v>
      </c>
      <c r="F59" s="455">
        <f>'GT workings 19-20'!G42+'GT workings 19-20'!G47</f>
        <v>111.20152416051451</v>
      </c>
      <c r="G59" s="455">
        <f>'GT workings 19-20'!H42+'GT workings 19-20'!H47</f>
        <v>137.00495617294553</v>
      </c>
      <c r="H59" s="455">
        <f>'GT workings 19-20'!I42+'GT workings 19-20'!I47</f>
        <v>209.50532235187674</v>
      </c>
      <c r="I59" s="455">
        <f>'GT workings 19-20'!J42+'GT workings 19-20'!J47</f>
        <v>120.8652074726977</v>
      </c>
      <c r="J59" s="455">
        <f>'GT workings 19-20'!K42+'GT workings 19-20'!K47</f>
        <v>79.256715170799481</v>
      </c>
      <c r="K59" s="455">
        <f>'GT workings 19-20'!L42+'GT workings 19-20'!L47</f>
        <v>63.473981899221528</v>
      </c>
      <c r="L59" s="456">
        <f t="shared" si="3"/>
        <v>944.48915428470866</v>
      </c>
      <c r="M59" s="402"/>
      <c r="O59" s="406"/>
    </row>
    <row r="60" spans="2:15" ht="12.75" customHeight="1">
      <c r="B60" s="402"/>
      <c r="C60" s="454" t="s">
        <v>76</v>
      </c>
      <c r="D60" s="455">
        <f>'GT workings 19-20'!E43+'GT workings 19-20'!E48</f>
        <v>70.909659136255016</v>
      </c>
      <c r="E60" s="455">
        <f>'GT workings 19-20'!F43+'GT workings 19-20'!F48</f>
        <v>73.186755080995937</v>
      </c>
      <c r="F60" s="455">
        <f>'GT workings 19-20'!G43+'GT workings 19-20'!G48</f>
        <v>74.927506445626648</v>
      </c>
      <c r="G60" s="455">
        <f>'GT workings 19-20'!H43+'GT workings 19-20'!H48</f>
        <v>85.276917447845605</v>
      </c>
      <c r="H60" s="455">
        <f>'GT workings 19-20'!I43+'GT workings 19-20'!I48</f>
        <v>92.88040343618637</v>
      </c>
      <c r="I60" s="455">
        <f>'GT workings 19-20'!J43+'GT workings 19-20'!J48</f>
        <v>87.204524589488955</v>
      </c>
      <c r="J60" s="455">
        <f>'GT workings 19-20'!K43+'GT workings 19-20'!K48</f>
        <v>82.22421242943922</v>
      </c>
      <c r="K60" s="455">
        <f>'GT workings 19-20'!L43+'GT workings 19-20'!L48</f>
        <v>78.438319103032967</v>
      </c>
      <c r="L60" s="456">
        <f t="shared" si="3"/>
        <v>645.04829766887076</v>
      </c>
      <c r="M60" s="402"/>
      <c r="O60" s="406"/>
    </row>
    <row r="61" spans="2:15" ht="12.75" customHeight="1">
      <c r="B61" s="402"/>
      <c r="C61" s="457" t="s">
        <v>77</v>
      </c>
      <c r="D61" s="458">
        <f>SUM(D58:D60)</f>
        <v>188.87730198748898</v>
      </c>
      <c r="E61" s="458">
        <f t="shared" ref="E61:K61" si="4">SUM(E58:E60)</f>
        <v>182.58308495492201</v>
      </c>
      <c r="F61" s="458">
        <f t="shared" si="4"/>
        <v>187.27501684933011</v>
      </c>
      <c r="G61" s="458">
        <f t="shared" si="4"/>
        <v>223.65637244345731</v>
      </c>
      <c r="H61" s="458">
        <f t="shared" si="4"/>
        <v>304.47349688179213</v>
      </c>
      <c r="I61" s="458">
        <f t="shared" si="4"/>
        <v>213.12915207850057</v>
      </c>
      <c r="J61" s="458">
        <f t="shared" si="4"/>
        <v>161.7124563876132</v>
      </c>
      <c r="K61" s="458">
        <f t="shared" si="4"/>
        <v>141.91230100225448</v>
      </c>
      <c r="L61" s="456">
        <f t="shared" si="3"/>
        <v>1603.6191825853587</v>
      </c>
      <c r="M61" s="402"/>
      <c r="O61" s="406"/>
    </row>
    <row r="62" spans="2:15" ht="12.75" customHeight="1">
      <c r="B62" s="402"/>
      <c r="C62" s="457"/>
      <c r="D62" s="458"/>
      <c r="E62" s="458"/>
      <c r="F62" s="458"/>
      <c r="G62" s="458"/>
      <c r="H62" s="458"/>
      <c r="I62" s="458"/>
      <c r="J62" s="458"/>
      <c r="K62" s="458"/>
      <c r="L62" s="456"/>
      <c r="M62" s="402"/>
      <c r="O62" s="406"/>
    </row>
    <row r="63" spans="2:15" ht="12.75" customHeight="1">
      <c r="B63" s="402"/>
      <c r="C63" s="457" t="s">
        <v>78</v>
      </c>
      <c r="D63" s="458">
        <f>D56-(D56-D61)*(1-$D$14)</f>
        <v>196.91861456429498</v>
      </c>
      <c r="E63" s="458">
        <f t="shared" ref="E63:K63" si="5">E56-(E56-E61)*(1-$D$14)</f>
        <v>191.47239160690964</v>
      </c>
      <c r="F63" s="458">
        <f t="shared" si="5"/>
        <v>186.11544860182295</v>
      </c>
      <c r="G63" s="458">
        <f t="shared" si="5"/>
        <v>209.48478879191711</v>
      </c>
      <c r="H63" s="458">
        <f t="shared" si="5"/>
        <v>274.4880885988959</v>
      </c>
      <c r="I63" s="458">
        <f t="shared" si="5"/>
        <v>213.12915207850057</v>
      </c>
      <c r="J63" s="458">
        <f t="shared" si="5"/>
        <v>161.7124563876132</v>
      </c>
      <c r="K63" s="458">
        <f t="shared" si="5"/>
        <v>141.91230100225448</v>
      </c>
      <c r="L63" s="456">
        <f>SUM(D63:K63)</f>
        <v>1575.2332416322088</v>
      </c>
      <c r="M63" s="402"/>
      <c r="O63" s="406"/>
    </row>
    <row r="64" spans="2:15" ht="12.75" customHeight="1">
      <c r="B64" s="402"/>
      <c r="C64" s="454" t="s">
        <v>79</v>
      </c>
      <c r="D64" s="455">
        <f>'GT workings 19-20'!E54+'GT workings 19-20'!E58</f>
        <v>62.207265677053421</v>
      </c>
      <c r="E64" s="455">
        <f>'GT workings 19-20'!F54+'GT workings 19-20'!F58</f>
        <v>62.484285704252912</v>
      </c>
      <c r="F64" s="455">
        <f>'GT workings 19-20'!G54+'GT workings 19-20'!G58</f>
        <v>64.347820692392219</v>
      </c>
      <c r="G64" s="455">
        <f>'GT workings 19-20'!H54+'GT workings 19-20'!H58</f>
        <v>71.841888998046599</v>
      </c>
      <c r="H64" s="455">
        <f>'GT workings 19-20'!I54+'GT workings 19-20'!I58</f>
        <v>87.879660360228684</v>
      </c>
      <c r="I64" s="455">
        <f>'GT workings 19-20'!J54+'GT workings 19-20'!J58</f>
        <v>75.18600388518233</v>
      </c>
      <c r="J64" s="455">
        <f>'GT workings 19-20'!K54+'GT workings 19-20'!K58</f>
        <v>63.708372596754465</v>
      </c>
      <c r="K64" s="455">
        <f>'GT workings 19-20'!L54+'GT workings 19-20'!L58</f>
        <v>58.039722040842044</v>
      </c>
      <c r="L64" s="456">
        <f t="shared" ref="L64:L65" si="6">SUM(D64:K64)</f>
        <v>545.69501995475275</v>
      </c>
      <c r="M64" s="402"/>
      <c r="O64" s="406"/>
    </row>
    <row r="65" spans="2:15" ht="12.75" customHeight="1">
      <c r="B65" s="402"/>
      <c r="C65" s="454" t="s">
        <v>80</v>
      </c>
      <c r="D65" s="455">
        <f>'GT workings 19-20'!E55+'GT workings 19-20'!E59</f>
        <v>134.71134888724157</v>
      </c>
      <c r="E65" s="455">
        <f>'GT workings 19-20'!F55+'GT workings 19-20'!F59</f>
        <v>128.98810590265671</v>
      </c>
      <c r="F65" s="455">
        <f>'GT workings 19-20'!G55+'GT workings 19-20'!G59</f>
        <v>121.76762790943071</v>
      </c>
      <c r="G65" s="455">
        <f>'GT workings 19-20'!H55+'GT workings 19-20'!H59</f>
        <v>137.64289979387053</v>
      </c>
      <c r="H65" s="455">
        <f>'GT workings 19-20'!I55+'GT workings 19-20'!I59</f>
        <v>186.60842823866722</v>
      </c>
      <c r="I65" s="455">
        <f>'GT workings 19-20'!J55+'GT workings 19-20'!J59</f>
        <v>137.94314819331822</v>
      </c>
      <c r="J65" s="455">
        <f>'GT workings 19-20'!K55+'GT workings 19-20'!K59</f>
        <v>98.004083790858743</v>
      </c>
      <c r="K65" s="455">
        <f>'GT workings 19-20'!L55+'GT workings 19-20'!L59</f>
        <v>83.872578961412458</v>
      </c>
      <c r="L65" s="456">
        <f t="shared" si="6"/>
        <v>1029.538221677456</v>
      </c>
      <c r="M65" s="402"/>
      <c r="O65" s="406"/>
    </row>
    <row r="66" spans="2:15" ht="23.25" customHeight="1">
      <c r="B66" s="402"/>
      <c r="C66" s="457"/>
      <c r="D66" s="402"/>
      <c r="E66" s="402"/>
      <c r="F66" s="402"/>
      <c r="G66" s="402"/>
      <c r="H66" s="402"/>
      <c r="I66" s="402"/>
      <c r="J66" s="402"/>
      <c r="K66" s="402"/>
      <c r="L66" s="402"/>
      <c r="M66" s="402"/>
    </row>
    <row r="67" spans="2:15" ht="53.25" customHeight="1">
      <c r="B67" s="402"/>
      <c r="C67" s="528" t="s">
        <v>81</v>
      </c>
      <c r="D67" s="529"/>
      <c r="E67" s="529"/>
      <c r="F67" s="529"/>
      <c r="G67" s="529"/>
      <c r="H67" s="529"/>
      <c r="I67" s="529"/>
      <c r="J67" s="529"/>
      <c r="K67" s="529"/>
      <c r="L67" s="529"/>
      <c r="M67" s="402"/>
    </row>
    <row r="68" spans="2:15" ht="13.8" thickBot="1">
      <c r="B68" s="402"/>
      <c r="C68" s="448" t="s">
        <v>82</v>
      </c>
      <c r="D68" s="449"/>
      <c r="E68" s="530"/>
      <c r="F68" s="530"/>
      <c r="G68" s="450"/>
      <c r="H68" s="451"/>
      <c r="I68" s="402"/>
      <c r="J68" s="402"/>
      <c r="K68" s="402"/>
      <c r="L68" s="402"/>
      <c r="M68" s="402"/>
      <c r="O68" s="407"/>
    </row>
    <row r="69" spans="2:15" ht="13.8" thickBot="1">
      <c r="B69" s="402"/>
      <c r="C69" s="448" t="s">
        <v>58</v>
      </c>
      <c r="D69" s="452" t="s">
        <v>59</v>
      </c>
      <c r="E69" s="452" t="s">
        <v>60</v>
      </c>
      <c r="F69" s="453" t="s">
        <v>61</v>
      </c>
      <c r="G69" s="453" t="s">
        <v>62</v>
      </c>
      <c r="H69" s="453" t="s">
        <v>63</v>
      </c>
      <c r="I69" s="453" t="s">
        <v>64</v>
      </c>
      <c r="J69" s="453" t="s">
        <v>65</v>
      </c>
      <c r="K69" s="453" t="s">
        <v>66</v>
      </c>
      <c r="L69" s="402"/>
      <c r="M69" s="402"/>
    </row>
    <row r="70" spans="2:15">
      <c r="B70" s="402"/>
      <c r="C70" s="454" t="s">
        <v>83</v>
      </c>
      <c r="D70" s="455">
        <f>'GT workings 19-20'!E$79</f>
        <v>4014.3985484751774</v>
      </c>
      <c r="E70" s="455">
        <f>'GT workings 19-20'!F$79</f>
        <v>4276.4049861842705</v>
      </c>
      <c r="F70" s="455">
        <f>'GT workings 19-20'!G$79</f>
        <v>4266.9440584723898</v>
      </c>
      <c r="G70" s="455">
        <f>'GT workings 19-20'!H$79</f>
        <v>4249.3281809886448</v>
      </c>
      <c r="H70" s="455">
        <f>'GT workings 19-20'!I$79</f>
        <v>4258.8864410723863</v>
      </c>
      <c r="I70" s="455">
        <f>'GT workings 19-20'!J$79</f>
        <v>4554.6845752923846</v>
      </c>
      <c r="J70" s="455">
        <f>'GT workings 19-20'!K$79</f>
        <v>4552.8262962167646</v>
      </c>
      <c r="K70" s="455">
        <f>'GT workings 19-20'!L$79</f>
        <v>4513.6546170875736</v>
      </c>
      <c r="L70" s="402"/>
      <c r="M70" s="402"/>
    </row>
    <row r="71" spans="2:15">
      <c r="B71" s="402"/>
      <c r="C71" s="454" t="s">
        <v>84</v>
      </c>
      <c r="D71" s="455">
        <f>'GT workings 19-20'!E$274</f>
        <v>26.481374584366876</v>
      </c>
      <c r="E71" s="455">
        <f>'GT workings 19-20'!F$274</f>
        <v>0</v>
      </c>
      <c r="F71" s="455">
        <f>'GT workings 19-20'!G$274</f>
        <v>0</v>
      </c>
      <c r="G71" s="455">
        <f>'GT workings 19-20'!H$274</f>
        <v>0</v>
      </c>
      <c r="H71" s="455">
        <f>'GT workings 19-20'!I$274</f>
        <v>0</v>
      </c>
      <c r="I71" s="455">
        <f>'GT workings 19-20'!J$274</f>
        <v>0</v>
      </c>
      <c r="J71" s="455">
        <f>'GT workings 19-20'!K$274</f>
        <v>0</v>
      </c>
      <c r="K71" s="455">
        <f>'GT workings 19-20'!L$274</f>
        <v>0</v>
      </c>
      <c r="L71" s="402"/>
      <c r="M71" s="402"/>
    </row>
    <row r="72" spans="2:15">
      <c r="B72" s="402"/>
      <c r="C72" s="454" t="s">
        <v>85</v>
      </c>
      <c r="D72" s="455">
        <f>'GT workings 19-20'!E$80-'GT workings 19-20'!E$274</f>
        <v>212.42711319557802</v>
      </c>
      <c r="E72" s="455">
        <f>'GT workings 19-20'!F$80-'GT workings 19-20'!F$274</f>
        <v>1.5889649604528906</v>
      </c>
      <c r="F72" s="455">
        <f>'GT workings 19-20'!G$80-'GT workings 19-20'!G$274</f>
        <v>1.9371656435515117</v>
      </c>
      <c r="G72" s="455">
        <f>'GT workings 19-20'!H$80-'GT workings 19-20'!H$274</f>
        <v>14.654700839030934</v>
      </c>
      <c r="H72" s="455">
        <f>'GT workings 19-20'!I$80-'GT workings 19-20'!I$274</f>
        <v>260.23741664922477</v>
      </c>
      <c r="I72" s="455">
        <f>'GT workings 19-20'!J$80-'GT workings 19-20'!J$274</f>
        <v>13.932209297896886</v>
      </c>
      <c r="J72" s="455">
        <f>'GT workings 19-20'!K$80-'GT workings 19-20'!K$274</f>
        <v>18.476860279771643</v>
      </c>
      <c r="K72" s="455">
        <f>'GT workings 19-20'!L$80-'GT workings 19-20'!L$274</f>
        <v>0.81062265305823133</v>
      </c>
      <c r="L72" s="402"/>
      <c r="M72" s="402"/>
    </row>
    <row r="73" spans="2:15">
      <c r="B73" s="402"/>
      <c r="C73" s="454" t="s">
        <v>86</v>
      </c>
      <c r="D73" s="455">
        <f>'GT workings 19-20'!E$82</f>
        <v>161.87652174937244</v>
      </c>
      <c r="E73" s="455">
        <f>'GT workings 19-20'!F$82</f>
        <v>129.68850987935372</v>
      </c>
      <c r="F73" s="455">
        <f>'GT workings 19-20'!G$82</f>
        <v>122.43763879614492</v>
      </c>
      <c r="G73" s="455">
        <f>'GT workings 19-20'!H$82</f>
        <v>138.29952279737549</v>
      </c>
      <c r="H73" s="455">
        <f>'GT workings 19-20'!I$82</f>
        <v>187.31596685399023</v>
      </c>
      <c r="I73" s="455">
        <f>'GT workings 19-20'!J$82</f>
        <v>138.76420696209561</v>
      </c>
      <c r="J73" s="455">
        <f>'GT workings 19-20'!K$82</f>
        <v>98.727666225492442</v>
      </c>
      <c r="K73" s="455">
        <f>'GT workings 19-20'!L$82</f>
        <v>84.539413165009563</v>
      </c>
      <c r="L73" s="402"/>
      <c r="M73" s="402"/>
    </row>
    <row r="74" spans="2:15">
      <c r="B74" s="402"/>
      <c r="C74" s="454" t="s">
        <v>87</v>
      </c>
      <c r="D74" s="455">
        <f>'GT workings 19-20'!E$83</f>
        <v>-138.77857182022461</v>
      </c>
      <c r="E74" s="455">
        <f>'GT workings 19-20'!F$83</f>
        <v>-140.7384025516873</v>
      </c>
      <c r="F74" s="455">
        <f>'GT workings 19-20'!G$83</f>
        <v>-141.99068192344066</v>
      </c>
      <c r="G74" s="455">
        <f>'GT workings 19-20'!H$83</f>
        <v>-143.39596355266457</v>
      </c>
      <c r="H74" s="455">
        <f>'GT workings 19-20'!I$83</f>
        <v>-151.75524928321607</v>
      </c>
      <c r="I74" s="455">
        <f>'GT workings 19-20'!J$83</f>
        <v>-154.55469533561347</v>
      </c>
      <c r="J74" s="455">
        <f>'GT workings 19-20'!K$83</f>
        <v>-156.37620563445489</v>
      </c>
      <c r="K74" s="455">
        <f>'GT workings 19-20'!L$83</f>
        <v>-156.91543196966703</v>
      </c>
      <c r="L74" s="402"/>
      <c r="M74" s="402"/>
      <c r="N74" s="408"/>
    </row>
    <row r="75" spans="2:15" ht="15" customHeight="1">
      <c r="B75" s="402"/>
      <c r="C75" s="457" t="s">
        <v>88</v>
      </c>
      <c r="D75" s="458">
        <f>'GT workings 19-20'!E$84</f>
        <v>4276.4049861842705</v>
      </c>
      <c r="E75" s="458">
        <f>'GT workings 19-20'!F$84</f>
        <v>4266.9440584723898</v>
      </c>
      <c r="F75" s="458">
        <f>'GT workings 19-20'!G$84</f>
        <v>4249.3281809886448</v>
      </c>
      <c r="G75" s="458">
        <f>'GT workings 19-20'!H$84</f>
        <v>4258.8864410723863</v>
      </c>
      <c r="H75" s="458">
        <f>'GT workings 19-20'!I$84</f>
        <v>4554.6845752923846</v>
      </c>
      <c r="I75" s="458">
        <f>'GT workings 19-20'!J$84</f>
        <v>4552.8262962167646</v>
      </c>
      <c r="J75" s="458">
        <f>'GT workings 19-20'!K$84</f>
        <v>4513.6546170875736</v>
      </c>
      <c r="K75" s="458">
        <f>'GT workings 19-20'!L$84</f>
        <v>4442.0892209359736</v>
      </c>
      <c r="L75" s="402"/>
      <c r="M75" s="402"/>
    </row>
    <row r="76" spans="2:15" ht="17.25" customHeight="1" thickBot="1">
      <c r="B76" s="402"/>
      <c r="C76" s="463" t="s">
        <v>89</v>
      </c>
      <c r="D76" s="464">
        <f>'GT workings 19-20'!E$153</f>
        <v>293.92600602045593</v>
      </c>
      <c r="E76" s="464">
        <f>'GT workings 19-20'!F$153</f>
        <v>287.04559746760856</v>
      </c>
      <c r="F76" s="464">
        <f>'GT workings 19-20'!G$153</f>
        <v>279.83454528347545</v>
      </c>
      <c r="G76" s="464">
        <f>'GT workings 19-20'!H$153</f>
        <v>260.23741664922488</v>
      </c>
      <c r="H76" s="464">
        <f>'GT workings 19-20'!I$153</f>
        <v>13.932209297896886</v>
      </c>
      <c r="I76" s="464">
        <f>'GT workings 19-20'!J$153</f>
        <v>18.476860279771643</v>
      </c>
      <c r="J76" s="464">
        <f>'GT workings 19-20'!K$153</f>
        <v>0.81062265305823133</v>
      </c>
      <c r="K76" s="464">
        <f>'GT workings 19-20'!L$153</f>
        <v>0</v>
      </c>
      <c r="L76" s="402"/>
      <c r="M76" s="402"/>
    </row>
    <row r="77" spans="2:15" ht="11.25" customHeight="1">
      <c r="B77" s="402"/>
      <c r="C77" s="457"/>
      <c r="D77" s="402"/>
      <c r="E77" s="402"/>
      <c r="F77" s="402"/>
      <c r="G77" s="402"/>
      <c r="H77" s="402"/>
      <c r="I77" s="402"/>
      <c r="J77" s="402"/>
      <c r="K77" s="402"/>
      <c r="L77" s="402"/>
      <c r="M77" s="402"/>
    </row>
    <row r="78" spans="2:15" ht="13.8" thickBot="1">
      <c r="B78" s="402"/>
      <c r="C78" s="448" t="s">
        <v>90</v>
      </c>
      <c r="D78" s="449"/>
      <c r="E78" s="530"/>
      <c r="F78" s="530"/>
      <c r="G78" s="450"/>
      <c r="H78" s="451"/>
      <c r="I78" s="402"/>
      <c r="J78" s="402"/>
      <c r="K78" s="402"/>
      <c r="L78" s="402"/>
      <c r="M78" s="402"/>
      <c r="O78" s="407"/>
    </row>
    <row r="79" spans="2:15" ht="13.8" thickBot="1">
      <c r="B79" s="402"/>
      <c r="C79" s="448" t="s">
        <v>58</v>
      </c>
      <c r="D79" s="452" t="s">
        <v>59</v>
      </c>
      <c r="E79" s="452" t="s">
        <v>60</v>
      </c>
      <c r="F79" s="453" t="s">
        <v>61</v>
      </c>
      <c r="G79" s="453" t="s">
        <v>62</v>
      </c>
      <c r="H79" s="453" t="s">
        <v>63</v>
      </c>
      <c r="I79" s="453" t="s">
        <v>64</v>
      </c>
      <c r="J79" s="453" t="s">
        <v>65</v>
      </c>
      <c r="K79" s="453" t="s">
        <v>66</v>
      </c>
      <c r="L79" s="402"/>
      <c r="M79" s="402"/>
    </row>
    <row r="80" spans="2:15">
      <c r="B80" s="402"/>
      <c r="C80" s="454" t="s">
        <v>91</v>
      </c>
      <c r="D80" s="455">
        <f>'GT workings 19-20'!E155</f>
        <v>4552.8726865510716</v>
      </c>
      <c r="E80" s="455">
        <f>'GT workings 19-20'!F155</f>
        <v>4570.3309922047265</v>
      </c>
      <c r="F80" s="455">
        <f>'GT workings 19-20'!G155</f>
        <v>4553.9896559399986</v>
      </c>
      <c r="G80" s="455">
        <f>'GT workings 19-20'!H155</f>
        <v>4529.1627262721213</v>
      </c>
      <c r="H80" s="455">
        <f>'GT workings 19-20'!I155</f>
        <v>4519.1238577216127</v>
      </c>
      <c r="I80" s="455">
        <f>'GT workings 19-20'!J155</f>
        <v>4568.6167845902837</v>
      </c>
      <c r="J80" s="455">
        <f>'GT workings 19-20'!K155</f>
        <v>4571.3031564965377</v>
      </c>
      <c r="K80" s="455">
        <f>'GT workings 19-20'!L155</f>
        <v>4514.4652397406335</v>
      </c>
      <c r="L80" s="402"/>
      <c r="M80" s="402"/>
    </row>
    <row r="81" spans="2:14">
      <c r="B81" s="402"/>
      <c r="C81" s="454" t="s">
        <v>84</v>
      </c>
      <c r="D81" s="455">
        <f>'GT workings 19-20'!E274</f>
        <v>26.481374584366876</v>
      </c>
      <c r="E81" s="455"/>
      <c r="F81" s="455"/>
      <c r="G81" s="455"/>
      <c r="H81" s="455"/>
      <c r="I81" s="455"/>
      <c r="J81" s="455"/>
      <c r="K81" s="455"/>
      <c r="L81" s="402"/>
      <c r="M81" s="402"/>
    </row>
    <row r="82" spans="2:14">
      <c r="B82" s="402"/>
      <c r="C82" s="454" t="s">
        <v>86</v>
      </c>
      <c r="D82" s="455">
        <f>'GT workings 19-20'!E156-'NGGT AIP 2018'!D81</f>
        <v>136.98411212545847</v>
      </c>
      <c r="E82" s="455">
        <f>'GT workings 19-20'!F156-'NGGT AIP 2018'!E81</f>
        <v>131.62567552290523</v>
      </c>
      <c r="F82" s="455">
        <f>'GT workings 19-20'!G156-'NGGT AIP 2018'!F81</f>
        <v>124.39236149150932</v>
      </c>
      <c r="G82" s="455">
        <f>'GT workings 19-20'!H156-'NGGT AIP 2018'!G81</f>
        <v>140.27196166882248</v>
      </c>
      <c r="H82" s="455">
        <f>'GT workings 19-20'!I156-'NGGT AIP 2018'!H81</f>
        <v>201.24817615188712</v>
      </c>
      <c r="I82" s="455">
        <f>'GT workings 19-20'!J156-'NGGT AIP 2018'!I81</f>
        <v>157.24106724186726</v>
      </c>
      <c r="J82" s="455">
        <f>'GT workings 19-20'!K156-'NGGT AIP 2018'!J81</f>
        <v>99.538288878550674</v>
      </c>
      <c r="K82" s="455">
        <f>'GT workings 19-20'!L156-'NGGT AIP 2018'!K81</f>
        <v>84.539413165009563</v>
      </c>
      <c r="L82" s="402"/>
      <c r="M82" s="402"/>
    </row>
    <row r="83" spans="2:14">
      <c r="B83" s="402"/>
      <c r="C83" s="454" t="s">
        <v>92</v>
      </c>
      <c r="D83" s="455">
        <f>'GT workings 19-20'!E187</f>
        <v>-146.00718105617065</v>
      </c>
      <c r="E83" s="455">
        <f>'GT workings 19-20'!F187</f>
        <v>-144.36975574875839</v>
      </c>
      <c r="F83" s="455">
        <f>'GT workings 19-20'!G187</f>
        <v>-142.74006823430389</v>
      </c>
      <c r="G83" s="455">
        <f>'GT workings 19-20'!H187</f>
        <v>-141.1107708765563</v>
      </c>
      <c r="H83" s="455">
        <f>'GT workings 19-20'!I187</f>
        <v>-139.48186721161059</v>
      </c>
      <c r="I83" s="455">
        <f>'GT workings 19-20'!J187</f>
        <v>-138.1187362228082</v>
      </c>
      <c r="J83" s="455">
        <f>'GT workings 19-20'!K187</f>
        <v>-136.85659747804749</v>
      </c>
      <c r="K83" s="455">
        <f>'GT workings 19-20'!L187</f>
        <v>-135.20187567491536</v>
      </c>
      <c r="L83" s="402"/>
      <c r="M83" s="402"/>
    </row>
    <row r="84" spans="2:14">
      <c r="B84" s="402"/>
      <c r="C84" s="454" t="s">
        <v>93</v>
      </c>
      <c r="D84" s="455">
        <f>'GT workings 19-20'!E188</f>
        <v>0</v>
      </c>
      <c r="E84" s="455">
        <f>'GT workings 19-20'!F188</f>
        <v>-3.5972560388749431</v>
      </c>
      <c r="F84" s="455">
        <f>'GT workings 19-20'!G188</f>
        <v>-6.4792229250828033</v>
      </c>
      <c r="G84" s="455">
        <f>'GT workings 19-20'!H188</f>
        <v>-9.2000593427749138</v>
      </c>
      <c r="H84" s="455">
        <f>'GT workings 19-20'!I188</f>
        <v>-12.27338207160548</v>
      </c>
      <c r="I84" s="455">
        <f>'GT workings 19-20'!J188</f>
        <v>-16.435959112805264</v>
      </c>
      <c r="J84" s="455">
        <f>'GT workings 19-20'!K188</f>
        <v>-19.51960815640739</v>
      </c>
      <c r="K84" s="455">
        <f>'GT workings 19-20'!L188</f>
        <v>-21.713556294751665</v>
      </c>
      <c r="L84" s="402"/>
      <c r="M84" s="402"/>
      <c r="N84" s="408"/>
    </row>
    <row r="85" spans="2:14" ht="13.8" thickBot="1">
      <c r="B85" s="402"/>
      <c r="C85" s="448" t="s">
        <v>94</v>
      </c>
      <c r="D85" s="461">
        <f>SUM(D80:D84)</f>
        <v>4570.3309922047265</v>
      </c>
      <c r="E85" s="461">
        <f t="shared" ref="E85:K85" si="7">SUM(E80:E84)</f>
        <v>4553.9896559399986</v>
      </c>
      <c r="F85" s="461">
        <f t="shared" si="7"/>
        <v>4529.1627262721213</v>
      </c>
      <c r="G85" s="461">
        <f t="shared" si="7"/>
        <v>4519.1238577216127</v>
      </c>
      <c r="H85" s="461">
        <f t="shared" si="7"/>
        <v>4568.6167845902837</v>
      </c>
      <c r="I85" s="461">
        <f t="shared" si="7"/>
        <v>4571.3031564965377</v>
      </c>
      <c r="J85" s="461">
        <f t="shared" si="7"/>
        <v>4514.4652397406335</v>
      </c>
      <c r="K85" s="461">
        <f t="shared" si="7"/>
        <v>4442.0892209359754</v>
      </c>
      <c r="L85" s="402"/>
      <c r="M85" s="402"/>
      <c r="N85" s="409"/>
    </row>
    <row r="86" spans="2:14">
      <c r="B86" s="402"/>
      <c r="C86" s="457"/>
      <c r="D86" s="458"/>
      <c r="E86" s="458"/>
      <c r="F86" s="458"/>
      <c r="G86" s="458"/>
      <c r="H86" s="458"/>
      <c r="I86" s="458"/>
      <c r="J86" s="458"/>
      <c r="K86" s="458"/>
      <c r="L86" s="402"/>
      <c r="M86" s="402"/>
      <c r="N86" s="409"/>
    </row>
    <row r="87" spans="2:14">
      <c r="C87" s="404"/>
      <c r="D87" s="410"/>
      <c r="E87" s="410"/>
      <c r="F87" s="410"/>
      <c r="G87" s="410"/>
      <c r="H87" s="410"/>
      <c r="I87" s="410"/>
      <c r="J87" s="410"/>
      <c r="K87" s="410"/>
      <c r="L87" s="410"/>
      <c r="M87" s="410"/>
    </row>
    <row r="88" spans="2:14" ht="23.4">
      <c r="B88" s="400">
        <v>4</v>
      </c>
      <c r="C88" s="430" t="s">
        <v>95</v>
      </c>
      <c r="D88" s="462"/>
      <c r="E88" s="462"/>
      <c r="F88" s="462"/>
      <c r="G88" s="462"/>
      <c r="H88" s="462"/>
      <c r="I88" s="462"/>
      <c r="J88" s="462"/>
      <c r="K88" s="462"/>
      <c r="L88" s="462"/>
      <c r="M88" s="462"/>
    </row>
    <row r="89" spans="2:14" ht="62.25" customHeight="1">
      <c r="B89" s="400"/>
      <c r="C89" s="528" t="s">
        <v>96</v>
      </c>
      <c r="D89" s="528"/>
      <c r="E89" s="528"/>
      <c r="F89" s="528"/>
      <c r="G89" s="528"/>
      <c r="H89" s="528"/>
      <c r="I89" s="528"/>
      <c r="J89" s="528"/>
      <c r="K89" s="528"/>
      <c r="L89" s="528"/>
      <c r="M89" s="462"/>
    </row>
    <row r="90" spans="2:14" ht="15" customHeight="1">
      <c r="B90" s="400"/>
      <c r="C90" s="505"/>
      <c r="D90" s="505"/>
      <c r="E90" s="505"/>
      <c r="F90" s="505"/>
      <c r="G90" s="505"/>
      <c r="H90" s="505"/>
      <c r="I90" s="505"/>
      <c r="J90" s="505"/>
      <c r="K90" s="505"/>
      <c r="L90" s="505"/>
      <c r="M90" s="462"/>
    </row>
    <row r="91" spans="2:14" ht="13.8" thickBot="1">
      <c r="B91" s="402"/>
      <c r="C91" s="448" t="s">
        <v>97</v>
      </c>
      <c r="D91" s="449"/>
      <c r="E91" s="530"/>
      <c r="F91" s="530"/>
      <c r="G91" s="450"/>
      <c r="H91" s="451"/>
      <c r="I91" s="402"/>
      <c r="J91" s="402"/>
      <c r="K91" s="402"/>
      <c r="L91" s="402"/>
      <c r="M91" s="402"/>
    </row>
    <row r="92" spans="2:14" ht="13.8" thickBot="1">
      <c r="B92" s="402"/>
      <c r="C92" s="448" t="s">
        <v>58</v>
      </c>
      <c r="D92" s="452" t="s">
        <v>59</v>
      </c>
      <c r="E92" s="452" t="s">
        <v>60</v>
      </c>
      <c r="F92" s="453" t="s">
        <v>61</v>
      </c>
      <c r="G92" s="453" t="s">
        <v>62</v>
      </c>
      <c r="H92" s="453" t="s">
        <v>63</v>
      </c>
      <c r="I92" s="453" t="s">
        <v>64</v>
      </c>
      <c r="J92" s="453" t="s">
        <v>65</v>
      </c>
      <c r="K92" s="453" t="s">
        <v>66</v>
      </c>
      <c r="L92" s="465"/>
      <c r="M92" s="402"/>
    </row>
    <row r="93" spans="2:14">
      <c r="B93" s="402"/>
      <c r="C93" s="454" t="s">
        <v>79</v>
      </c>
      <c r="D93" s="455">
        <f>'GT workings 19-20'!E95</f>
        <v>61.581501976631344</v>
      </c>
      <c r="E93" s="455">
        <f>'GT workings 19-20'!F95</f>
        <v>61.848854438240252</v>
      </c>
      <c r="F93" s="455">
        <f>'GT workings 19-20'!G95</f>
        <v>63.66056444900282</v>
      </c>
      <c r="G93" s="455">
        <f>'GT workings 19-20'!H95</f>
        <v>71.061558693651662</v>
      </c>
      <c r="H93" s="455">
        <f>'GT workings 19-20'!I95</f>
        <v>86.919028606122794</v>
      </c>
      <c r="I93" s="455">
        <f>'GT workings 19-20'!J95</f>
        <v>74.357187136300297</v>
      </c>
      <c r="J93" s="455">
        <f>'GT workings 19-20'!K95</f>
        <v>62.977032182016117</v>
      </c>
      <c r="K93" s="455">
        <f>'GT workings 19-20'!L95</f>
        <v>57.365129857140253</v>
      </c>
      <c r="L93" s="454"/>
      <c r="M93" s="402"/>
    </row>
    <row r="94" spans="2:14">
      <c r="B94" s="402"/>
      <c r="C94" s="454" t="s">
        <v>98</v>
      </c>
      <c r="D94" s="455">
        <f>'GT workings 19-20'!E96</f>
        <v>110.11544616012048</v>
      </c>
      <c r="E94" s="455">
        <f>'GT workings 19-20'!F96</f>
        <v>110.29121834911521</v>
      </c>
      <c r="F94" s="455">
        <f>'GT workings 19-20'!G96</f>
        <v>110.32860169190292</v>
      </c>
      <c r="G94" s="455">
        <f>'GT workings 19-20'!H96</f>
        <v>110.3596633646699</v>
      </c>
      <c r="H94" s="455">
        <f>'GT workings 19-20'!I96</f>
        <v>110.27343835902431</v>
      </c>
      <c r="I94" s="455">
        <f>'GT workings 19-20'!J96</f>
        <v>110.27662588032852</v>
      </c>
      <c r="J94" s="455">
        <f>'GT workings 19-20'!K96</f>
        <v>110.30420904525512</v>
      </c>
      <c r="K94" s="455">
        <f>'GT workings 19-20'!L96</f>
        <v>110.31067350058066</v>
      </c>
      <c r="L94" s="456"/>
      <c r="M94" s="402"/>
    </row>
    <row r="95" spans="2:14">
      <c r="B95" s="402"/>
      <c r="C95" s="454" t="s">
        <v>99</v>
      </c>
      <c r="D95" s="455">
        <f>'GT workings 19-20'!E165</f>
        <v>40.732299345663577</v>
      </c>
      <c r="E95" s="455">
        <f>'GT workings 19-20'!F165</f>
        <v>41.12625327102468</v>
      </c>
      <c r="F95" s="455">
        <f>'GT workings 19-20'!G165</f>
        <v>64.595975561248082</v>
      </c>
      <c r="G95" s="455">
        <f>'GT workings 19-20'!H165</f>
        <v>65.205446389282784</v>
      </c>
      <c r="H95" s="455">
        <f>'GT workings 19-20'!I165</f>
        <v>65.622359158650369</v>
      </c>
      <c r="I95" s="455">
        <f>'GT workings 19-20'!J165</f>
        <v>41.314330162947535</v>
      </c>
      <c r="J95" s="455">
        <f>'GT workings 19-20'!K165</f>
        <v>41.815087534655902</v>
      </c>
      <c r="K95" s="455">
        <f>'GT workings 19-20'!L165</f>
        <v>42.333559198388443</v>
      </c>
      <c r="L95" s="456"/>
      <c r="M95" s="402"/>
    </row>
    <row r="96" spans="2:14">
      <c r="B96" s="402"/>
      <c r="C96" s="454" t="s">
        <v>100</v>
      </c>
      <c r="D96" s="455">
        <f>'GT workings 19-20'!E99</f>
        <v>0</v>
      </c>
      <c r="E96" s="455">
        <f>'GT workings 19-20'!F99</f>
        <v>0</v>
      </c>
      <c r="F96" s="455">
        <f>'GT workings 19-20'!G99</f>
        <v>0</v>
      </c>
      <c r="G96" s="455">
        <f>'GT workings 19-20'!H99</f>
        <v>0</v>
      </c>
      <c r="H96" s="455">
        <f>'GT workings 19-20'!I99</f>
        <v>0</v>
      </c>
      <c r="I96" s="455">
        <f>'GT workings 19-20'!J99</f>
        <v>0</v>
      </c>
      <c r="J96" s="455">
        <f>'GT workings 19-20'!K99</f>
        <v>0</v>
      </c>
      <c r="K96" s="455">
        <f>'GT workings 19-20'!L99</f>
        <v>0</v>
      </c>
      <c r="L96" s="402"/>
      <c r="M96" s="402"/>
    </row>
    <row r="97" spans="2:22">
      <c r="B97" s="402"/>
      <c r="C97" s="454" t="s">
        <v>101</v>
      </c>
      <c r="D97" s="455">
        <f>'GT workings 19-20'!E100</f>
        <v>-1.1295718210052881</v>
      </c>
      <c r="E97" s="455">
        <f>'GT workings 19-20'!F100</f>
        <v>-1.1444007312827327</v>
      </c>
      <c r="F97" s="455">
        <f>'GT workings 19-20'!G100</f>
        <v>-1.1763817360750837</v>
      </c>
      <c r="G97" s="455">
        <f>'GT workings 19-20'!H100</f>
        <v>-1.5927557463957538</v>
      </c>
      <c r="H97" s="455">
        <f>'GT workings 19-20'!I100</f>
        <v>-1.8565667598967892</v>
      </c>
      <c r="I97" s="455">
        <f>'GT workings 19-20'!J100</f>
        <v>-1.2720416735170967</v>
      </c>
      <c r="J97" s="455">
        <f>'GT workings 19-20'!K100</f>
        <v>-1.1039739947823475</v>
      </c>
      <c r="K97" s="455">
        <f>'GT workings 19-20'!L100</f>
        <v>-1.0183113265477766</v>
      </c>
      <c r="L97" s="402"/>
      <c r="M97" s="402"/>
    </row>
    <row r="98" spans="2:22">
      <c r="B98" s="402"/>
      <c r="C98" s="454" t="s">
        <v>102</v>
      </c>
      <c r="D98" s="455">
        <f>'GT workings 19-20'!E102</f>
        <v>8.7831945558188433</v>
      </c>
      <c r="E98" s="455">
        <f>'GT workings 19-20'!F102</f>
        <v>10.91043461366379</v>
      </c>
      <c r="F98" s="455">
        <f>'GT workings 19-20'!G102</f>
        <v>13.964540721505402</v>
      </c>
      <c r="G98" s="455">
        <f>'GT workings 19-20'!H102</f>
        <v>15.07612609600179</v>
      </c>
      <c r="H98" s="455">
        <f>'GT workings 19-20'!I102</f>
        <v>22.924107928921607</v>
      </c>
      <c r="I98" s="455">
        <f>'GT workings 19-20'!J102</f>
        <v>23.228493653659907</v>
      </c>
      <c r="J98" s="455">
        <f>'GT workings 19-20'!K102</f>
        <v>24.370669282527388</v>
      </c>
      <c r="K98" s="455">
        <f>'GT workings 19-20'!L102</f>
        <v>28.231181690126071</v>
      </c>
      <c r="L98" s="402"/>
      <c r="M98" s="402"/>
    </row>
    <row r="99" spans="2:22">
      <c r="B99" s="402"/>
      <c r="C99" s="454" t="s">
        <v>103</v>
      </c>
      <c r="D99" s="455">
        <f>'GT workings 19-20'!E97+'GT workings 19-20'!E98</f>
        <v>321.4449174397721</v>
      </c>
      <c r="E99" s="455">
        <f>'GT workings 19-20'!F97+'GT workings 19-20'!F98</f>
        <v>318.62185194400502</v>
      </c>
      <c r="F99" s="455">
        <f>'GT workings 19-20'!G97+'GT workings 19-20'!G98</f>
        <v>314.9743006073378</v>
      </c>
      <c r="G99" s="455">
        <f>'GT workings 19-20'!H97+'GT workings 19-20'!H98</f>
        <v>312.11481042617743</v>
      </c>
      <c r="H99" s="455">
        <f>'GT workings 19-20'!I97+'GT workings 19-20'!I98</f>
        <v>326.99884005274174</v>
      </c>
      <c r="I99" s="455">
        <f>'GT workings 19-20'!J97+'GT workings 19-20'!J98</f>
        <v>322.22129941828132</v>
      </c>
      <c r="J99" s="455">
        <f>'GT workings 19-20'!K97+'GT workings 19-20'!K98</f>
        <v>314.33871542781992</v>
      </c>
      <c r="K99" s="455">
        <f>'GT workings 19-20'!L97+'GT workings 19-20'!L98</f>
        <v>312.6500563928638</v>
      </c>
      <c r="L99" s="402"/>
      <c r="M99" s="402"/>
    </row>
    <row r="100" spans="2:22">
      <c r="B100" s="402"/>
      <c r="C100" s="454" t="s">
        <v>104</v>
      </c>
      <c r="D100" s="455">
        <f>'GT workings 19-20'!E173</f>
        <v>-10.027345371070586</v>
      </c>
      <c r="E100" s="455">
        <f>'GT workings 19-20'!F173</f>
        <v>-9.3482575493410867</v>
      </c>
      <c r="F100" s="455">
        <f>'GT workings 19-20'!G173</f>
        <v>-9.1612947215419069</v>
      </c>
      <c r="G100" s="455">
        <f>'GT workings 19-20'!H173</f>
        <v>-8.8671569959241605</v>
      </c>
      <c r="H100" s="455">
        <f>'GT workings 19-20'!I173</f>
        <v>10.234198697361323</v>
      </c>
      <c r="I100" s="455">
        <f>'GT workings 19-20'!J173</f>
        <v>10.729654011093789</v>
      </c>
      <c r="J100" s="455">
        <f>'GT workings 19-20'!K173</f>
        <v>11.215340521736231</v>
      </c>
      <c r="K100" s="455">
        <f>'GT workings 19-20'!L173</f>
        <v>11.71820819269265</v>
      </c>
      <c r="L100" s="402"/>
      <c r="M100" s="402"/>
    </row>
    <row r="101" spans="2:22">
      <c r="B101" s="402"/>
      <c r="C101" s="457" t="s">
        <v>105</v>
      </c>
      <c r="D101" s="458">
        <f>SUM(D93:D100)</f>
        <v>531.50044228593038</v>
      </c>
      <c r="E101" s="458">
        <f t="shared" ref="E101:K101" si="8">SUM(E93:E100)</f>
        <v>532.30595433542521</v>
      </c>
      <c r="F101" s="458">
        <f t="shared" si="8"/>
        <v>557.18630657338008</v>
      </c>
      <c r="G101" s="458">
        <f t="shared" si="8"/>
        <v>563.35769222746364</v>
      </c>
      <c r="H101" s="458">
        <f t="shared" si="8"/>
        <v>621.11540604292531</v>
      </c>
      <c r="I101" s="458">
        <f t="shared" si="8"/>
        <v>580.85554858909427</v>
      </c>
      <c r="J101" s="458">
        <f t="shared" si="8"/>
        <v>563.91707999922835</v>
      </c>
      <c r="K101" s="458">
        <f t="shared" si="8"/>
        <v>561.590497505244</v>
      </c>
      <c r="L101" s="402"/>
      <c r="M101" s="402"/>
    </row>
    <row r="102" spans="2:22">
      <c r="B102" s="402"/>
      <c r="C102" s="454" t="s">
        <v>106</v>
      </c>
      <c r="D102" s="455">
        <f>'GT workings 19-20'!E109</f>
        <v>3.5</v>
      </c>
      <c r="E102" s="455">
        <f>'GT workings 19-20'!F109</f>
        <v>2.9</v>
      </c>
      <c r="F102" s="455">
        <f>'GT workings 19-20'!G109</f>
        <v>3</v>
      </c>
      <c r="G102" s="455">
        <f>'GT workings 19-20'!H109</f>
        <v>3.1</v>
      </c>
      <c r="H102" s="455">
        <f>'GT workings 19-20'!I109</f>
        <v>3</v>
      </c>
      <c r="I102" s="455">
        <f>'GT workings 19-20'!J109</f>
        <v>3</v>
      </c>
      <c r="J102" s="455">
        <f>'GT workings 19-20'!K109</f>
        <v>3</v>
      </c>
      <c r="K102" s="455">
        <f>'GT workings 19-20'!L109</f>
        <v>3</v>
      </c>
      <c r="L102" s="402"/>
      <c r="M102" s="402"/>
      <c r="N102" s="408"/>
    </row>
    <row r="103" spans="2:22" ht="13.8" thickBot="1">
      <c r="B103" s="402"/>
      <c r="C103" s="448" t="s">
        <v>107</v>
      </c>
      <c r="D103" s="461">
        <f>SUM(D101:D102)</f>
        <v>535.00044228593038</v>
      </c>
      <c r="E103" s="461">
        <f t="shared" ref="E103:K103" si="9">SUM(E101:E102)</f>
        <v>535.20595433542519</v>
      </c>
      <c r="F103" s="461">
        <f t="shared" si="9"/>
        <v>560.18630657338008</v>
      </c>
      <c r="G103" s="461">
        <f t="shared" si="9"/>
        <v>566.45769222746367</v>
      </c>
      <c r="H103" s="461">
        <f t="shared" si="9"/>
        <v>624.11540604292531</v>
      </c>
      <c r="I103" s="461">
        <f t="shared" si="9"/>
        <v>583.85554858909427</v>
      </c>
      <c r="J103" s="461">
        <f t="shared" si="9"/>
        <v>566.91707999922835</v>
      </c>
      <c r="K103" s="461">
        <f t="shared" si="9"/>
        <v>564.590497505244</v>
      </c>
      <c r="L103" s="402"/>
      <c r="M103" s="402"/>
      <c r="N103" s="409"/>
    </row>
    <row r="104" spans="2:22">
      <c r="B104" s="402"/>
      <c r="C104" s="457"/>
      <c r="D104" s="458"/>
      <c r="E104" s="458"/>
      <c r="F104" s="458"/>
      <c r="G104" s="458"/>
      <c r="H104" s="458"/>
      <c r="I104" s="458"/>
      <c r="J104" s="458"/>
      <c r="K104" s="458"/>
      <c r="L104" s="402"/>
      <c r="M104" s="402"/>
      <c r="N104" s="409"/>
    </row>
    <row r="105" spans="2:22" ht="38.25" customHeight="1">
      <c r="B105" s="402"/>
      <c r="C105" s="528" t="s">
        <v>445</v>
      </c>
      <c r="D105" s="528"/>
      <c r="E105" s="528"/>
      <c r="F105" s="528"/>
      <c r="G105" s="528"/>
      <c r="H105" s="528"/>
      <c r="I105" s="528"/>
      <c r="J105" s="528"/>
      <c r="K105" s="528"/>
      <c r="L105" s="528"/>
      <c r="M105" s="402"/>
      <c r="N105" s="409"/>
    </row>
    <row r="106" spans="2:22" ht="7.5" customHeight="1" thickBot="1">
      <c r="B106" s="402"/>
      <c r="C106" s="448"/>
      <c r="D106" s="458"/>
      <c r="E106" s="458"/>
      <c r="F106" s="466"/>
      <c r="G106" s="466"/>
      <c r="H106" s="466"/>
      <c r="I106" s="466"/>
      <c r="J106" s="466"/>
      <c r="K106" s="458"/>
      <c r="L106" s="402"/>
      <c r="M106" s="402"/>
      <c r="N106" s="409"/>
    </row>
    <row r="107" spans="2:22" ht="13.8" thickBot="1">
      <c r="B107" s="402"/>
      <c r="C107" s="448" t="s">
        <v>109</v>
      </c>
      <c r="D107" s="462"/>
      <c r="E107" s="462"/>
      <c r="F107" s="448"/>
      <c r="G107" s="448"/>
      <c r="H107" s="448"/>
      <c r="I107" s="448"/>
      <c r="J107" s="448"/>
      <c r="K107" s="402"/>
      <c r="L107" s="402"/>
      <c r="M107" s="402"/>
    </row>
    <row r="108" spans="2:22" ht="13.8" thickBot="1">
      <c r="B108" s="402"/>
      <c r="C108" s="467" t="s">
        <v>58</v>
      </c>
      <c r="D108" s="453" t="s">
        <v>59</v>
      </c>
      <c r="E108" s="453" t="s">
        <v>60</v>
      </c>
      <c r="F108" s="453" t="s">
        <v>61</v>
      </c>
      <c r="G108" s="453" t="s">
        <v>62</v>
      </c>
      <c r="H108" s="453" t="s">
        <v>63</v>
      </c>
      <c r="I108" s="453" t="s">
        <v>64</v>
      </c>
      <c r="J108" s="453" t="s">
        <v>65</v>
      </c>
      <c r="K108" s="453" t="s">
        <v>66</v>
      </c>
      <c r="L108" s="402"/>
      <c r="M108" s="462"/>
      <c r="N108" s="410"/>
      <c r="O108" s="410"/>
      <c r="V108" s="411"/>
    </row>
    <row r="109" spans="2:22">
      <c r="B109" s="402"/>
      <c r="C109" s="454" t="s">
        <v>110</v>
      </c>
      <c r="D109" s="455">
        <v>538.68614139232659</v>
      </c>
      <c r="E109" s="455">
        <v>542.92673270130729</v>
      </c>
      <c r="F109" s="455">
        <v>547.96393826079861</v>
      </c>
      <c r="G109" s="455">
        <v>580.56778765647073</v>
      </c>
      <c r="H109" s="455">
        <v>658.61582706975355</v>
      </c>
      <c r="I109" s="455">
        <v>626.86553438812439</v>
      </c>
      <c r="J109" s="455">
        <v>621.71896646768869</v>
      </c>
      <c r="K109" s="455">
        <v>620.33146114939325</v>
      </c>
      <c r="L109" s="402"/>
      <c r="M109" s="462"/>
      <c r="N109" s="410"/>
      <c r="O109" s="410"/>
      <c r="V109" s="411"/>
    </row>
    <row r="110" spans="2:22">
      <c r="B110" s="402"/>
      <c r="C110" s="457" t="s">
        <v>111</v>
      </c>
      <c r="D110" s="458">
        <v>0</v>
      </c>
      <c r="E110" s="458">
        <v>7.660590030135495</v>
      </c>
      <c r="F110" s="458">
        <v>9.903155913025671</v>
      </c>
      <c r="G110" s="458">
        <v>10.462384566159812</v>
      </c>
      <c r="H110" s="458">
        <v>5.9179485259908233</v>
      </c>
      <c r="I110" s="458">
        <v>-100.20929972541376</v>
      </c>
      <c r="J110" s="458">
        <v>-111.6481665929054</v>
      </c>
      <c r="K110" s="458"/>
      <c r="L110" s="402"/>
      <c r="M110" s="462"/>
      <c r="N110" s="410"/>
      <c r="O110" s="410"/>
      <c r="V110" s="411"/>
    </row>
    <row r="111" spans="2:22">
      <c r="B111" s="402"/>
      <c r="C111" s="454" t="s">
        <v>112</v>
      </c>
      <c r="D111" s="455">
        <f>D109+D110</f>
        <v>538.68614139232659</v>
      </c>
      <c r="E111" s="455">
        <f t="shared" ref="E111:J111" si="10">E109+E110</f>
        <v>550.58732273144278</v>
      </c>
      <c r="F111" s="455">
        <f t="shared" si="10"/>
        <v>557.86709417382428</v>
      </c>
      <c r="G111" s="455">
        <f t="shared" si="10"/>
        <v>591.03017222263054</v>
      </c>
      <c r="H111" s="455">
        <f t="shared" si="10"/>
        <v>664.53377559574437</v>
      </c>
      <c r="I111" s="455">
        <f t="shared" si="10"/>
        <v>526.65623466271063</v>
      </c>
      <c r="J111" s="455">
        <f t="shared" si="10"/>
        <v>510.07079987478329</v>
      </c>
      <c r="K111" s="455"/>
      <c r="L111" s="402"/>
      <c r="M111" s="462"/>
      <c r="N111" s="410"/>
      <c r="O111" s="410"/>
      <c r="V111" s="411"/>
    </row>
    <row r="112" spans="2:22">
      <c r="B112" s="402"/>
      <c r="C112" s="468" t="s">
        <v>446</v>
      </c>
      <c r="D112" s="455"/>
      <c r="E112" s="455"/>
      <c r="F112" s="455"/>
      <c r="G112" s="455"/>
      <c r="H112" s="458"/>
      <c r="I112" s="402"/>
      <c r="J112" s="455"/>
      <c r="K112" s="458">
        <f>J111+(I111*'GT workings 19-20'!J286)+('NGGT AIP 2018'!H111*'GT workings 19-20'!I286)+('NGGT AIP 2018'!G111*'GT workings 19-20'!H286)+('NGGT AIP 2018'!F111*'GT workings 19-20'!G286)+('NGGT AIP 2018'!E111*'GT workings 19-20'!F286)+(D111*'GT workings 19-20'!E286)</f>
        <v>4443.1899957449441</v>
      </c>
      <c r="L112" s="402"/>
      <c r="M112" s="462"/>
      <c r="N112" s="410"/>
      <c r="O112" s="410"/>
      <c r="V112" s="411"/>
    </row>
    <row r="113" spans="2:22">
      <c r="B113" s="402"/>
      <c r="C113" s="454" t="s">
        <v>176</v>
      </c>
      <c r="D113" s="455">
        <f>D101</f>
        <v>531.50044228593038</v>
      </c>
      <c r="E113" s="455">
        <f t="shared" ref="E113:J113" si="11">E101</f>
        <v>532.30595433542521</v>
      </c>
      <c r="F113" s="455">
        <f t="shared" si="11"/>
        <v>557.18630657338008</v>
      </c>
      <c r="G113" s="455">
        <f t="shared" si="11"/>
        <v>563.35769222746364</v>
      </c>
      <c r="H113" s="455">
        <f t="shared" si="11"/>
        <v>621.11540604292531</v>
      </c>
      <c r="I113" s="455">
        <f t="shared" si="11"/>
        <v>580.85554858909427</v>
      </c>
      <c r="J113" s="455">
        <f t="shared" si="11"/>
        <v>563.91707999922835</v>
      </c>
      <c r="K113" s="455"/>
      <c r="L113" s="402"/>
      <c r="M113" s="402"/>
      <c r="V113" s="411"/>
    </row>
    <row r="114" spans="2:22" ht="13.8" thickBot="1">
      <c r="B114" s="402"/>
      <c r="C114" s="448" t="s">
        <v>446</v>
      </c>
      <c r="D114" s="461"/>
      <c r="E114" s="461"/>
      <c r="F114" s="461"/>
      <c r="G114" s="461"/>
      <c r="H114" s="461"/>
      <c r="I114" s="461"/>
      <c r="J114" s="461"/>
      <c r="K114" s="461">
        <f>J113+(I113*'GT workings 19-20'!J286)+('NGGT AIP 2018'!H113*'GT workings 19-20'!I286)+('NGGT AIP 2018'!G113*'GT workings 19-20'!H286)+('NGGT AIP 2018'!F113*'GT workings 19-20'!G286)+('NGGT AIP 2018'!E113*'GT workings 19-20'!F286)+('NGGT AIP 2018'!D113*'GT workings 19-20'!E286)</f>
        <v>4443.2074609560977</v>
      </c>
      <c r="L114" s="402"/>
      <c r="M114" s="402"/>
      <c r="V114" s="411"/>
    </row>
    <row r="115" spans="2:22">
      <c r="B115" s="402"/>
      <c r="C115" s="402"/>
      <c r="D115" s="402"/>
      <c r="E115" s="470"/>
      <c r="F115" s="470"/>
      <c r="G115" s="470"/>
      <c r="H115" s="470"/>
      <c r="I115" s="470"/>
      <c r="J115" s="470"/>
      <c r="K115" s="470"/>
      <c r="L115" s="402"/>
      <c r="M115" s="402"/>
      <c r="V115" s="411"/>
    </row>
    <row r="116" spans="2:22">
      <c r="B116" s="402"/>
      <c r="C116" s="469"/>
      <c r="D116" s="402"/>
      <c r="E116" s="470"/>
      <c r="F116" s="470"/>
      <c r="G116" s="470"/>
      <c r="H116" s="470"/>
      <c r="I116" s="470"/>
      <c r="J116" s="470"/>
      <c r="K116" s="470"/>
      <c r="L116" s="402"/>
      <c r="M116" s="402"/>
      <c r="V116" s="411"/>
    </row>
    <row r="117" spans="2:22">
      <c r="C117" s="412"/>
      <c r="E117" s="407"/>
      <c r="F117" s="407"/>
      <c r="G117" s="407"/>
      <c r="H117" s="407"/>
      <c r="I117" s="407"/>
      <c r="J117" s="407"/>
      <c r="K117" s="407"/>
      <c r="V117" s="411"/>
    </row>
    <row r="118" spans="2:22" ht="23.4">
      <c r="B118" s="400">
        <v>5</v>
      </c>
      <c r="C118" s="430" t="s">
        <v>115</v>
      </c>
      <c r="D118" s="402"/>
      <c r="E118" s="402"/>
      <c r="F118" s="402"/>
      <c r="G118" s="402"/>
      <c r="H118" s="402"/>
      <c r="I118" s="402"/>
      <c r="J118" s="402"/>
      <c r="K118" s="402"/>
      <c r="L118" s="402"/>
      <c r="M118" s="402"/>
    </row>
    <row r="119" spans="2:22" ht="142.5" customHeight="1">
      <c r="B119" s="400"/>
      <c r="C119" s="528" t="s">
        <v>447</v>
      </c>
      <c r="D119" s="529"/>
      <c r="E119" s="529"/>
      <c r="F119" s="529"/>
      <c r="G119" s="529"/>
      <c r="H119" s="529"/>
      <c r="I119" s="529"/>
      <c r="J119" s="529"/>
      <c r="K119" s="529"/>
      <c r="L119" s="529"/>
      <c r="M119" s="402"/>
    </row>
    <row r="120" spans="2:22" ht="13.8" thickBot="1">
      <c r="B120" s="402"/>
      <c r="C120" s="448"/>
      <c r="D120" s="402"/>
      <c r="E120" s="402"/>
      <c r="F120" s="402"/>
      <c r="G120" s="402"/>
      <c r="H120" s="402"/>
      <c r="I120" s="402"/>
      <c r="J120" s="402"/>
      <c r="K120" s="402"/>
      <c r="L120" s="402"/>
      <c r="M120" s="402"/>
    </row>
    <row r="121" spans="2:22" ht="13.8" thickBot="1">
      <c r="B121" s="402"/>
      <c r="C121" s="448" t="s">
        <v>117</v>
      </c>
      <c r="D121" s="449"/>
      <c r="E121" s="530"/>
      <c r="F121" s="530"/>
      <c r="G121" s="450"/>
      <c r="H121" s="451"/>
      <c r="I121" s="402"/>
      <c r="J121" s="402"/>
      <c r="K121" s="402"/>
      <c r="L121" s="402"/>
      <c r="M121" s="402"/>
    </row>
    <row r="122" spans="2:22" ht="13.8" thickBot="1">
      <c r="B122" s="402"/>
      <c r="C122" s="448" t="s">
        <v>58</v>
      </c>
      <c r="D122" s="452" t="s">
        <v>59</v>
      </c>
      <c r="E122" s="452" t="s">
        <v>60</v>
      </c>
      <c r="F122" s="453" t="s">
        <v>61</v>
      </c>
      <c r="G122" s="453" t="s">
        <v>62</v>
      </c>
      <c r="H122" s="453" t="s">
        <v>63</v>
      </c>
      <c r="I122" s="453" t="s">
        <v>64</v>
      </c>
      <c r="J122" s="453" t="s">
        <v>65</v>
      </c>
      <c r="K122" s="453" t="s">
        <v>66</v>
      </c>
      <c r="L122" s="453" t="s">
        <v>118</v>
      </c>
      <c r="M122" s="402"/>
    </row>
    <row r="123" spans="2:22">
      <c r="B123" s="402"/>
      <c r="C123" s="454"/>
      <c r="D123" s="455"/>
      <c r="E123" s="455"/>
      <c r="F123" s="455"/>
      <c r="G123" s="455"/>
      <c r="H123" s="455"/>
      <c r="I123" s="455"/>
      <c r="J123" s="455"/>
      <c r="K123" s="455"/>
      <c r="L123" s="478"/>
      <c r="M123" s="402"/>
    </row>
    <row r="124" spans="2:22">
      <c r="B124" s="402"/>
      <c r="C124" s="454" t="s">
        <v>119</v>
      </c>
      <c r="D124" s="455">
        <v>40.890021141667965</v>
      </c>
      <c r="E124" s="455">
        <v>32.351829890223328</v>
      </c>
      <c r="F124" s="455">
        <v>25.116516710766533</v>
      </c>
      <c r="G124" s="455">
        <v>24.687879003225049</v>
      </c>
      <c r="H124" s="455">
        <v>22.172921559294188</v>
      </c>
      <c r="I124" s="455">
        <v>18.014704063893184</v>
      </c>
      <c r="J124" s="455">
        <v>19.248419251200154</v>
      </c>
      <c r="K124" s="455">
        <v>16.625252452632346</v>
      </c>
      <c r="L124" s="479">
        <f>SUM(D124:K124)</f>
        <v>199.10754407290273</v>
      </c>
      <c r="M124" s="402"/>
      <c r="N124" s="410"/>
    </row>
    <row r="125" spans="2:22">
      <c r="B125" s="402"/>
      <c r="C125" s="454" t="s">
        <v>120</v>
      </c>
      <c r="D125" s="455">
        <v>44.096952058814921</v>
      </c>
      <c r="E125" s="455">
        <v>46.269433311823683</v>
      </c>
      <c r="F125" s="455">
        <v>50.602500247903464</v>
      </c>
      <c r="G125" s="455">
        <v>51.965523419215508</v>
      </c>
      <c r="H125" s="455">
        <v>51.12111996589703</v>
      </c>
      <c r="I125" s="455">
        <v>49.539820913563602</v>
      </c>
      <c r="J125" s="455">
        <v>48.655604989055703</v>
      </c>
      <c r="K125" s="455">
        <v>49.763707375013652</v>
      </c>
      <c r="L125" s="479">
        <f t="shared" ref="L125:L128" si="12">SUM(D125:K125)</f>
        <v>392.01466228128754</v>
      </c>
      <c r="M125" s="402"/>
      <c r="N125" s="410"/>
    </row>
    <row r="126" spans="2:22">
      <c r="B126" s="402"/>
      <c r="C126" s="457" t="s">
        <v>71</v>
      </c>
      <c r="D126" s="458">
        <v>84.986973200482879</v>
      </c>
      <c r="E126" s="458">
        <v>78.621263202047004</v>
      </c>
      <c r="F126" s="458">
        <v>75.719016958669997</v>
      </c>
      <c r="G126" s="458">
        <v>76.653402422440564</v>
      </c>
      <c r="H126" s="458">
        <v>73.294041525191219</v>
      </c>
      <c r="I126" s="458">
        <v>67.554524977456794</v>
      </c>
      <c r="J126" s="458">
        <v>67.904024240255865</v>
      </c>
      <c r="K126" s="458">
        <v>66.388959827646005</v>
      </c>
      <c r="L126" s="458">
        <f t="shared" si="12"/>
        <v>591.12220635419044</v>
      </c>
      <c r="M126" s="402"/>
      <c r="N126" s="410"/>
    </row>
    <row r="127" spans="2:22">
      <c r="B127" s="402"/>
      <c r="C127" s="454" t="s">
        <v>72</v>
      </c>
      <c r="D127" s="455">
        <f>D128-D126</f>
        <v>12.599998764732931</v>
      </c>
      <c r="E127" s="455">
        <f t="shared" ref="E127:K127" si="13">E128-E126</f>
        <v>1.4289898487291453E-2</v>
      </c>
      <c r="F127" s="455">
        <f t="shared" si="13"/>
        <v>2.4813667018623136</v>
      </c>
      <c r="G127" s="455">
        <f t="shared" si="13"/>
        <v>3.2806494803355264</v>
      </c>
      <c r="H127" s="455">
        <f t="shared" si="13"/>
        <v>1.9574886491515571</v>
      </c>
      <c r="I127" s="455">
        <f t="shared" si="13"/>
        <v>14.817833548212064</v>
      </c>
      <c r="J127" s="455">
        <f t="shared" si="13"/>
        <v>15.411555808427465</v>
      </c>
      <c r="K127" s="455">
        <f t="shared" si="13"/>
        <v>11.021111160857046</v>
      </c>
      <c r="L127" s="479">
        <f t="shared" si="12"/>
        <v>61.584294012066195</v>
      </c>
      <c r="M127" s="402"/>
      <c r="N127" s="410"/>
    </row>
    <row r="128" spans="2:22">
      <c r="B128" s="402"/>
      <c r="C128" s="457" t="s">
        <v>73</v>
      </c>
      <c r="D128" s="458">
        <f>'GT workings 19-20'!E9+'GT workings 19-20'!E12+'GT workings 19-20'!E13</f>
        <v>97.58697196521581</v>
      </c>
      <c r="E128" s="458">
        <f>'GT workings 19-20'!F9+'GT workings 19-20'!F12+'GT workings 19-20'!F13</f>
        <v>78.635553100534295</v>
      </c>
      <c r="F128" s="458">
        <f>'GT workings 19-20'!G9+'GT workings 19-20'!G12+'GT workings 19-20'!G13</f>
        <v>78.20038366053231</v>
      </c>
      <c r="G128" s="458">
        <f>'GT workings 19-20'!H9+'GT workings 19-20'!H12+'GT workings 19-20'!H13</f>
        <v>79.934051902776091</v>
      </c>
      <c r="H128" s="458">
        <f>'GT workings 19-20'!I9+'GT workings 19-20'!I12+'GT workings 19-20'!I13</f>
        <v>75.251530174342776</v>
      </c>
      <c r="I128" s="458">
        <f>'GT workings 19-20'!J9+'GT workings 19-20'!J12+'GT workings 19-20'!J13</f>
        <v>82.372358525668858</v>
      </c>
      <c r="J128" s="458">
        <f>'GT workings 19-20'!K9+'GT workings 19-20'!K12+'GT workings 19-20'!K13</f>
        <v>83.31558004868333</v>
      </c>
      <c r="K128" s="458">
        <f>'GT workings 19-20'!L9+'GT workings 19-20'!L12+'GT workings 19-20'!L13</f>
        <v>77.410070988503051</v>
      </c>
      <c r="L128" s="458">
        <f t="shared" si="12"/>
        <v>652.70650036625659</v>
      </c>
      <c r="M128" s="402"/>
    </row>
    <row r="129" spans="2:14">
      <c r="B129" s="402"/>
      <c r="C129" s="457"/>
      <c r="D129" s="458"/>
      <c r="E129" s="458"/>
      <c r="F129" s="458"/>
      <c r="G129" s="458"/>
      <c r="H129" s="458"/>
      <c r="I129" s="458"/>
      <c r="J129" s="458"/>
      <c r="K129" s="458"/>
      <c r="L129" s="456"/>
      <c r="M129" s="402"/>
    </row>
    <row r="130" spans="2:14">
      <c r="B130" s="402"/>
      <c r="C130" s="454" t="s">
        <v>121</v>
      </c>
      <c r="D130" s="455">
        <f>'GT workings 19-20'!E32</f>
        <v>17.708206798472986</v>
      </c>
      <c r="E130" s="455">
        <f>'GT workings 19-20'!F32</f>
        <v>27.278753771610219</v>
      </c>
      <c r="F130" s="455">
        <f>'GT workings 19-20'!G32</f>
        <v>35.75243758954386</v>
      </c>
      <c r="G130" s="455">
        <f>'GT workings 19-20'!H32</f>
        <v>26.81232176716134</v>
      </c>
      <c r="H130" s="455">
        <f>'GT workings 19-20'!I32</f>
        <v>20.750828623113414</v>
      </c>
      <c r="I130" s="455">
        <f>'GT workings 19-20'!J32</f>
        <v>32.051125871392642</v>
      </c>
      <c r="J130" s="455">
        <f>'GT workings 19-20'!K32</f>
        <v>32.094958211103815</v>
      </c>
      <c r="K130" s="455">
        <f>'GT workings 19-20'!L32</f>
        <v>26.804437578569235</v>
      </c>
      <c r="L130" s="479">
        <f>SUM(D130:K130)</f>
        <v>219.25307021096748</v>
      </c>
      <c r="M130" s="402"/>
      <c r="N130" s="410"/>
    </row>
    <row r="131" spans="2:14">
      <c r="B131" s="402"/>
      <c r="C131" s="454" t="s">
        <v>76</v>
      </c>
      <c r="D131" s="455">
        <f>'GT workings 19-20'!E31</f>
        <v>41.699866198630083</v>
      </c>
      <c r="E131" s="455">
        <f>'GT workings 19-20'!F31</f>
        <v>46.51847835898819</v>
      </c>
      <c r="F131" s="455">
        <f>'GT workings 19-20'!G31</f>
        <v>47.63954440588418</v>
      </c>
      <c r="G131" s="455">
        <f>'GT workings 19-20'!H31</f>
        <v>48.004193757227398</v>
      </c>
      <c r="H131" s="455">
        <f>'GT workings 19-20'!I31</f>
        <v>47.08448854248897</v>
      </c>
      <c r="I131" s="455">
        <f>'GT workings 19-20'!J31</f>
        <v>50.321232654276216</v>
      </c>
      <c r="J131" s="455">
        <f>'GT workings 19-20'!K31</f>
        <v>51.220621837579515</v>
      </c>
      <c r="K131" s="455">
        <f>'GT workings 19-20'!L31</f>
        <v>50.605633409933802</v>
      </c>
      <c r="L131" s="479">
        <f t="shared" ref="L131:L132" si="14">SUM(D131:K131)</f>
        <v>383.09405916500839</v>
      </c>
      <c r="M131" s="402"/>
      <c r="N131" s="410"/>
    </row>
    <row r="132" spans="2:14">
      <c r="B132" s="402"/>
      <c r="C132" s="457" t="s">
        <v>77</v>
      </c>
      <c r="D132" s="458">
        <f>SUM(D130:D131)</f>
        <v>59.408072997103069</v>
      </c>
      <c r="E132" s="458">
        <f t="shared" ref="E132:K132" si="15">SUM(E130:E131)</f>
        <v>73.797232130598417</v>
      </c>
      <c r="F132" s="458">
        <f t="shared" si="15"/>
        <v>83.39198199542804</v>
      </c>
      <c r="G132" s="458">
        <f t="shared" si="15"/>
        <v>74.816515524388734</v>
      </c>
      <c r="H132" s="458">
        <f t="shared" si="15"/>
        <v>67.83531716560239</v>
      </c>
      <c r="I132" s="458">
        <f t="shared" si="15"/>
        <v>82.372358525668858</v>
      </c>
      <c r="J132" s="458">
        <f t="shared" si="15"/>
        <v>83.31558004868333</v>
      </c>
      <c r="K132" s="458">
        <f t="shared" si="15"/>
        <v>77.410070988503037</v>
      </c>
      <c r="L132" s="456">
        <f t="shared" si="14"/>
        <v>602.34712937597578</v>
      </c>
      <c r="M132" s="402"/>
    </row>
    <row r="133" spans="2:14">
      <c r="B133" s="402"/>
      <c r="C133" s="454"/>
      <c r="D133" s="455"/>
      <c r="E133" s="455"/>
      <c r="F133" s="455"/>
      <c r="G133" s="455"/>
      <c r="H133" s="455"/>
      <c r="I133" s="455"/>
      <c r="J133" s="455"/>
      <c r="K133" s="455"/>
      <c r="L133" s="456"/>
      <c r="M133" s="402"/>
      <c r="N133" s="410"/>
    </row>
    <row r="134" spans="2:14">
      <c r="B134" s="402"/>
      <c r="C134" s="457" t="s">
        <v>78</v>
      </c>
      <c r="D134" s="458">
        <f>D128-(D128-D132)*(1-$D$14)</f>
        <v>76.206788543072676</v>
      </c>
      <c r="E134" s="458">
        <f t="shared" ref="E134:K134" si="16">E128-(E128-E132)*(1-$D$14)</f>
        <v>75.926093357370206</v>
      </c>
      <c r="F134" s="458">
        <f t="shared" si="16"/>
        <v>81.107678728073921</v>
      </c>
      <c r="G134" s="458">
        <f t="shared" si="16"/>
        <v>77.068231530879174</v>
      </c>
      <c r="H134" s="458">
        <f t="shared" si="16"/>
        <v>71.098450889448159</v>
      </c>
      <c r="I134" s="458">
        <f t="shared" si="16"/>
        <v>82.372358525668858</v>
      </c>
      <c r="J134" s="458">
        <f t="shared" si="16"/>
        <v>83.31558004868333</v>
      </c>
      <c r="K134" s="458">
        <f t="shared" si="16"/>
        <v>77.410070988503037</v>
      </c>
      <c r="L134" s="456">
        <f>SUM(D134:K134)</f>
        <v>624.50525261169946</v>
      </c>
      <c r="M134" s="402"/>
    </row>
    <row r="135" spans="2:14">
      <c r="B135" s="402"/>
      <c r="C135" s="454" t="s">
        <v>79</v>
      </c>
      <c r="D135" s="455">
        <f>D134*(1-$D$13)</f>
        <v>48.010276782135783</v>
      </c>
      <c r="E135" s="455">
        <f t="shared" ref="E135:K135" si="17">E134*(1-$D$13)</f>
        <v>47.833438815143232</v>
      </c>
      <c r="F135" s="455">
        <f t="shared" si="17"/>
        <v>51.097837598686567</v>
      </c>
      <c r="G135" s="455">
        <f t="shared" si="17"/>
        <v>48.552985864453881</v>
      </c>
      <c r="H135" s="455">
        <f t="shared" si="17"/>
        <v>44.79202406035234</v>
      </c>
      <c r="I135" s="455">
        <f t="shared" si="17"/>
        <v>51.89458587117138</v>
      </c>
      <c r="J135" s="455">
        <f t="shared" si="17"/>
        <v>52.488815430670499</v>
      </c>
      <c r="K135" s="455">
        <f t="shared" si="17"/>
        <v>48.768344722756915</v>
      </c>
      <c r="L135" s="479">
        <f t="shared" ref="L135:L136" si="18">SUM(D135:K135)</f>
        <v>393.43830914537062</v>
      </c>
      <c r="M135" s="402"/>
    </row>
    <row r="136" spans="2:14" ht="13.8" thickBot="1">
      <c r="B136" s="402"/>
      <c r="C136" s="450" t="s">
        <v>80</v>
      </c>
      <c r="D136" s="477">
        <f>D134*$D$13</f>
        <v>28.19651176093689</v>
      </c>
      <c r="E136" s="477">
        <f t="shared" ref="E136:K136" si="19">E134*$D$13</f>
        <v>28.092654542226978</v>
      </c>
      <c r="F136" s="477">
        <f t="shared" si="19"/>
        <v>30.00984112938735</v>
      </c>
      <c r="G136" s="477">
        <f t="shared" si="19"/>
        <v>28.515245666425294</v>
      </c>
      <c r="H136" s="477">
        <f t="shared" si="19"/>
        <v>26.30642682909582</v>
      </c>
      <c r="I136" s="477">
        <f t="shared" si="19"/>
        <v>30.477772654497478</v>
      </c>
      <c r="J136" s="477">
        <f t="shared" si="19"/>
        <v>30.826764618012831</v>
      </c>
      <c r="K136" s="477">
        <f t="shared" si="19"/>
        <v>28.641726265746122</v>
      </c>
      <c r="L136" s="480">
        <f t="shared" si="18"/>
        <v>231.06694346632872</v>
      </c>
      <c r="M136" s="402"/>
      <c r="N136" s="403"/>
    </row>
    <row r="137" spans="2:14">
      <c r="B137" s="402"/>
      <c r="C137" s="457"/>
      <c r="D137" s="402"/>
      <c r="E137" s="402"/>
      <c r="F137" s="402"/>
      <c r="G137" s="402"/>
      <c r="H137" s="402"/>
      <c r="I137" s="402"/>
      <c r="J137" s="402"/>
      <c r="K137" s="402"/>
      <c r="L137" s="402"/>
      <c r="M137" s="402"/>
    </row>
    <row r="138" spans="2:14" ht="51.75" customHeight="1">
      <c r="B138" s="402"/>
      <c r="C138" s="528" t="s">
        <v>81</v>
      </c>
      <c r="D138" s="529"/>
      <c r="E138" s="529"/>
      <c r="F138" s="529"/>
      <c r="G138" s="529"/>
      <c r="H138" s="529"/>
      <c r="I138" s="529"/>
      <c r="J138" s="529"/>
      <c r="K138" s="529"/>
      <c r="L138" s="529"/>
      <c r="M138" s="402"/>
    </row>
    <row r="139" spans="2:14" ht="13.8" thickBot="1">
      <c r="B139" s="402"/>
      <c r="C139" s="448" t="s">
        <v>122</v>
      </c>
      <c r="D139" s="449"/>
      <c r="E139" s="530"/>
      <c r="F139" s="530"/>
      <c r="G139" s="450"/>
      <c r="H139" s="451"/>
      <c r="I139" s="402"/>
      <c r="J139" s="402"/>
      <c r="K139" s="402"/>
      <c r="L139" s="402"/>
      <c r="M139" s="402"/>
    </row>
    <row r="140" spans="2:14" ht="13.8" thickBot="1">
      <c r="B140" s="402"/>
      <c r="C140" s="448" t="s">
        <v>58</v>
      </c>
      <c r="D140" s="452" t="s">
        <v>59</v>
      </c>
      <c r="E140" s="452" t="s">
        <v>60</v>
      </c>
      <c r="F140" s="453" t="s">
        <v>61</v>
      </c>
      <c r="G140" s="453" t="s">
        <v>62</v>
      </c>
      <c r="H140" s="453" t="s">
        <v>63</v>
      </c>
      <c r="I140" s="453" t="s">
        <v>64</v>
      </c>
      <c r="J140" s="453" t="s">
        <v>65</v>
      </c>
      <c r="K140" s="453" t="s">
        <v>66</v>
      </c>
      <c r="L140" s="402"/>
      <c r="M140" s="402"/>
    </row>
    <row r="141" spans="2:14">
      <c r="B141" s="402"/>
      <c r="C141" s="454" t="s">
        <v>91</v>
      </c>
      <c r="D141" s="455">
        <f>'GT workings 19-20'!E176</f>
        <v>53.000554975302876</v>
      </c>
      <c r="E141" s="455">
        <f>'GT workings 19-20'!F176</f>
        <v>68.053208429157323</v>
      </c>
      <c r="F141" s="455">
        <f>'GT workings 19-20'!G176</f>
        <v>82.254234605796668</v>
      </c>
      <c r="G141" s="455">
        <f>'GT workings 19-20'!H176</f>
        <v>95.891001342750144</v>
      </c>
      <c r="H141" s="455">
        <f>'GT workings 19-20'!I176</f>
        <v>104.78509285934528</v>
      </c>
      <c r="I141" s="455">
        <f>'GT workings 19-20'!J176</f>
        <v>108.77780866232766</v>
      </c>
      <c r="J141" s="455">
        <f>'GT workings 19-20'!K176</f>
        <v>114.49175151746932</v>
      </c>
      <c r="K141" s="455">
        <f>'GT workings 19-20'!L176</f>
        <v>117.81067223114771</v>
      </c>
      <c r="L141" s="402"/>
      <c r="M141" s="402"/>
    </row>
    <row r="142" spans="2:14">
      <c r="B142" s="402"/>
      <c r="C142" s="454" t="s">
        <v>84</v>
      </c>
      <c r="D142" s="455">
        <v>-2.9550550399825672</v>
      </c>
      <c r="E142" s="455"/>
      <c r="F142" s="455"/>
      <c r="G142" s="455"/>
      <c r="H142" s="455"/>
      <c r="I142" s="455"/>
      <c r="J142" s="455"/>
      <c r="K142" s="455"/>
      <c r="L142" s="402"/>
      <c r="M142" s="402"/>
    </row>
    <row r="143" spans="2:14">
      <c r="B143" s="402"/>
      <c r="C143" s="454" t="s">
        <v>86</v>
      </c>
      <c r="D143" s="455">
        <f>'GT workings 19-20'!E177-D142</f>
        <v>28.552742984679846</v>
      </c>
      <c r="E143" s="455">
        <f>'GT workings 19-20'!F177</f>
        <v>28.402873231010378</v>
      </c>
      <c r="F143" s="455">
        <f>'GT workings 19-20'!G177</f>
        <v>30.327281876301544</v>
      </c>
      <c r="G143" s="455">
        <f>'GT workings 19-20'!H177</f>
        <v>28.830408843528669</v>
      </c>
      <c r="H143" s="455">
        <f>'GT workings 19-20'!I177</f>
        <v>26.600805821848581</v>
      </c>
      <c r="I143" s="455">
        <f>'GT workings 19-20'!J177</f>
        <v>30.807262088600154</v>
      </c>
      <c r="J143" s="455">
        <f>'GT workings 19-20'!K177</f>
        <v>31.160026938207565</v>
      </c>
      <c r="K143" s="455">
        <f>'GT workings 19-20'!L177</f>
        <v>28.95136654970014</v>
      </c>
      <c r="L143" s="402"/>
      <c r="M143" s="402"/>
    </row>
    <row r="144" spans="2:14">
      <c r="B144" s="402"/>
      <c r="C144" s="454" t="s">
        <v>87</v>
      </c>
      <c r="D144" s="455">
        <f>'GT workings 19-20'!E178</f>
        <v>-10.545034490842841</v>
      </c>
      <c r="E144" s="455">
        <f>'GT workings 19-20'!F178</f>
        <v>-14.201847054371024</v>
      </c>
      <c r="F144" s="455">
        <f>'GT workings 19-20'!G178</f>
        <v>-16.690515139348058</v>
      </c>
      <c r="G144" s="455">
        <f>'GT workings 19-20'!H178</f>
        <v>-19.93631732693353</v>
      </c>
      <c r="H144" s="455">
        <f>'GT workings 19-20'!I178</f>
        <v>-22.6080900188662</v>
      </c>
      <c r="I144" s="455">
        <f>'GT workings 19-20'!J178</f>
        <v>-25.093319233458473</v>
      </c>
      <c r="J144" s="455">
        <f>'GT workings 19-20'!K178</f>
        <v>-27.841106224529184</v>
      </c>
      <c r="K144" s="455">
        <f>'GT workings 19-20'!L178</f>
        <v>-28.818049534884878</v>
      </c>
      <c r="L144" s="402"/>
      <c r="M144" s="402"/>
    </row>
    <row r="145" spans="2:13" ht="13.8" thickBot="1">
      <c r="B145" s="402"/>
      <c r="C145" s="448" t="s">
        <v>94</v>
      </c>
      <c r="D145" s="461">
        <f>SUM(D141:D144)</f>
        <v>68.053208429157323</v>
      </c>
      <c r="E145" s="461">
        <f t="shared" ref="E145:K145" si="20">SUM(E141:E144)</f>
        <v>82.254234605796668</v>
      </c>
      <c r="F145" s="461">
        <f t="shared" si="20"/>
        <v>95.891001342750144</v>
      </c>
      <c r="G145" s="461">
        <f t="shared" si="20"/>
        <v>104.78509285934528</v>
      </c>
      <c r="H145" s="461">
        <f t="shared" si="20"/>
        <v>108.77780866232766</v>
      </c>
      <c r="I145" s="461">
        <f t="shared" si="20"/>
        <v>114.49175151746932</v>
      </c>
      <c r="J145" s="461">
        <f t="shared" si="20"/>
        <v>117.81067223114771</v>
      </c>
      <c r="K145" s="461">
        <f t="shared" si="20"/>
        <v>117.94398924596295</v>
      </c>
      <c r="L145" s="402"/>
      <c r="M145" s="402"/>
    </row>
    <row r="146" spans="2:13">
      <c r="B146" s="402"/>
      <c r="C146" s="457"/>
      <c r="D146" s="402"/>
      <c r="E146" s="402"/>
      <c r="F146" s="402"/>
      <c r="G146" s="402"/>
      <c r="H146" s="402"/>
      <c r="I146" s="402"/>
      <c r="J146" s="402"/>
      <c r="K146" s="402"/>
      <c r="L146" s="402"/>
      <c r="M146" s="402"/>
    </row>
    <row r="147" spans="2:13">
      <c r="C147" s="404"/>
    </row>
    <row r="148" spans="2:13" ht="23.4">
      <c r="B148" s="400">
        <v>6</v>
      </c>
      <c r="C148" s="430" t="s">
        <v>123</v>
      </c>
      <c r="D148" s="402"/>
      <c r="E148" s="402"/>
      <c r="F148" s="402"/>
      <c r="G148" s="402"/>
      <c r="H148" s="402"/>
      <c r="I148" s="402"/>
      <c r="J148" s="402"/>
      <c r="K148" s="402"/>
      <c r="L148" s="402"/>
      <c r="M148" s="402"/>
    </row>
    <row r="149" spans="2:13" ht="53.25" customHeight="1">
      <c r="B149" s="400"/>
      <c r="C149" s="528" t="s">
        <v>124</v>
      </c>
      <c r="D149" s="528"/>
      <c r="E149" s="528"/>
      <c r="F149" s="528"/>
      <c r="G149" s="528"/>
      <c r="H149" s="528"/>
      <c r="I149" s="528"/>
      <c r="J149" s="528"/>
      <c r="K149" s="528"/>
      <c r="L149" s="528"/>
      <c r="M149" s="402"/>
    </row>
    <row r="150" spans="2:13" ht="13.8" thickBot="1">
      <c r="B150" s="402"/>
      <c r="C150" s="448"/>
      <c r="D150" s="402"/>
      <c r="E150" s="402"/>
      <c r="F150" s="402"/>
      <c r="G150" s="402"/>
      <c r="H150" s="402"/>
      <c r="I150" s="402"/>
      <c r="J150" s="402"/>
      <c r="K150" s="402"/>
      <c r="L150" s="402"/>
      <c r="M150" s="402"/>
    </row>
    <row r="151" spans="2:13" ht="13.8" thickBot="1">
      <c r="B151" s="402"/>
      <c r="C151" s="448" t="s">
        <v>125</v>
      </c>
      <c r="D151" s="449"/>
      <c r="E151" s="530"/>
      <c r="F151" s="530"/>
      <c r="G151" s="450"/>
      <c r="H151" s="451"/>
      <c r="I151" s="402"/>
      <c r="J151" s="402"/>
      <c r="K151" s="402"/>
      <c r="L151" s="402"/>
      <c r="M151" s="402"/>
    </row>
    <row r="152" spans="2:13" ht="13.8" thickBot="1">
      <c r="B152" s="402"/>
      <c r="C152" s="448" t="s">
        <v>58</v>
      </c>
      <c r="D152" s="452" t="s">
        <v>59</v>
      </c>
      <c r="E152" s="452" t="s">
        <v>60</v>
      </c>
      <c r="F152" s="453" t="s">
        <v>61</v>
      </c>
      <c r="G152" s="453" t="s">
        <v>62</v>
      </c>
      <c r="H152" s="453" t="s">
        <v>63</v>
      </c>
      <c r="I152" s="453" t="s">
        <v>64</v>
      </c>
      <c r="J152" s="453" t="s">
        <v>65</v>
      </c>
      <c r="K152" s="453" t="s">
        <v>66</v>
      </c>
      <c r="L152" s="402"/>
      <c r="M152" s="402"/>
    </row>
    <row r="153" spans="2:13">
      <c r="B153" s="402"/>
      <c r="C153" s="454" t="s">
        <v>79</v>
      </c>
      <c r="D153" s="455">
        <f>'GT workings 19-20'!E227</f>
        <v>47.791489594678033</v>
      </c>
      <c r="E153" s="455">
        <f>'GT workings 19-20'!F227</f>
        <v>47.540638081851597</v>
      </c>
      <c r="F153" s="455">
        <f>'GT workings 19-20'!G227</f>
        <v>50.761707097766759</v>
      </c>
      <c r="G153" s="455">
        <f>'GT workings 19-20'!H227</f>
        <v>48.256245818312692</v>
      </c>
      <c r="H153" s="455">
        <f>'GT workings 19-20'!I227</f>
        <v>44.524343434431046</v>
      </c>
      <c r="I153" s="455">
        <f>'GT workings 19-20'!J227</f>
        <v>51.565096437068703</v>
      </c>
      <c r="J153" s="455">
        <f>'GT workings 19-20'!K227</f>
        <v>52.155553110475765</v>
      </c>
      <c r="K153" s="455">
        <f>'GT workings 19-20'!L227</f>
        <v>48.458704438802911</v>
      </c>
      <c r="L153" s="402"/>
      <c r="M153" s="402"/>
    </row>
    <row r="154" spans="2:13">
      <c r="B154" s="402"/>
      <c r="C154" s="454" t="s">
        <v>98</v>
      </c>
      <c r="D154" s="455">
        <f>'GT workings 19-20'!E219</f>
        <v>0</v>
      </c>
      <c r="E154" s="455">
        <f>'GT workings 19-20'!F219</f>
        <v>0</v>
      </c>
      <c r="F154" s="455">
        <f>'GT workings 19-20'!G219</f>
        <v>0</v>
      </c>
      <c r="G154" s="455">
        <f>'GT workings 19-20'!H219</f>
        <v>0</v>
      </c>
      <c r="H154" s="455">
        <f>'GT workings 19-20'!I219</f>
        <v>0</v>
      </c>
      <c r="I154" s="455">
        <f>'GT workings 19-20'!J219</f>
        <v>0</v>
      </c>
      <c r="J154" s="455">
        <f>'GT workings 19-20'!K219</f>
        <v>0</v>
      </c>
      <c r="K154" s="455">
        <f>'GT workings 19-20'!L219</f>
        <v>0</v>
      </c>
      <c r="L154" s="402"/>
      <c r="M154" s="402"/>
    </row>
    <row r="155" spans="2:13">
      <c r="B155" s="402"/>
      <c r="C155" s="454" t="s">
        <v>100</v>
      </c>
      <c r="D155" s="455">
        <f>'GT workings 19-20'!E231</f>
        <v>0</v>
      </c>
      <c r="E155" s="455">
        <f>'GT workings 19-20'!F231</f>
        <v>0</v>
      </c>
      <c r="F155" s="455">
        <f>'GT workings 19-20'!G231</f>
        <v>0</v>
      </c>
      <c r="G155" s="455">
        <f>'GT workings 19-20'!H231</f>
        <v>0</v>
      </c>
      <c r="H155" s="455">
        <f>'GT workings 19-20'!I231</f>
        <v>0</v>
      </c>
      <c r="I155" s="455">
        <f>'GT workings 19-20'!J231</f>
        <v>0</v>
      </c>
      <c r="J155" s="455">
        <f>'GT workings 19-20'!K231</f>
        <v>0</v>
      </c>
      <c r="K155" s="455">
        <f>'GT workings 19-20'!L231</f>
        <v>0</v>
      </c>
      <c r="L155" s="402"/>
      <c r="M155" s="402"/>
    </row>
    <row r="156" spans="2:13">
      <c r="B156" s="402"/>
      <c r="C156" s="454" t="s">
        <v>101</v>
      </c>
      <c r="D156" s="455">
        <f>'GT workings 19-20'!E232</f>
        <v>-0.43181154987245485</v>
      </c>
      <c r="E156" s="455">
        <f>'GT workings 19-20'!F232</f>
        <v>-0.39947195996305995</v>
      </c>
      <c r="F156" s="455">
        <f>'GT workings 19-20'!G232</f>
        <v>-0.34734317043598018</v>
      </c>
      <c r="G156" s="455">
        <f>'GT workings 19-20'!H232</f>
        <v>-0.3193206524905472</v>
      </c>
      <c r="H156" s="455">
        <f>'GT workings 19-20'!I232</f>
        <v>-0.31265626882301373</v>
      </c>
      <c r="I156" s="455">
        <f>'GT workings 19-20'!J232</f>
        <v>-0.30799379948941219</v>
      </c>
      <c r="J156" s="455">
        <f>'GT workings 19-20'!K232</f>
        <v>-0.32570922921081308</v>
      </c>
      <c r="K156" s="455">
        <f>'GT workings 19-20'!L232</f>
        <v>-0.31552026220892354</v>
      </c>
      <c r="L156" s="402"/>
      <c r="M156" s="402"/>
    </row>
    <row r="157" spans="2:13">
      <c r="B157" s="402"/>
      <c r="C157" s="454" t="s">
        <v>102</v>
      </c>
      <c r="D157" s="455">
        <f>'GT workings 19-20'!E234</f>
        <v>1.1202426479507495</v>
      </c>
      <c r="E157" s="455">
        <f>'GT workings 19-20'!F234</f>
        <v>0.12489219146906574</v>
      </c>
      <c r="F157" s="455">
        <f>'GT workings 19-20'!G234</f>
        <v>0.55902249622441413</v>
      </c>
      <c r="G157" s="455">
        <f>'GT workings 19-20'!H234</f>
        <v>0.44762373035181957</v>
      </c>
      <c r="H157" s="455">
        <f>'GT workings 19-20'!I234</f>
        <v>0.50801235306137282</v>
      </c>
      <c r="I157" s="455">
        <f>'GT workings 19-20'!J234</f>
        <v>1.7353188332670755</v>
      </c>
      <c r="J157" s="455">
        <f>'GT workings 19-20'!K234</f>
        <v>2.0262572947266273</v>
      </c>
      <c r="K157" s="455">
        <f>'GT workings 19-20'!L234</f>
        <v>1.449222145617586</v>
      </c>
      <c r="L157" s="402"/>
      <c r="M157" s="402"/>
    </row>
    <row r="158" spans="2:13">
      <c r="B158" s="402"/>
      <c r="C158" s="454" t="s">
        <v>103</v>
      </c>
      <c r="D158" s="455">
        <f>'GT workings 19-20'!E229+'GT workings 19-20'!E230</f>
        <v>13.130686478245259</v>
      </c>
      <c r="E158" s="455">
        <f>'GT workings 19-20'!F229+'GT workings 19-20'!F230</f>
        <v>17.324622803392948</v>
      </c>
      <c r="F158" s="455">
        <f>'GT workings 19-20'!G229+'GT workings 19-20'!G230</f>
        <v>20.302411771470162</v>
      </c>
      <c r="G158" s="455">
        <f>'GT workings 19-20'!H229+'GT workings 19-20'!H230</f>
        <v>23.905373254012876</v>
      </c>
      <c r="H158" s="455">
        <f>'GT workings 19-20'!I229+'GT workings 19-20'!I230</f>
        <v>26.731480072035055</v>
      </c>
      <c r="I158" s="455">
        <f>'GT workings 19-20'!J229+'GT workings 19-20'!J230</f>
        <v>29.19530777811671</v>
      </c>
      <c r="J158" s="455">
        <f>'GT workings 19-20'!K229+'GT workings 19-20'!K230</f>
        <v>31.878760284457286</v>
      </c>
      <c r="K158" s="455">
        <f>'GT workings 19-20'!L229+'GT workings 19-20'!L230</f>
        <v>32.916684483820191</v>
      </c>
      <c r="L158" s="402"/>
      <c r="M158" s="402"/>
    </row>
    <row r="159" spans="2:13">
      <c r="B159" s="402"/>
      <c r="C159" s="454" t="s">
        <v>104</v>
      </c>
      <c r="D159" s="455">
        <f>'GT workings 19-20'!E233</f>
        <v>8.3082796001737652E-2</v>
      </c>
      <c r="E159" s="455">
        <f>'GT workings 19-20'!F233</f>
        <v>7.976923323919452E-2</v>
      </c>
      <c r="F159" s="455">
        <f>'GT workings 19-20'!G233</f>
        <v>0.75266180631023005</v>
      </c>
      <c r="G159" s="455">
        <f>'GT workings 19-20'!H233</f>
        <v>0.74924415240021436</v>
      </c>
      <c r="H159" s="455">
        <f>'GT workings 19-20'!I233</f>
        <v>0.74577657614235293</v>
      </c>
      <c r="I159" s="455">
        <f>'GT workings 19-20'!J233</f>
        <v>1.3290209839409051</v>
      </c>
      <c r="J159" s="455">
        <f>'GT workings 19-20'!K233</f>
        <v>1.3256617820097758</v>
      </c>
      <c r="K159" s="455">
        <f>'GT workings 19-20'!L233</f>
        <v>1.3221837483103327</v>
      </c>
      <c r="L159" s="402"/>
      <c r="M159" s="402"/>
    </row>
    <row r="160" spans="2:13">
      <c r="B160" s="402"/>
      <c r="C160" s="457" t="s">
        <v>105</v>
      </c>
      <c r="D160" s="458">
        <f>SUM(D153:D159)</f>
        <v>61.693689967003323</v>
      </c>
      <c r="E160" s="458">
        <f t="shared" ref="E160:K160" si="21">SUM(E153:E159)</f>
        <v>64.670450349989736</v>
      </c>
      <c r="F160" s="458">
        <f t="shared" si="21"/>
        <v>72.028460001335588</v>
      </c>
      <c r="G160" s="458">
        <f t="shared" si="21"/>
        <v>73.039166302587049</v>
      </c>
      <c r="H160" s="458">
        <f t="shared" si="21"/>
        <v>72.196956166846817</v>
      </c>
      <c r="I160" s="458">
        <f t="shared" si="21"/>
        <v>83.516750232903988</v>
      </c>
      <c r="J160" s="458">
        <f t="shared" si="21"/>
        <v>87.060523242458629</v>
      </c>
      <c r="K160" s="458">
        <f t="shared" si="21"/>
        <v>83.831274554342102</v>
      </c>
      <c r="L160" s="402"/>
      <c r="M160" s="402"/>
    </row>
    <row r="161" spans="2:22">
      <c r="B161" s="402"/>
      <c r="C161" s="454" t="s">
        <v>126</v>
      </c>
      <c r="D161" s="455">
        <f>'GT workings 19-20'!E240</f>
        <v>94.224999999999994</v>
      </c>
      <c r="E161" s="455">
        <f>'GT workings 19-20'!F240</f>
        <v>87.484999999999999</v>
      </c>
      <c r="F161" s="455">
        <f>'GT workings 19-20'!G240</f>
        <v>79.322999999999993</v>
      </c>
      <c r="G161" s="455">
        <f>'GT workings 19-20'!H240</f>
        <v>58.722999999999999</v>
      </c>
      <c r="H161" s="455">
        <f>'GT workings 19-20'!I240</f>
        <v>3.3000000000000002E-2</v>
      </c>
      <c r="I161" s="455">
        <f>'GT workings 19-20'!J240</f>
        <v>3.3000000000000002E-2</v>
      </c>
      <c r="J161" s="455">
        <f>'GT workings 19-20'!K240</f>
        <v>0</v>
      </c>
      <c r="K161" s="455">
        <f>'GT workings 19-20'!L240</f>
        <v>0</v>
      </c>
      <c r="L161" s="456"/>
      <c r="M161" s="402"/>
    </row>
    <row r="162" spans="2:22" ht="13.8" thickBot="1">
      <c r="B162" s="402"/>
      <c r="C162" s="448" t="s">
        <v>107</v>
      </c>
      <c r="D162" s="461">
        <f>SUM(D160:D161)</f>
        <v>155.91868996700333</v>
      </c>
      <c r="E162" s="461">
        <f t="shared" ref="E162:K162" si="22">SUM(E160:E161)</f>
        <v>152.15545034998974</v>
      </c>
      <c r="F162" s="461">
        <f t="shared" si="22"/>
        <v>151.35146000133557</v>
      </c>
      <c r="G162" s="461">
        <f t="shared" si="22"/>
        <v>131.76216630258705</v>
      </c>
      <c r="H162" s="461">
        <f t="shared" si="22"/>
        <v>72.229956166846819</v>
      </c>
      <c r="I162" s="461">
        <f t="shared" si="22"/>
        <v>83.549750232903989</v>
      </c>
      <c r="J162" s="461">
        <f t="shared" si="22"/>
        <v>87.060523242458629</v>
      </c>
      <c r="K162" s="461">
        <f t="shared" si="22"/>
        <v>83.831274554342102</v>
      </c>
      <c r="L162" s="481"/>
      <c r="M162" s="402"/>
    </row>
    <row r="163" spans="2:22">
      <c r="B163" s="402"/>
      <c r="C163" s="457"/>
      <c r="D163" s="458"/>
      <c r="E163" s="458"/>
      <c r="F163" s="458"/>
      <c r="G163" s="458"/>
      <c r="H163" s="458"/>
      <c r="I163" s="458"/>
      <c r="J163" s="458"/>
      <c r="K163" s="458"/>
      <c r="L163" s="456"/>
      <c r="M163" s="402"/>
    </row>
    <row r="164" spans="2:22" ht="59.25" customHeight="1">
      <c r="B164" s="402"/>
      <c r="C164" s="528" t="s">
        <v>448</v>
      </c>
      <c r="D164" s="528"/>
      <c r="E164" s="528"/>
      <c r="F164" s="528"/>
      <c r="G164" s="528"/>
      <c r="H164" s="528"/>
      <c r="I164" s="528"/>
      <c r="J164" s="528"/>
      <c r="K164" s="528"/>
      <c r="L164" s="528"/>
      <c r="M164" s="402"/>
    </row>
    <row r="165" spans="2:22" ht="6" customHeight="1" thickBot="1">
      <c r="B165" s="402"/>
      <c r="C165" s="448"/>
      <c r="D165" s="458"/>
      <c r="E165" s="458"/>
      <c r="F165" s="458"/>
      <c r="G165" s="458"/>
      <c r="H165" s="458"/>
      <c r="I165" s="458"/>
      <c r="J165" s="458"/>
      <c r="K165" s="458"/>
      <c r="L165" s="456"/>
      <c r="M165" s="402"/>
    </row>
    <row r="166" spans="2:22" ht="13.8" thickBot="1">
      <c r="B166" s="402"/>
      <c r="C166" s="448" t="s">
        <v>128</v>
      </c>
      <c r="D166" s="462"/>
      <c r="E166" s="462"/>
      <c r="F166" s="482"/>
      <c r="G166" s="482"/>
      <c r="H166" s="402"/>
      <c r="I166" s="482"/>
      <c r="J166" s="402"/>
      <c r="K166" s="402"/>
      <c r="L166" s="402"/>
      <c r="M166" s="402"/>
    </row>
    <row r="167" spans="2:22" ht="13.8" thickBot="1">
      <c r="B167" s="402"/>
      <c r="C167" s="467" t="s">
        <v>58</v>
      </c>
      <c r="D167" s="453" t="s">
        <v>59</v>
      </c>
      <c r="E167" s="453" t="s">
        <v>60</v>
      </c>
      <c r="F167" s="453" t="s">
        <v>61</v>
      </c>
      <c r="G167" s="453" t="s">
        <v>62</v>
      </c>
      <c r="H167" s="453" t="s">
        <v>63</v>
      </c>
      <c r="I167" s="453" t="s">
        <v>64</v>
      </c>
      <c r="J167" s="453" t="s">
        <v>65</v>
      </c>
      <c r="K167" s="453" t="s">
        <v>66</v>
      </c>
      <c r="L167" s="402"/>
      <c r="M167" s="462"/>
      <c r="N167" s="410"/>
      <c r="O167" s="410"/>
      <c r="V167" s="411"/>
    </row>
    <row r="168" spans="2:22">
      <c r="B168" s="402"/>
      <c r="C168" s="454" t="s">
        <v>110</v>
      </c>
      <c r="D168" s="455">
        <v>66.893712056086201</v>
      </c>
      <c r="E168" s="455">
        <v>67.429191577201763</v>
      </c>
      <c r="F168" s="455">
        <v>68.82661899796868</v>
      </c>
      <c r="G168" s="455">
        <v>72.79260504510404</v>
      </c>
      <c r="H168" s="455">
        <v>73.599926978535336</v>
      </c>
      <c r="I168" s="455">
        <v>72.682590016069625</v>
      </c>
      <c r="J168" s="455">
        <v>74.76721766777959</v>
      </c>
      <c r="K168" s="455">
        <v>73.854682624001015</v>
      </c>
      <c r="L168" s="455"/>
      <c r="M168" s="462"/>
      <c r="N168" s="410"/>
      <c r="O168" s="410"/>
      <c r="V168" s="411"/>
    </row>
    <row r="169" spans="2:22">
      <c r="B169" s="402"/>
      <c r="C169" s="457" t="s">
        <v>111</v>
      </c>
      <c r="D169" s="458">
        <f>'GT workings 19-20'!E237</f>
        <v>0</v>
      </c>
      <c r="E169" s="458">
        <f>'GT workings 19-20'!F237</f>
        <v>-0.74723548170331355</v>
      </c>
      <c r="F169" s="458">
        <f>'GT workings 19-20'!G237</f>
        <v>-13.787280588025247</v>
      </c>
      <c r="G169" s="458">
        <f>'GT workings 19-20'!H237</f>
        <v>1.0011710527519853</v>
      </c>
      <c r="H169" s="458">
        <f>'GT workings 19-20'!I237</f>
        <v>3.0471602441516268</v>
      </c>
      <c r="I169" s="458">
        <f>'GT workings 19-20'!J237</f>
        <v>-7.3017659828011006E-2</v>
      </c>
      <c r="J169" s="458">
        <f>'GT workings 19-20'!K237</f>
        <v>28.75184452629523</v>
      </c>
      <c r="K169" s="458"/>
      <c r="L169" s="483"/>
      <c r="M169" s="462"/>
      <c r="N169" s="410"/>
      <c r="O169" s="410"/>
      <c r="V169" s="411"/>
    </row>
    <row r="170" spans="2:22">
      <c r="B170" s="402"/>
      <c r="C170" s="454" t="s">
        <v>112</v>
      </c>
      <c r="D170" s="455">
        <f>SUM(D168:D169)</f>
        <v>66.893712056086201</v>
      </c>
      <c r="E170" s="455">
        <f t="shared" ref="E170:J170" si="23">SUM(E168:E169)</f>
        <v>66.68195609549845</v>
      </c>
      <c r="F170" s="455">
        <f t="shared" si="23"/>
        <v>55.039338409943433</v>
      </c>
      <c r="G170" s="455">
        <f t="shared" si="23"/>
        <v>73.793776097856025</v>
      </c>
      <c r="H170" s="455">
        <f t="shared" si="23"/>
        <v>76.647087222686963</v>
      </c>
      <c r="I170" s="455">
        <f t="shared" si="23"/>
        <v>72.609572356241614</v>
      </c>
      <c r="J170" s="455">
        <f t="shared" si="23"/>
        <v>103.51906219407482</v>
      </c>
      <c r="K170" s="455"/>
      <c r="L170" s="455"/>
      <c r="M170" s="462"/>
      <c r="N170" s="410"/>
      <c r="O170" s="410"/>
      <c r="V170" s="411"/>
    </row>
    <row r="171" spans="2:22">
      <c r="B171" s="402"/>
      <c r="C171" s="468" t="s">
        <v>446</v>
      </c>
      <c r="D171" s="455"/>
      <c r="E171" s="455"/>
      <c r="F171" s="455"/>
      <c r="G171" s="455"/>
      <c r="H171" s="458"/>
      <c r="I171" s="455"/>
      <c r="J171" s="455"/>
      <c r="K171" s="458">
        <f>J170+(I170*'GT workings 19-20'!J286)+('NGGT AIP 2018'!H170*'GT workings 19-20'!I286)+('NGGT AIP 2018'!G170*'GT workings 19-20'!H286)+('NGGT AIP 2018'!F170*'GT workings 19-20'!G286)+('NGGT AIP 2018'!E170*'GT workings 19-20'!F286)+('NGGT AIP 2018'!D170*'GT workings 19-20'!E286)</f>
        <v>574.8353340055005</v>
      </c>
      <c r="L171" s="455"/>
      <c r="M171" s="462"/>
      <c r="N171" s="410"/>
      <c r="O171" s="410"/>
      <c r="V171" s="411"/>
    </row>
    <row r="172" spans="2:22">
      <c r="B172" s="402"/>
      <c r="C172" s="454" t="s">
        <v>176</v>
      </c>
      <c r="D172" s="455">
        <f>D160</f>
        <v>61.693689967003323</v>
      </c>
      <c r="E172" s="455">
        <f t="shared" ref="E172:J172" si="24">E160</f>
        <v>64.670450349989736</v>
      </c>
      <c r="F172" s="455">
        <f t="shared" si="24"/>
        <v>72.028460001335588</v>
      </c>
      <c r="G172" s="455">
        <f t="shared" si="24"/>
        <v>73.039166302587049</v>
      </c>
      <c r="H172" s="455">
        <f t="shared" si="24"/>
        <v>72.196956166846817</v>
      </c>
      <c r="I172" s="455">
        <f t="shared" si="24"/>
        <v>83.516750232903988</v>
      </c>
      <c r="J172" s="455">
        <f t="shared" si="24"/>
        <v>87.060523242458629</v>
      </c>
      <c r="K172" s="455"/>
      <c r="L172" s="478"/>
      <c r="M172" s="402"/>
      <c r="V172" s="411"/>
    </row>
    <row r="173" spans="2:22" ht="13.8" thickBot="1">
      <c r="B173" s="402"/>
      <c r="C173" s="448" t="s">
        <v>446</v>
      </c>
      <c r="D173" s="461"/>
      <c r="E173" s="461"/>
      <c r="F173" s="461"/>
      <c r="G173" s="461"/>
      <c r="H173" s="461"/>
      <c r="I173" s="461"/>
      <c r="J173" s="461"/>
      <c r="K173" s="461">
        <f>J172+(I172*'GT workings 19-20'!J286)+('NGGT AIP 2018'!H172*'GT workings 19-20'!I286)+('NGGT AIP 2018'!G172*'GT workings 19-20'!H286)+('NGGT AIP 2018'!F172*'GT workings 19-20'!G286)+('NGGT AIP 2018'!E172*'GT workings 19-20'!F286)+('NGGT AIP 2018'!D172*'GT workings 19-20'!E286)</f>
        <v>574.8353340055005</v>
      </c>
      <c r="L173" s="455"/>
      <c r="M173" s="402"/>
      <c r="V173" s="411"/>
    </row>
    <row r="174" spans="2:22">
      <c r="B174" s="402"/>
      <c r="C174" s="484"/>
      <c r="D174" s="462"/>
      <c r="E174" s="462"/>
      <c r="F174" s="482"/>
      <c r="G174" s="482"/>
      <c r="H174" s="402"/>
      <c r="I174" s="482"/>
      <c r="J174" s="485"/>
      <c r="K174" s="402"/>
      <c r="L174" s="402"/>
      <c r="M174" s="402"/>
    </row>
    <row r="175" spans="2:22">
      <c r="D175" s="410"/>
      <c r="E175" s="410"/>
      <c r="F175" s="410"/>
      <c r="G175" s="410"/>
      <c r="H175" s="410"/>
      <c r="I175" s="410"/>
      <c r="J175" s="410"/>
      <c r="K175" s="410"/>
      <c r="L175" s="410"/>
    </row>
    <row r="176" spans="2:22" ht="23.4">
      <c r="B176" s="400">
        <v>7</v>
      </c>
      <c r="C176" s="430" t="s">
        <v>129</v>
      </c>
      <c r="D176" s="402"/>
      <c r="E176" s="470"/>
      <c r="F176" s="470"/>
      <c r="G176" s="470"/>
      <c r="H176" s="470"/>
      <c r="I176" s="470"/>
      <c r="J176" s="470"/>
      <c r="K176" s="470"/>
      <c r="L176" s="402"/>
      <c r="M176" s="402"/>
    </row>
    <row r="177" spans="2:13" ht="40.5" customHeight="1">
      <c r="B177" s="402"/>
      <c r="C177" s="528" t="s">
        <v>130</v>
      </c>
      <c r="D177" s="528"/>
      <c r="E177" s="528"/>
      <c r="F177" s="528"/>
      <c r="G177" s="528"/>
      <c r="H177" s="528"/>
      <c r="I177" s="528"/>
      <c r="J177" s="528"/>
      <c r="K177" s="528"/>
      <c r="L177" s="528"/>
      <c r="M177" s="402"/>
    </row>
    <row r="178" spans="2:13" ht="12.75" customHeight="1" thickBot="1">
      <c r="B178" s="402"/>
      <c r="C178" s="448"/>
      <c r="D178" s="474"/>
      <c r="E178" s="474"/>
      <c r="F178" s="474"/>
      <c r="G178" s="474"/>
      <c r="H178" s="474"/>
      <c r="I178" s="402"/>
      <c r="J178" s="402"/>
      <c r="K178" s="402"/>
      <c r="L178" s="402"/>
      <c r="M178" s="402"/>
    </row>
    <row r="179" spans="2:13" ht="13.8" thickBot="1">
      <c r="B179" s="402"/>
      <c r="C179" s="448" t="s">
        <v>131</v>
      </c>
      <c r="D179" s="449"/>
      <c r="E179" s="530"/>
      <c r="F179" s="530"/>
      <c r="G179" s="450"/>
      <c r="H179" s="451"/>
      <c r="I179" s="451"/>
      <c r="J179" s="451"/>
      <c r="K179" s="451"/>
      <c r="L179" s="451"/>
      <c r="M179" s="402"/>
    </row>
    <row r="180" spans="2:13" ht="13.8" thickBot="1">
      <c r="B180" s="402"/>
      <c r="C180" s="448" t="s">
        <v>58</v>
      </c>
      <c r="D180" s="452" t="s">
        <v>59</v>
      </c>
      <c r="E180" s="452" t="s">
        <v>60</v>
      </c>
      <c r="F180" s="452" t="s">
        <v>61</v>
      </c>
      <c r="G180" s="452" t="s">
        <v>62</v>
      </c>
      <c r="H180" s="452" t="s">
        <v>63</v>
      </c>
      <c r="I180" s="452" t="s">
        <v>64</v>
      </c>
      <c r="J180" s="452" t="s">
        <v>65</v>
      </c>
      <c r="K180" s="452" t="s">
        <v>66</v>
      </c>
      <c r="L180" s="452" t="s">
        <v>118</v>
      </c>
      <c r="M180" s="402"/>
    </row>
    <row r="181" spans="2:13">
      <c r="B181" s="402"/>
      <c r="C181" s="454" t="s">
        <v>132</v>
      </c>
      <c r="D181" s="455">
        <f>'GT workings 19-20'!E16</f>
        <v>15.115777414489674</v>
      </c>
      <c r="E181" s="455">
        <f>'GT workings 19-20'!F16</f>
        <v>6.1585183187658412</v>
      </c>
      <c r="F181" s="455">
        <f>'GT workings 19-20'!G16</f>
        <v>1.2279992437177505</v>
      </c>
      <c r="G181" s="455">
        <f>'GT workings 19-20'!H16</f>
        <v>1.0586494644799558</v>
      </c>
      <c r="H181" s="455">
        <f>'GT workings 19-20'!I16</f>
        <v>5.9459563895617578</v>
      </c>
      <c r="I181" s="455">
        <f>'GT workings 19-20'!J16</f>
        <v>5.0594200163138892</v>
      </c>
      <c r="J181" s="455">
        <f>'GT workings 19-20'!K16</f>
        <v>0.23152878737450566</v>
      </c>
      <c r="K181" s="455">
        <f>'GT workings 19-20'!L16</f>
        <v>0</v>
      </c>
      <c r="L181" s="455">
        <f>SUM(D181:K181)</f>
        <v>34.797849634703375</v>
      </c>
      <c r="M181" s="462"/>
    </row>
    <row r="182" spans="2:13">
      <c r="B182" s="402"/>
      <c r="C182" s="454" t="s">
        <v>133</v>
      </c>
      <c r="D182" s="455">
        <f>'GT workings 19-20'!E17</f>
        <v>97.132518315217595</v>
      </c>
      <c r="E182" s="455">
        <f>'GT workings 19-20'!F17</f>
        <v>109.87971241227922</v>
      </c>
      <c r="F182" s="455">
        <f>'GT workings 19-20'!G17</f>
        <v>114.43672637584547</v>
      </c>
      <c r="G182" s="455">
        <f>'GT workings 19-20'!H17</f>
        <v>123.96977718673423</v>
      </c>
      <c r="H182" s="455">
        <f>'GT workings 19-20'!I17</f>
        <v>138.27838395379189</v>
      </c>
      <c r="I182" s="455">
        <f>'GT workings 19-20'!J17</f>
        <v>117.50342084599842</v>
      </c>
      <c r="J182" s="455">
        <f>'GT workings 19-20'!K17</f>
        <v>101.87556011564801</v>
      </c>
      <c r="K182" s="455">
        <f>'GT workings 19-20'!L17</f>
        <v>91.157975802007329</v>
      </c>
      <c r="L182" s="455">
        <f t="shared" ref="L182:L187" si="25">SUM(D182:K182)</f>
        <v>894.23407500752216</v>
      </c>
      <c r="M182" s="462"/>
    </row>
    <row r="183" spans="2:13">
      <c r="B183" s="402"/>
      <c r="C183" s="454" t="s">
        <v>134</v>
      </c>
      <c r="D183" s="455">
        <f>'GT workings 19-20'!E21</f>
        <v>26.93604464906883</v>
      </c>
      <c r="E183" s="455">
        <f>'GT workings 19-20'!F21</f>
        <v>19.510949672305049</v>
      </c>
      <c r="F183" s="455">
        <f>'GT workings 19-20'!G21</f>
        <v>-3.895985875942312</v>
      </c>
      <c r="G183" s="455">
        <f>'GT workings 19-20'!H21</f>
        <v>-15.83053713675862</v>
      </c>
      <c r="H183" s="455">
        <f>'GT workings 19-20'!I21</f>
        <v>4.0808157869617645</v>
      </c>
      <c r="I183" s="455">
        <f>'GT workings 19-20'!J21</f>
        <v>3.3617866266992991</v>
      </c>
      <c r="J183" s="455">
        <f>'GT workings 19-20'!K21</f>
        <v>-22.618844944848529</v>
      </c>
      <c r="K183" s="455">
        <f>'GT workings 19-20'!L21</f>
        <v>-27.683993902785797</v>
      </c>
      <c r="L183" s="455">
        <f t="shared" si="25"/>
        <v>-16.139765125300322</v>
      </c>
      <c r="M183" s="462"/>
    </row>
    <row r="184" spans="2:13">
      <c r="B184" s="402"/>
      <c r="C184" s="454" t="s">
        <v>135</v>
      </c>
      <c r="D184" s="455">
        <f>'GT workings 19-20'!E22</f>
        <v>3.4860000000000002</v>
      </c>
      <c r="E184" s="455">
        <f>'GT workings 19-20'!F22</f>
        <v>1.9990000000000001</v>
      </c>
      <c r="F184" s="455">
        <f>'GT workings 19-20'!G22</f>
        <v>2.0979999999999999</v>
      </c>
      <c r="G184" s="455">
        <f>'GT workings 19-20'!H22</f>
        <v>2.8820000000000001</v>
      </c>
      <c r="H184" s="455">
        <f>'GT workings 19-20'!I22</f>
        <v>3.7022064285714298</v>
      </c>
      <c r="I184" s="455">
        <f>'GT workings 19-20'!J22</f>
        <v>2.5631782312925169</v>
      </c>
      <c r="J184" s="455">
        <f>'GT workings 19-20'!K22</f>
        <v>1.4961976478727097</v>
      </c>
      <c r="K184" s="455">
        <f>'GT workings 19-20'!L22</f>
        <v>0.94824897959183674</v>
      </c>
      <c r="L184" s="455">
        <f t="shared" si="25"/>
        <v>19.174831287328495</v>
      </c>
      <c r="M184" s="462"/>
    </row>
    <row r="185" spans="2:13">
      <c r="B185" s="402"/>
      <c r="C185" s="454" t="s">
        <v>136</v>
      </c>
      <c r="D185" s="455">
        <f>'GT workings 19-20'!E18</f>
        <v>64.482672010544718</v>
      </c>
      <c r="E185" s="455">
        <f>'GT workings 19-20'!F18</f>
        <v>65.237874215180156</v>
      </c>
      <c r="F185" s="455">
        <f>'GT workings 19-20'!G18</f>
        <v>70.772894725011071</v>
      </c>
      <c r="G185" s="455">
        <f>'GT workings 19-20'!H18</f>
        <v>79.368338266410362</v>
      </c>
      <c r="H185" s="455">
        <f>'GT workings 19-20'!I18</f>
        <v>84.317479134504765</v>
      </c>
      <c r="I185" s="455">
        <f>'GT workings 19-20'!J18</f>
        <v>84.641346358196444</v>
      </c>
      <c r="J185" s="455">
        <f>'GT workings 19-20'!K18</f>
        <v>80.728014781566515</v>
      </c>
      <c r="K185" s="455">
        <f>'GT workings 19-20'!L18</f>
        <v>77.490070123441129</v>
      </c>
      <c r="L185" s="455">
        <f t="shared" si="25"/>
        <v>607.03868961485512</v>
      </c>
      <c r="M185" s="462"/>
    </row>
    <row r="186" spans="2:13">
      <c r="B186" s="402"/>
      <c r="C186" s="454" t="s">
        <v>137</v>
      </c>
      <c r="D186" s="455">
        <f>D63-'GT workings 19-20'!E24</f>
        <v>-10.234397825025809</v>
      </c>
      <c r="E186" s="455">
        <f>E63-'GT workings 19-20'!F24</f>
        <v>-11.313663011620633</v>
      </c>
      <c r="F186" s="455">
        <f>F63-'GT workings 19-20'!G24</f>
        <v>1.4758141331909655</v>
      </c>
      <c r="G186" s="455">
        <f>G63-'GT workings 19-20'!H24</f>
        <v>18.036561011051162</v>
      </c>
      <c r="H186" s="455">
        <f>H63-'GT workings 19-20'!I24</f>
        <v>38.16324690550428</v>
      </c>
      <c r="I186" s="455">
        <f>I63-'GT workings 19-20'!J24</f>
        <v>0</v>
      </c>
      <c r="J186" s="455">
        <f>J63-'GT workings 19-20'!K24</f>
        <v>0</v>
      </c>
      <c r="K186" s="455">
        <f>K63-'GT workings 19-20'!L24</f>
        <v>0</v>
      </c>
      <c r="L186" s="455">
        <f t="shared" si="25"/>
        <v>36.127561213099966</v>
      </c>
      <c r="M186" s="462"/>
    </row>
    <row r="187" spans="2:13">
      <c r="B187" s="402"/>
      <c r="C187" s="457" t="s">
        <v>48</v>
      </c>
      <c r="D187" s="458">
        <f>SUM(D181:D186)</f>
        <v>196.91861456429498</v>
      </c>
      <c r="E187" s="458">
        <f t="shared" ref="E187:K187" si="26">SUM(E181:E186)</f>
        <v>191.47239160690964</v>
      </c>
      <c r="F187" s="458">
        <f t="shared" si="26"/>
        <v>186.11544860182295</v>
      </c>
      <c r="G187" s="458">
        <f t="shared" si="26"/>
        <v>209.48478879191708</v>
      </c>
      <c r="H187" s="458">
        <f t="shared" si="26"/>
        <v>274.4880885988959</v>
      </c>
      <c r="I187" s="458">
        <f t="shared" si="26"/>
        <v>213.12915207850057</v>
      </c>
      <c r="J187" s="458">
        <f t="shared" si="26"/>
        <v>161.7124563876132</v>
      </c>
      <c r="K187" s="458">
        <f t="shared" si="26"/>
        <v>141.91230100225448</v>
      </c>
      <c r="L187" s="458">
        <f t="shared" si="25"/>
        <v>1575.2332416322088</v>
      </c>
      <c r="M187" s="462"/>
    </row>
    <row r="188" spans="2:13">
      <c r="B188" s="402"/>
      <c r="C188" s="454" t="s">
        <v>52</v>
      </c>
      <c r="D188" s="455">
        <f>'GT workings 19-20'!E27</f>
        <v>110.11544616012048</v>
      </c>
      <c r="E188" s="455">
        <f>'GT workings 19-20'!F27</f>
        <v>110.29121834911521</v>
      </c>
      <c r="F188" s="455">
        <f>'GT workings 19-20'!G27</f>
        <v>110.32860169190292</v>
      </c>
      <c r="G188" s="455">
        <f>'GT workings 19-20'!H27</f>
        <v>110.3596633646699</v>
      </c>
      <c r="H188" s="455">
        <f>'GT workings 19-20'!I27</f>
        <v>110.27343835902431</v>
      </c>
      <c r="I188" s="455">
        <f>'GT workings 19-20'!J27</f>
        <v>110.27662588032852</v>
      </c>
      <c r="J188" s="455">
        <f>'GT workings 19-20'!K27</f>
        <v>110.30420904525512</v>
      </c>
      <c r="K188" s="455">
        <f>'GT workings 19-20'!L27</f>
        <v>110.31067350058066</v>
      </c>
      <c r="L188" s="455">
        <f>SUM(D188:K188)</f>
        <v>882.25987635099727</v>
      </c>
      <c r="M188" s="462"/>
    </row>
    <row r="189" spans="2:13">
      <c r="B189" s="402"/>
      <c r="C189" s="454"/>
      <c r="D189" s="455"/>
      <c r="E189" s="455"/>
      <c r="F189" s="455"/>
      <c r="G189" s="455"/>
      <c r="H189" s="455"/>
      <c r="I189" s="455"/>
      <c r="J189" s="455"/>
      <c r="K189" s="455"/>
      <c r="L189" s="455"/>
      <c r="M189" s="462"/>
    </row>
    <row r="190" spans="2:13">
      <c r="B190" s="402"/>
      <c r="C190" s="454" t="s">
        <v>138</v>
      </c>
      <c r="D190" s="455">
        <f>'GT workings 19-20'!E8</f>
        <v>33.734064323833628</v>
      </c>
      <c r="E190" s="455">
        <f>'GT workings 19-20'!F8</f>
        <v>27.39346022326454</v>
      </c>
      <c r="F190" s="455">
        <f>'GT workings 19-20'!G8</f>
        <v>18.58964637976759</v>
      </c>
      <c r="G190" s="455">
        <f>'GT workings 19-20'!H8</f>
        <v>15.690053681814245</v>
      </c>
      <c r="H190" s="455">
        <f>'GT workings 19-20'!I8</f>
        <v>14.117331818843784</v>
      </c>
      <c r="I190" s="455">
        <f>'GT workings 19-20'!J8</f>
        <v>12.8424465294623</v>
      </c>
      <c r="J190" s="455">
        <f>'GT workings 19-20'!K8</f>
        <v>15.120708694627556</v>
      </c>
      <c r="K190" s="455">
        <f>'GT workings 19-20'!L8</f>
        <v>12.837335667911791</v>
      </c>
      <c r="L190" s="455">
        <f>SUM(D190:K190)</f>
        <v>150.32504731952542</v>
      </c>
      <c r="M190" s="462"/>
    </row>
    <row r="191" spans="2:13">
      <c r="B191" s="402"/>
      <c r="C191" s="454" t="s">
        <v>44</v>
      </c>
      <c r="D191" s="455">
        <f>'GT workings 19-20'!E12</f>
        <v>19.755956161710287</v>
      </c>
      <c r="E191" s="455">
        <f>'GT workings 19-20'!F12</f>
        <v>4.9640550676615947</v>
      </c>
      <c r="F191" s="455">
        <f>'GT workings 19-20'!G12</f>
        <v>8.9197815696110538</v>
      </c>
      <c r="G191" s="455">
        <f>'GT workings 19-20'!H12</f>
        <v>12.191499767835666</v>
      </c>
      <c r="H191" s="455">
        <f>'GT workings 19-20'!I12</f>
        <v>13.477291968470052</v>
      </c>
      <c r="I191" s="455">
        <f>'GT workings 19-20'!J12</f>
        <v>19.208679341930342</v>
      </c>
      <c r="J191" s="455">
        <f>'GT workings 19-20'!K12</f>
        <v>16.974249516476256</v>
      </c>
      <c r="K191" s="455">
        <f>'GT workings 19-20'!L12</f>
        <v>13.967101910657444</v>
      </c>
      <c r="L191" s="455">
        <f t="shared" ref="L191:L195" si="27">SUM(D191:K191)</f>
        <v>109.45861530435269</v>
      </c>
      <c r="M191" s="462"/>
    </row>
    <row r="192" spans="2:13">
      <c r="B192" s="402"/>
      <c r="C192" s="454" t="s">
        <v>45</v>
      </c>
      <c r="D192" s="455">
        <f>'GT workings 19-20'!E13</f>
        <v>6.3163697463774593</v>
      </c>
      <c r="E192" s="455">
        <f>'GT workings 19-20'!F13</f>
        <v>7.5127863565785153</v>
      </c>
      <c r="F192" s="455">
        <f>'GT workings 19-20'!G13</f>
        <v>11.755221166240313</v>
      </c>
      <c r="G192" s="455">
        <f>'GT workings 19-20'!H13</f>
        <v>14.858131955957658</v>
      </c>
      <c r="H192" s="455">
        <f>'GT workings 19-20'!I13</f>
        <v>9.9935426477652847</v>
      </c>
      <c r="I192" s="455">
        <f>'GT workings 19-20'!J13</f>
        <v>12.155160387098473</v>
      </c>
      <c r="J192" s="455">
        <f>'GT workings 19-20'!K13</f>
        <v>12.398863612479254</v>
      </c>
      <c r="K192" s="455">
        <f>'GT workings 19-20'!L13</f>
        <v>11.187952086317051</v>
      </c>
      <c r="L192" s="455">
        <f t="shared" si="27"/>
        <v>86.178027958814013</v>
      </c>
      <c r="M192" s="462"/>
    </row>
    <row r="193" spans="2:13">
      <c r="B193" s="402"/>
      <c r="C193" s="454" t="s">
        <v>46</v>
      </c>
      <c r="D193" s="455">
        <f>'GT workings 19-20'!E7</f>
        <v>37.780581733294433</v>
      </c>
      <c r="E193" s="455">
        <f>'GT workings 19-20'!F7</f>
        <v>38.765251453029641</v>
      </c>
      <c r="F193" s="455">
        <f>'GT workings 19-20'!G7</f>
        <v>38.935734544913359</v>
      </c>
      <c r="G193" s="455">
        <f>'GT workings 19-20'!H7</f>
        <v>37.194366497168517</v>
      </c>
      <c r="H193" s="455">
        <f>'GT workings 19-20'!I7</f>
        <v>37.663363739263652</v>
      </c>
      <c r="I193" s="455">
        <f>'GT workings 19-20'!J7</f>
        <v>38.166072267177746</v>
      </c>
      <c r="J193" s="455">
        <f>'GT workings 19-20'!K7</f>
        <v>38.821758225100261</v>
      </c>
      <c r="K193" s="455">
        <f>'GT workings 19-20'!L7</f>
        <v>39.417681323616755</v>
      </c>
      <c r="L193" s="455">
        <f t="shared" si="27"/>
        <v>306.74480978356434</v>
      </c>
      <c r="M193" s="462"/>
    </row>
    <row r="194" spans="2:13">
      <c r="B194" s="402"/>
      <c r="C194" s="454" t="s">
        <v>137</v>
      </c>
      <c r="D194" s="455">
        <f t="shared" ref="D194:K194" si="28">D134-D128</f>
        <v>-21.380183422143133</v>
      </c>
      <c r="E194" s="455">
        <f t="shared" si="28"/>
        <v>-2.7094597431640892</v>
      </c>
      <c r="F194" s="455">
        <f t="shared" si="28"/>
        <v>2.9072950675416109</v>
      </c>
      <c r="G194" s="455">
        <f t="shared" si="28"/>
        <v>-2.8658203718969162</v>
      </c>
      <c r="H194" s="455">
        <f t="shared" si="28"/>
        <v>-4.1530792848946163</v>
      </c>
      <c r="I194" s="455">
        <f t="shared" si="28"/>
        <v>0</v>
      </c>
      <c r="J194" s="455">
        <f t="shared" si="28"/>
        <v>0</v>
      </c>
      <c r="K194" s="455">
        <f t="shared" si="28"/>
        <v>0</v>
      </c>
      <c r="L194" s="455">
        <f t="shared" si="27"/>
        <v>-28.201247754557144</v>
      </c>
      <c r="M194" s="462"/>
    </row>
    <row r="195" spans="2:13">
      <c r="B195" s="402"/>
      <c r="C195" s="457" t="s">
        <v>50</v>
      </c>
      <c r="D195" s="458">
        <f>SUM(D190:D194)</f>
        <v>76.206788543072676</v>
      </c>
      <c r="E195" s="458">
        <f t="shared" ref="E195:K195" si="29">SUM(E190:E194)</f>
        <v>75.926093357370206</v>
      </c>
      <c r="F195" s="458">
        <f t="shared" si="29"/>
        <v>81.107678728073921</v>
      </c>
      <c r="G195" s="458">
        <f t="shared" si="29"/>
        <v>77.06823153087916</v>
      </c>
      <c r="H195" s="458">
        <f t="shared" si="29"/>
        <v>71.098450889448159</v>
      </c>
      <c r="I195" s="458">
        <f t="shared" si="29"/>
        <v>82.372358525668858</v>
      </c>
      <c r="J195" s="458">
        <f t="shared" si="29"/>
        <v>83.31558004868333</v>
      </c>
      <c r="K195" s="458">
        <f t="shared" si="29"/>
        <v>77.410070988503037</v>
      </c>
      <c r="L195" s="458">
        <f t="shared" si="27"/>
        <v>624.50525261169946</v>
      </c>
      <c r="M195" s="462"/>
    </row>
    <row r="196" spans="2:13">
      <c r="B196" s="402"/>
      <c r="C196" s="454"/>
      <c r="D196" s="455"/>
      <c r="E196" s="455"/>
      <c r="F196" s="455"/>
      <c r="G196" s="455"/>
      <c r="H196" s="455"/>
      <c r="I196" s="455"/>
      <c r="J196" s="455"/>
      <c r="K196" s="455"/>
      <c r="L196" s="455"/>
      <c r="M196" s="462"/>
    </row>
    <row r="197" spans="2:13" ht="13.8" thickBot="1">
      <c r="B197" s="402"/>
      <c r="C197" s="448" t="s">
        <v>51</v>
      </c>
      <c r="D197" s="461">
        <f>D187+D195</f>
        <v>273.12540310736767</v>
      </c>
      <c r="E197" s="461">
        <f t="shared" ref="E197:K197" si="30">E187+E195</f>
        <v>267.39848496427987</v>
      </c>
      <c r="F197" s="461">
        <f t="shared" si="30"/>
        <v>267.2231273298969</v>
      </c>
      <c r="G197" s="461">
        <f t="shared" si="30"/>
        <v>286.55302032279621</v>
      </c>
      <c r="H197" s="461">
        <f t="shared" si="30"/>
        <v>345.58653948834404</v>
      </c>
      <c r="I197" s="461">
        <f t="shared" si="30"/>
        <v>295.50151060416943</v>
      </c>
      <c r="J197" s="461">
        <f t="shared" si="30"/>
        <v>245.02803643629653</v>
      </c>
      <c r="K197" s="461">
        <f t="shared" si="30"/>
        <v>219.32237199075752</v>
      </c>
      <c r="L197" s="461">
        <f>SUM(D197:K197)</f>
        <v>2199.738494243908</v>
      </c>
      <c r="M197" s="462"/>
    </row>
    <row r="198" spans="2:13">
      <c r="B198" s="402"/>
      <c r="C198" s="475"/>
      <c r="D198" s="476"/>
      <c r="E198" s="476"/>
      <c r="F198" s="476"/>
      <c r="G198" s="476"/>
      <c r="H198" s="476"/>
      <c r="I198" s="476"/>
      <c r="J198" s="476"/>
      <c r="K198" s="476"/>
      <c r="L198" s="476"/>
      <c r="M198" s="476"/>
    </row>
    <row r="199" spans="2:13" ht="27" customHeight="1">
      <c r="B199" s="402"/>
      <c r="C199" s="528" t="s">
        <v>139</v>
      </c>
      <c r="D199" s="528"/>
      <c r="E199" s="528"/>
      <c r="F199" s="528"/>
      <c r="G199" s="528"/>
      <c r="H199" s="528"/>
      <c r="I199" s="528"/>
      <c r="J199" s="528"/>
      <c r="K199" s="528"/>
      <c r="L199" s="528"/>
      <c r="M199" s="402"/>
    </row>
    <row r="200" spans="2:13" ht="13.8" thickBot="1">
      <c r="B200" s="402"/>
      <c r="C200" s="448" t="s">
        <v>140</v>
      </c>
      <c r="D200" s="449"/>
      <c r="E200" s="530"/>
      <c r="F200" s="530"/>
      <c r="G200" s="450"/>
      <c r="H200" s="451"/>
      <c r="I200" s="402"/>
      <c r="J200" s="402"/>
      <c r="K200" s="402"/>
      <c r="L200" s="402"/>
      <c r="M200" s="402"/>
    </row>
    <row r="201" spans="2:13" ht="13.8" thickBot="1">
      <c r="B201" s="402"/>
      <c r="C201" s="448" t="s">
        <v>58</v>
      </c>
      <c r="D201" s="452" t="s">
        <v>59</v>
      </c>
      <c r="E201" s="452" t="s">
        <v>60</v>
      </c>
      <c r="F201" s="453" t="s">
        <v>61</v>
      </c>
      <c r="G201" s="453" t="s">
        <v>62</v>
      </c>
      <c r="H201" s="453" t="s">
        <v>63</v>
      </c>
      <c r="I201" s="453" t="s">
        <v>64</v>
      </c>
      <c r="J201" s="453" t="s">
        <v>65</v>
      </c>
      <c r="K201" s="453" t="s">
        <v>66</v>
      </c>
      <c r="L201" s="402"/>
      <c r="M201" s="402"/>
    </row>
    <row r="202" spans="2:13">
      <c r="B202" s="402"/>
      <c r="C202" s="454" t="s">
        <v>91</v>
      </c>
      <c r="D202" s="455">
        <f>'GT workings 19-20'!E155+'GT workings 19-20'!E211</f>
        <v>4605.8732415263748</v>
      </c>
      <c r="E202" s="455">
        <f>'GT workings 19-20'!F155+'GT workings 19-20'!F211</f>
        <v>4638.3842006338837</v>
      </c>
      <c r="F202" s="455">
        <f>'GT workings 19-20'!G155+'GT workings 19-20'!G211</f>
        <v>4636.2438905457948</v>
      </c>
      <c r="G202" s="455">
        <f>'GT workings 19-20'!H155+'GT workings 19-20'!H211</f>
        <v>4625.0537276148716</v>
      </c>
      <c r="H202" s="455">
        <f>'GT workings 19-20'!I155+'GT workings 19-20'!I211</f>
        <v>4623.9089505809579</v>
      </c>
      <c r="I202" s="455">
        <f>'GT workings 19-20'!J155+'GT workings 19-20'!J211</f>
        <v>4677.3945932526112</v>
      </c>
      <c r="J202" s="455">
        <f>'GT workings 19-20'!K155+'GT workings 19-20'!K211</f>
        <v>4685.794908014007</v>
      </c>
      <c r="K202" s="455">
        <f>'GT workings 19-20'!L155+'GT workings 19-20'!L211</f>
        <v>4632.2759119717812</v>
      </c>
      <c r="L202" s="402"/>
      <c r="M202" s="402"/>
    </row>
    <row r="203" spans="2:13">
      <c r="B203" s="402"/>
      <c r="C203" s="454" t="s">
        <v>86</v>
      </c>
      <c r="D203" s="455">
        <f>'GT workings 19-20'!E156+'GT workings 19-20'!E214</f>
        <v>189.06317465452261</v>
      </c>
      <c r="E203" s="455">
        <f>'GT workings 19-20'!F156+'GT workings 19-20'!F214</f>
        <v>160.0285487539156</v>
      </c>
      <c r="F203" s="455">
        <f>'GT workings 19-20'!G156+'GT workings 19-20'!G214</f>
        <v>154.71964336781087</v>
      </c>
      <c r="G203" s="455">
        <f>'GT workings 19-20'!H156+'GT workings 19-20'!H214</f>
        <v>169.10237051235114</v>
      </c>
      <c r="H203" s="455">
        <f>'GT workings 19-20'!I156+'GT workings 19-20'!I214</f>
        <v>227.8489819737357</v>
      </c>
      <c r="I203" s="455">
        <f>'GT workings 19-20'!J156+'GT workings 19-20'!J214</f>
        <v>188.04832933046742</v>
      </c>
      <c r="J203" s="455">
        <f>'GT workings 19-20'!K156+'GT workings 19-20'!K214</f>
        <v>130.69831581675822</v>
      </c>
      <c r="K203" s="455">
        <f>'GT workings 19-20'!L156+'GT workings 19-20'!L214</f>
        <v>113.4907797147097</v>
      </c>
      <c r="L203" s="402"/>
      <c r="M203" s="402"/>
    </row>
    <row r="204" spans="2:13">
      <c r="B204" s="402"/>
      <c r="C204" s="454" t="s">
        <v>87</v>
      </c>
      <c r="D204" s="455">
        <f>'GT workings 19-20'!E157+'GT workings 19-20'!E215</f>
        <v>-156.5522155470135</v>
      </c>
      <c r="E204" s="455">
        <f>'GT workings 19-20'!F157+'GT workings 19-20'!F215</f>
        <v>-162.16885884200437</v>
      </c>
      <c r="F204" s="455">
        <f>'GT workings 19-20'!G157+'GT workings 19-20'!G215</f>
        <v>-165.90980629873476</v>
      </c>
      <c r="G204" s="455">
        <f>'GT workings 19-20'!H157+'GT workings 19-20'!H215</f>
        <v>-170.24714754626476</v>
      </c>
      <c r="H204" s="455">
        <f>'GT workings 19-20'!I157+'GT workings 19-20'!I215</f>
        <v>-174.36333930208227</v>
      </c>
      <c r="I204" s="455">
        <f>'GT workings 19-20'!J157+'GT workings 19-20'!J215</f>
        <v>-179.64801456907196</v>
      </c>
      <c r="J204" s="455">
        <f>'GT workings 19-20'!K157+'GT workings 19-20'!K215</f>
        <v>-184.21731185898409</v>
      </c>
      <c r="K204" s="455">
        <f>'GT workings 19-20'!L157+'GT workings 19-20'!L215</f>
        <v>-185.73348150455189</v>
      </c>
      <c r="L204" s="402"/>
      <c r="M204" s="402"/>
    </row>
    <row r="205" spans="2:13" ht="13.8" thickBot="1">
      <c r="B205" s="402"/>
      <c r="C205" s="448" t="s">
        <v>94</v>
      </c>
      <c r="D205" s="461">
        <f>SUM(D202:D204)</f>
        <v>4638.3842006338837</v>
      </c>
      <c r="E205" s="461">
        <f>SUM(E202:E204)</f>
        <v>4636.2438905457948</v>
      </c>
      <c r="F205" s="461">
        <f>SUM(F202:F204)</f>
        <v>4625.0537276148707</v>
      </c>
      <c r="G205" s="461">
        <f t="shared" ref="G205:J205" si="31">SUM(G202:G204)</f>
        <v>4623.9089505809579</v>
      </c>
      <c r="H205" s="461">
        <f t="shared" si="31"/>
        <v>4677.3945932526121</v>
      </c>
      <c r="I205" s="461">
        <f t="shared" si="31"/>
        <v>4685.794908014007</v>
      </c>
      <c r="J205" s="461">
        <f t="shared" si="31"/>
        <v>4632.2759119717812</v>
      </c>
      <c r="K205" s="461">
        <f>SUM(K202:K204)</f>
        <v>4560.0332101819395</v>
      </c>
      <c r="L205" s="402"/>
      <c r="M205" s="402"/>
    </row>
    <row r="206" spans="2:13" ht="13.8" thickBot="1">
      <c r="B206" s="402"/>
      <c r="C206" s="448"/>
      <c r="D206" s="402"/>
      <c r="E206" s="402"/>
      <c r="F206" s="402"/>
      <c r="G206" s="402"/>
      <c r="H206" s="402"/>
      <c r="I206" s="402"/>
      <c r="J206" s="402"/>
      <c r="K206" s="402"/>
      <c r="L206" s="402"/>
      <c r="M206" s="402"/>
    </row>
    <row r="207" spans="2:13" ht="13.8" thickBot="1">
      <c r="B207" s="402"/>
      <c r="C207" s="448" t="s">
        <v>141</v>
      </c>
      <c r="D207" s="402"/>
      <c r="E207" s="402"/>
      <c r="F207" s="402"/>
      <c r="G207" s="402"/>
      <c r="H207" s="402"/>
      <c r="I207" s="402"/>
      <c r="J207" s="402"/>
      <c r="K207" s="402"/>
      <c r="L207" s="402"/>
      <c r="M207" s="402"/>
    </row>
    <row r="208" spans="2:13" ht="13.8" thickBot="1">
      <c r="B208" s="402"/>
      <c r="C208" s="448" t="s">
        <v>58</v>
      </c>
      <c r="D208" s="452" t="s">
        <v>59</v>
      </c>
      <c r="E208" s="452" t="s">
        <v>60</v>
      </c>
      <c r="F208" s="452" t="s">
        <v>61</v>
      </c>
      <c r="G208" s="452" t="s">
        <v>62</v>
      </c>
      <c r="H208" s="452" t="s">
        <v>63</v>
      </c>
      <c r="I208" s="452" t="s">
        <v>64</v>
      </c>
      <c r="J208" s="452" t="s">
        <v>65</v>
      </c>
      <c r="K208" s="452" t="s">
        <v>66</v>
      </c>
      <c r="L208" s="402"/>
      <c r="M208" s="402"/>
    </row>
    <row r="209" spans="2:13">
      <c r="B209" s="402"/>
      <c r="C209" s="454" t="s">
        <v>142</v>
      </c>
      <c r="D209" s="455">
        <f>'GT workings 19-20'!E139</f>
        <v>94.224999999999994</v>
      </c>
      <c r="E209" s="455">
        <f>'GT workings 19-20'!F139</f>
        <v>87.484999999999999</v>
      </c>
      <c r="F209" s="455">
        <f>'GT workings 19-20'!G139</f>
        <v>79.322999999999993</v>
      </c>
      <c r="G209" s="455">
        <f>'GT workings 19-20'!H139</f>
        <v>58.722999999999999</v>
      </c>
      <c r="H209" s="455">
        <f>'GT workings 19-20'!I139</f>
        <v>3.3000000000000002E-2</v>
      </c>
      <c r="I209" s="455">
        <f>'GT workings 19-20'!J139</f>
        <v>3.3000000000000002E-2</v>
      </c>
      <c r="J209" s="455">
        <f>'GT workings 19-20'!K139</f>
        <v>0</v>
      </c>
      <c r="K209" s="455">
        <f>'GT workings 19-20'!L139</f>
        <v>0</v>
      </c>
      <c r="L209" s="402"/>
      <c r="M209" s="402"/>
    </row>
    <row r="210" spans="2:13" ht="13.8" thickBot="1">
      <c r="B210" s="402"/>
      <c r="C210" s="450" t="s">
        <v>143</v>
      </c>
      <c r="D210" s="477">
        <f>'GT workings 19-20'!E194</f>
        <v>1.5889649604528906</v>
      </c>
      <c r="E210" s="477">
        <f>'GT workings 19-20'!F194</f>
        <v>1.9371656435515117</v>
      </c>
      <c r="F210" s="477">
        <f>'GT workings 19-20'!G194</f>
        <v>1.9547226953643968</v>
      </c>
      <c r="G210" s="477">
        <f>'GT workings 19-20'!H194</f>
        <v>1.9724388714470038</v>
      </c>
      <c r="H210" s="477">
        <f>'GT workings 19-20'!I194</f>
        <v>13.932209297896886</v>
      </c>
      <c r="I210" s="477">
        <f>'GT workings 19-20'!J194</f>
        <v>18.476860279771643</v>
      </c>
      <c r="J210" s="477">
        <f>'GT workings 19-20'!K194</f>
        <v>0.81062265305823133</v>
      </c>
      <c r="K210" s="477">
        <f>'GT workings 19-20'!L194</f>
        <v>0</v>
      </c>
      <c r="L210" s="402"/>
      <c r="M210" s="402"/>
    </row>
    <row r="211" spans="2:13">
      <c r="B211" s="402"/>
      <c r="C211" s="402"/>
      <c r="D211" s="402"/>
      <c r="E211" s="402"/>
      <c r="F211" s="402"/>
      <c r="G211" s="402"/>
      <c r="H211" s="402"/>
      <c r="I211" s="402"/>
      <c r="J211" s="402"/>
      <c r="K211" s="402"/>
      <c r="L211" s="402"/>
      <c r="M211" s="402"/>
    </row>
    <row r="214" spans="2:13">
      <c r="D214" s="407"/>
      <c r="E214" s="407"/>
      <c r="F214" s="407"/>
      <c r="G214" s="407"/>
      <c r="H214" s="407"/>
      <c r="I214" s="407"/>
      <c r="J214" s="407"/>
      <c r="K214" s="407"/>
    </row>
  </sheetData>
  <mergeCells count="21">
    <mergeCell ref="E179:F179"/>
    <mergeCell ref="C199:L199"/>
    <mergeCell ref="E200:F200"/>
    <mergeCell ref="C138:L138"/>
    <mergeCell ref="E139:F139"/>
    <mergeCell ref="C149:L149"/>
    <mergeCell ref="E151:F151"/>
    <mergeCell ref="C164:L164"/>
    <mergeCell ref="C177:L177"/>
    <mergeCell ref="E121:F121"/>
    <mergeCell ref="C4:E4"/>
    <mergeCell ref="C18:E18"/>
    <mergeCell ref="C46:L46"/>
    <mergeCell ref="E48:F48"/>
    <mergeCell ref="C67:L67"/>
    <mergeCell ref="E68:F68"/>
    <mergeCell ref="E78:F78"/>
    <mergeCell ref="C89:L89"/>
    <mergeCell ref="E91:F91"/>
    <mergeCell ref="C105:L105"/>
    <mergeCell ref="C119:L119"/>
  </mergeCells>
  <pageMargins left="0.7" right="0.7" top="0.75" bottom="0.75" header="0.3" footer="0.3"/>
  <pageSetup paperSize="9" orientation="portrait" r:id="rId1"/>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7240-33C7-46D3-AF89-3F29F8C2BA01}">
  <sheetPr>
    <tabColor theme="9"/>
  </sheetPr>
  <dimension ref="B1:AG216"/>
  <sheetViews>
    <sheetView showGridLines="0" topLeftCell="A157" zoomScaleNormal="100" workbookViewId="0">
      <selection activeCell="C188" sqref="C188:D188"/>
    </sheetView>
  </sheetViews>
  <sheetFormatPr defaultColWidth="9.109375" defaultRowHeight="13.2"/>
  <cols>
    <col min="1" max="1" width="2.5546875" style="372" customWidth="1"/>
    <col min="2" max="2" width="3.109375" style="372" customWidth="1"/>
    <col min="3" max="3" width="42.5546875" style="372" customWidth="1"/>
    <col min="4" max="4" width="11.88671875" style="372" customWidth="1"/>
    <col min="5" max="5" width="12.44140625" style="372" customWidth="1"/>
    <col min="6" max="6" width="10.6640625" style="372" customWidth="1"/>
    <col min="7" max="7" width="12.44140625" style="372" customWidth="1"/>
    <col min="8" max="11" width="10.6640625" style="372" customWidth="1"/>
    <col min="12" max="12" width="10.6640625" style="373" customWidth="1"/>
    <col min="13" max="13" width="9.109375" style="372"/>
    <col min="14" max="14" width="10.5546875" style="372" customWidth="1"/>
    <col min="15" max="18" width="9.109375" style="372"/>
    <col min="19" max="20" width="9.109375" style="372" customWidth="1"/>
    <col min="21" max="16384" width="9.109375" style="372"/>
  </cols>
  <sheetData>
    <row r="1" spans="2:6" ht="15.6">
      <c r="B1" s="399"/>
      <c r="C1" s="399"/>
    </row>
    <row r="2" spans="2:6" ht="23.4">
      <c r="B2" s="400">
        <v>1</v>
      </c>
      <c r="C2" s="400" t="s">
        <v>18</v>
      </c>
      <c r="D2" s="401"/>
      <c r="E2" s="402"/>
    </row>
    <row r="3" spans="2:6" ht="30.75" customHeight="1">
      <c r="B3" s="400"/>
      <c r="C3" s="531" t="s">
        <v>144</v>
      </c>
      <c r="D3" s="528"/>
      <c r="E3" s="528"/>
    </row>
    <row r="4" spans="2:6">
      <c r="B4" s="402"/>
      <c r="C4" s="402"/>
      <c r="D4" s="402"/>
      <c r="E4" s="402"/>
    </row>
    <row r="5" spans="2:6" ht="31.8" thickBot="1">
      <c r="B5" s="402"/>
      <c r="C5" s="415" t="s">
        <v>145</v>
      </c>
      <c r="D5" s="416" t="s">
        <v>21</v>
      </c>
      <c r="E5" s="402"/>
    </row>
    <row r="6" spans="2:6" ht="15.6">
      <c r="B6" s="402"/>
      <c r="C6" s="431" t="s">
        <v>22</v>
      </c>
      <c r="D6" s="433" t="s">
        <v>146</v>
      </c>
      <c r="E6" s="402"/>
    </row>
    <row r="7" spans="2:6" ht="15.6">
      <c r="B7" s="402"/>
      <c r="C7" s="432" t="s">
        <v>24</v>
      </c>
      <c r="D7" s="434" t="s">
        <v>25</v>
      </c>
      <c r="E7" s="402"/>
    </row>
    <row r="8" spans="2:6" ht="15.6">
      <c r="B8" s="402"/>
      <c r="C8" s="432" t="s">
        <v>26</v>
      </c>
      <c r="D8" s="434" t="s">
        <v>147</v>
      </c>
      <c r="E8" s="402"/>
    </row>
    <row r="9" spans="2:6" ht="15.6">
      <c r="B9" s="402"/>
      <c r="C9" s="432" t="s">
        <v>30</v>
      </c>
      <c r="D9" s="434" t="s">
        <v>148</v>
      </c>
      <c r="E9" s="402"/>
    </row>
    <row r="10" spans="2:6" ht="15.6">
      <c r="B10" s="402"/>
      <c r="C10" s="432" t="s">
        <v>34</v>
      </c>
      <c r="D10" s="434" t="s">
        <v>149</v>
      </c>
      <c r="E10" s="402"/>
    </row>
    <row r="11" spans="2:6" ht="15.6">
      <c r="B11" s="402"/>
      <c r="C11" s="432" t="s">
        <v>35</v>
      </c>
      <c r="D11" s="434" t="s">
        <v>150</v>
      </c>
      <c r="E11" s="402"/>
    </row>
    <row r="12" spans="2:6">
      <c r="B12" s="402"/>
      <c r="C12" s="402"/>
      <c r="D12" s="402"/>
      <c r="E12" s="402"/>
    </row>
    <row r="14" spans="2:6" ht="23.4">
      <c r="B14" s="400">
        <v>2</v>
      </c>
      <c r="C14" s="430" t="s">
        <v>37</v>
      </c>
      <c r="D14" s="402"/>
      <c r="E14" s="402"/>
      <c r="F14" s="402"/>
    </row>
    <row r="15" spans="2:6" ht="69.75" customHeight="1">
      <c r="B15" s="400"/>
      <c r="C15" s="531" t="s">
        <v>151</v>
      </c>
      <c r="D15" s="528"/>
      <c r="E15" s="528"/>
      <c r="F15" s="402"/>
    </row>
    <row r="16" spans="2:6" ht="6" customHeight="1">
      <c r="B16" s="402"/>
      <c r="C16" s="402"/>
      <c r="D16" s="402"/>
      <c r="E16" s="402"/>
      <c r="F16" s="402"/>
    </row>
    <row r="17" spans="2:24" ht="28.2" thickBot="1">
      <c r="B17" s="402"/>
      <c r="C17" s="517" t="s">
        <v>152</v>
      </c>
      <c r="D17" s="518" t="s">
        <v>40</v>
      </c>
      <c r="E17" s="518" t="s">
        <v>41</v>
      </c>
      <c r="F17" s="402"/>
      <c r="S17" s="374"/>
      <c r="T17" s="375"/>
      <c r="U17" s="375"/>
    </row>
    <row r="18" spans="2:24" ht="12.75" customHeight="1">
      <c r="B18" s="402"/>
      <c r="C18" s="511" t="s">
        <v>42</v>
      </c>
      <c r="D18" s="512">
        <f>'ET workings 19-20'!V16/1000</f>
        <v>1.1994086965135378</v>
      </c>
      <c r="E18" s="512">
        <f t="shared" ref="E18:E23" si="0">L192/1000</f>
        <v>0.99074235280407696</v>
      </c>
      <c r="F18" s="402"/>
      <c r="S18" s="376"/>
      <c r="T18" s="377"/>
      <c r="U18" s="377"/>
      <c r="W18" s="378"/>
      <c r="X18" s="378"/>
    </row>
    <row r="19" spans="2:24" ht="12.75" customHeight="1">
      <c r="B19" s="402"/>
      <c r="C19" s="513" t="s">
        <v>43</v>
      </c>
      <c r="D19" s="514">
        <f>'ET workings 19-20'!V17/1000</f>
        <v>5.6702160055927129</v>
      </c>
      <c r="E19" s="514">
        <f t="shared" si="0"/>
        <v>4.4564174806639745</v>
      </c>
      <c r="F19" s="402"/>
      <c r="S19" s="376"/>
      <c r="T19" s="377"/>
      <c r="U19" s="377"/>
      <c r="W19" s="378"/>
      <c r="X19" s="378"/>
    </row>
    <row r="20" spans="2:24" ht="12.75" customHeight="1">
      <c r="B20" s="402"/>
      <c r="C20" s="513" t="s">
        <v>44</v>
      </c>
      <c r="D20" s="514">
        <f>'ET workings 19-20'!V21/1000</f>
        <v>3.4528872289518895</v>
      </c>
      <c r="E20" s="514">
        <f t="shared" si="0"/>
        <v>2.762273256222862</v>
      </c>
      <c r="F20" s="402"/>
      <c r="S20" s="376"/>
      <c r="T20" s="377"/>
      <c r="U20" s="377"/>
      <c r="W20" s="378"/>
      <c r="X20" s="378"/>
    </row>
    <row r="21" spans="2:24" ht="12.75" customHeight="1">
      <c r="B21" s="402"/>
      <c r="C21" s="513" t="s">
        <v>45</v>
      </c>
      <c r="D21" s="514">
        <f>'ET workings 19-20'!V22/1000</f>
        <v>0.15176832022291556</v>
      </c>
      <c r="E21" s="514">
        <f t="shared" si="0"/>
        <v>0.11780517721423507</v>
      </c>
      <c r="F21" s="402"/>
      <c r="S21" s="376"/>
      <c r="T21" s="377"/>
      <c r="U21" s="377"/>
      <c r="W21" s="378"/>
      <c r="X21" s="378"/>
    </row>
    <row r="22" spans="2:24" ht="12.75" customHeight="1">
      <c r="B22" s="402"/>
      <c r="C22" s="513" t="s">
        <v>46</v>
      </c>
      <c r="D22" s="514">
        <f>'ET workings 19-20'!V18/1000</f>
        <v>2.059426579551566</v>
      </c>
      <c r="E22" s="514">
        <f t="shared" si="0"/>
        <v>1.623853135909078</v>
      </c>
      <c r="F22" s="402"/>
      <c r="S22" s="376"/>
      <c r="T22" s="377"/>
      <c r="U22" s="377"/>
      <c r="W22" s="378"/>
      <c r="X22" s="378"/>
    </row>
    <row r="23" spans="2:24" ht="12.75" customHeight="1">
      <c r="B23" s="402"/>
      <c r="C23" s="513" t="s">
        <v>47</v>
      </c>
      <c r="D23" s="514">
        <f>SUMPRODUCT(D197:K197,'ET workings 19-20'!N1:U1)/1000</f>
        <v>-1.0519092804923291</v>
      </c>
      <c r="E23" s="514">
        <f t="shared" si="0"/>
        <v>-0.86779222160388303</v>
      </c>
      <c r="F23" s="402"/>
      <c r="S23" s="376"/>
      <c r="T23" s="377"/>
      <c r="U23" s="377"/>
      <c r="W23" s="378"/>
      <c r="X23" s="378"/>
    </row>
    <row r="24" spans="2:24" ht="12.75" customHeight="1">
      <c r="B24" s="402"/>
      <c r="C24" s="515" t="s">
        <v>48</v>
      </c>
      <c r="D24" s="516">
        <f>SUM(D18:D23)</f>
        <v>11.481797550340293</v>
      </c>
      <c r="E24" s="516">
        <f>SUM(E18:E23)</f>
        <v>9.083299181210343</v>
      </c>
      <c r="F24" s="402"/>
      <c r="S24" s="379"/>
      <c r="T24" s="380"/>
      <c r="U24" s="380"/>
      <c r="W24" s="378"/>
      <c r="X24" s="378"/>
    </row>
    <row r="25" spans="2:24" ht="12.75" customHeight="1">
      <c r="B25" s="402"/>
      <c r="C25" s="513"/>
      <c r="D25" s="514"/>
      <c r="E25" s="514"/>
      <c r="F25" s="402"/>
      <c r="S25" s="381"/>
      <c r="T25" s="382"/>
      <c r="U25" s="382"/>
      <c r="W25" s="378"/>
      <c r="X25" s="378"/>
    </row>
    <row r="26" spans="2:24" ht="12.75" customHeight="1">
      <c r="B26" s="402"/>
      <c r="C26" s="513" t="s">
        <v>49</v>
      </c>
      <c r="D26" s="514">
        <f>('ET workings 19-20'!V8+'ET workings 19-20'!V12)/1000</f>
        <v>0.41917089617289344</v>
      </c>
      <c r="E26" s="514">
        <f>L201/1000</f>
        <v>0.33099815596060211</v>
      </c>
      <c r="F26" s="402"/>
      <c r="S26" s="376"/>
      <c r="T26" s="377"/>
      <c r="U26" s="377"/>
      <c r="W26" s="378"/>
      <c r="X26" s="378"/>
    </row>
    <row r="27" spans="2:24" ht="12.75" customHeight="1">
      <c r="B27" s="402"/>
      <c r="C27" s="513" t="s">
        <v>46</v>
      </c>
      <c r="D27" s="514">
        <f>('ET workings 19-20'!V7+'ET workings 19-20'!V13)/1000</f>
        <v>0.91906065002305404</v>
      </c>
      <c r="E27" s="514">
        <f>L202/1000</f>
        <v>0.72152920236413887</v>
      </c>
      <c r="F27" s="402"/>
      <c r="S27" s="376"/>
      <c r="T27" s="377"/>
      <c r="U27" s="377"/>
      <c r="W27" s="378"/>
      <c r="X27" s="378"/>
    </row>
    <row r="28" spans="2:24" ht="12.75" customHeight="1">
      <c r="B28" s="402"/>
      <c r="C28" s="513" t="s">
        <v>47</v>
      </c>
      <c r="D28" s="514">
        <f>SUMPRODUCT(D203:K203,'ET workings 19-20'!N1:U1)/1000</f>
        <v>-1.0000181430748266E-3</v>
      </c>
      <c r="E28" s="514">
        <f>L203/1000</f>
        <v>-1.3149482279185207E-3</v>
      </c>
      <c r="F28" s="402"/>
      <c r="S28" s="376"/>
      <c r="T28" s="377"/>
      <c r="U28" s="377"/>
      <c r="W28" s="378"/>
      <c r="X28" s="378"/>
    </row>
    <row r="29" spans="2:24" ht="12.75" customHeight="1">
      <c r="B29" s="402"/>
      <c r="C29" s="515" t="s">
        <v>50</v>
      </c>
      <c r="D29" s="516">
        <f>SUM(D26:D28)</f>
        <v>1.3372315280528726</v>
      </c>
      <c r="E29" s="516">
        <f>SUM(E26:E28)</f>
        <v>1.0512124100968225</v>
      </c>
      <c r="F29" s="402"/>
      <c r="S29" s="379"/>
      <c r="T29" s="380"/>
      <c r="U29" s="380"/>
      <c r="W29" s="378"/>
      <c r="X29" s="378"/>
    </row>
    <row r="30" spans="2:24" ht="12.75" customHeight="1">
      <c r="B30" s="402"/>
      <c r="C30" s="513"/>
      <c r="D30" s="514"/>
      <c r="E30" s="514"/>
      <c r="F30" s="402"/>
      <c r="S30" s="383"/>
      <c r="T30" s="382"/>
      <c r="U30" s="382"/>
      <c r="W30" s="378"/>
      <c r="X30" s="378"/>
    </row>
    <row r="31" spans="2:24" ht="12.75" customHeight="1">
      <c r="B31" s="402"/>
      <c r="C31" s="515" t="s">
        <v>153</v>
      </c>
      <c r="D31" s="516">
        <f>D24+D29</f>
        <v>12.819029078393164</v>
      </c>
      <c r="E31" s="516">
        <f>E24+E29</f>
        <v>10.134511591307165</v>
      </c>
      <c r="F31" s="402"/>
      <c r="S31" s="379"/>
      <c r="T31" s="380"/>
      <c r="U31" s="380"/>
      <c r="W31" s="378"/>
      <c r="X31" s="378"/>
    </row>
    <row r="32" spans="2:24" ht="12.75" customHeight="1">
      <c r="B32" s="402"/>
      <c r="C32" s="513"/>
      <c r="D32" s="514"/>
      <c r="E32" s="514"/>
      <c r="F32" s="402"/>
      <c r="S32" s="383"/>
      <c r="T32" s="382"/>
      <c r="U32" s="382"/>
      <c r="W32" s="378"/>
      <c r="X32" s="378"/>
    </row>
    <row r="33" spans="2:24" ht="12.75" customHeight="1">
      <c r="B33" s="402"/>
      <c r="C33" s="513" t="s">
        <v>52</v>
      </c>
      <c r="D33" s="514">
        <f>'ET workings 19-20'!V27/1000</f>
        <v>0.89600792714876998</v>
      </c>
      <c r="E33" s="514">
        <f>L199/1000</f>
        <v>0.70798416071864323</v>
      </c>
      <c r="F33" s="402"/>
      <c r="S33" s="376"/>
      <c r="T33" s="377"/>
      <c r="U33" s="377"/>
      <c r="W33" s="378"/>
      <c r="X33" s="378"/>
    </row>
    <row r="34" spans="2:24" ht="12.75" customHeight="1">
      <c r="B34" s="402"/>
      <c r="C34" s="513"/>
      <c r="D34" s="514"/>
      <c r="E34" s="514"/>
      <c r="F34" s="402"/>
      <c r="S34" s="376"/>
      <c r="T34" s="377"/>
      <c r="U34" s="377"/>
      <c r="W34" s="378"/>
      <c r="X34" s="378"/>
    </row>
    <row r="35" spans="2:24" ht="12.75" customHeight="1">
      <c r="B35" s="402"/>
      <c r="C35" s="515" t="s">
        <v>53</v>
      </c>
      <c r="D35" s="516">
        <f>E35*'ET workings 19-20'!N3</f>
        <v>10.190343073497942</v>
      </c>
      <c r="E35" s="516">
        <f>D210/1000</f>
        <v>8.8650145032674477</v>
      </c>
      <c r="F35" s="402"/>
      <c r="S35" s="379"/>
      <c r="T35" s="380"/>
      <c r="U35" s="380"/>
      <c r="W35" s="378"/>
      <c r="X35" s="378"/>
    </row>
    <row r="36" spans="2:24" ht="12.75" customHeight="1">
      <c r="B36" s="402"/>
      <c r="C36" s="515" t="s">
        <v>54</v>
      </c>
      <c r="D36" s="516">
        <f>E36*'ET workings 19-20'!U2</f>
        <v>16.102649519694218</v>
      </c>
      <c r="E36" s="516">
        <f>K214/1000</f>
        <v>11.425015877768697</v>
      </c>
      <c r="F36" s="402"/>
      <c r="G36" s="384"/>
      <c r="I36" s="384"/>
      <c r="S36" s="379"/>
      <c r="T36" s="380"/>
      <c r="U36" s="380"/>
      <c r="W36" s="378"/>
      <c r="X36" s="378"/>
    </row>
    <row r="37" spans="2:24">
      <c r="B37" s="402"/>
      <c r="C37" s="402"/>
      <c r="D37" s="402"/>
      <c r="E37" s="402"/>
      <c r="F37" s="402"/>
      <c r="H37" s="384"/>
      <c r="I37" s="385"/>
    </row>
    <row r="38" spans="2:24">
      <c r="H38" s="384"/>
      <c r="I38" s="385"/>
    </row>
    <row r="39" spans="2:24" ht="23.4">
      <c r="B39" s="400">
        <v>3</v>
      </c>
      <c r="C39" s="430" t="s">
        <v>154</v>
      </c>
      <c r="D39" s="402"/>
      <c r="E39" s="402"/>
      <c r="F39" s="402"/>
      <c r="G39" s="402"/>
      <c r="H39" s="470"/>
      <c r="I39" s="488"/>
      <c r="J39" s="402"/>
      <c r="K39" s="402"/>
      <c r="L39" s="466"/>
      <c r="M39" s="402"/>
    </row>
    <row r="40" spans="2:24" ht="116.25" customHeight="1">
      <c r="B40" s="400"/>
      <c r="C40" s="528" t="s">
        <v>155</v>
      </c>
      <c r="D40" s="529"/>
      <c r="E40" s="529"/>
      <c r="F40" s="529"/>
      <c r="G40" s="529"/>
      <c r="H40" s="529"/>
      <c r="I40" s="529"/>
      <c r="J40" s="529"/>
      <c r="K40" s="529"/>
      <c r="L40" s="529"/>
      <c r="M40" s="402"/>
    </row>
    <row r="41" spans="2:24">
      <c r="B41" s="402"/>
      <c r="C41" s="402"/>
      <c r="D41" s="402"/>
      <c r="E41" s="402"/>
      <c r="F41" s="402"/>
      <c r="G41" s="402"/>
      <c r="H41" s="402"/>
      <c r="I41" s="402"/>
      <c r="J41" s="402"/>
      <c r="K41" s="402"/>
      <c r="L41" s="466"/>
      <c r="M41" s="402"/>
    </row>
    <row r="42" spans="2:24" ht="13.8" thickBot="1">
      <c r="B42" s="402"/>
      <c r="C42" s="448" t="s">
        <v>156</v>
      </c>
      <c r="D42" s="449"/>
      <c r="E42" s="530"/>
      <c r="F42" s="530"/>
      <c r="G42" s="450"/>
      <c r="H42" s="451"/>
      <c r="I42" s="451"/>
      <c r="J42" s="451"/>
      <c r="K42" s="402"/>
      <c r="L42" s="402"/>
      <c r="M42" s="402"/>
      <c r="N42" s="386"/>
      <c r="O42" s="386"/>
    </row>
    <row r="43" spans="2:24" ht="13.8" thickBot="1">
      <c r="B43" s="402"/>
      <c r="C43" s="448" t="s">
        <v>58</v>
      </c>
      <c r="D43" s="452" t="s">
        <v>59</v>
      </c>
      <c r="E43" s="452" t="s">
        <v>60</v>
      </c>
      <c r="F43" s="453" t="s">
        <v>61</v>
      </c>
      <c r="G43" s="453" t="s">
        <v>62</v>
      </c>
      <c r="H43" s="453" t="s">
        <v>63</v>
      </c>
      <c r="I43" s="453" t="s">
        <v>64</v>
      </c>
      <c r="J43" s="453" t="s">
        <v>65</v>
      </c>
      <c r="K43" s="453" t="s">
        <v>66</v>
      </c>
      <c r="L43" s="453" t="s">
        <v>118</v>
      </c>
      <c r="M43" s="402"/>
    </row>
    <row r="44" spans="2:24">
      <c r="B44" s="402"/>
      <c r="C44" s="454"/>
      <c r="D44" s="455"/>
      <c r="E44" s="455"/>
      <c r="F44" s="455"/>
      <c r="G44" s="455"/>
      <c r="H44" s="455"/>
      <c r="I44" s="455"/>
      <c r="J44" s="455"/>
      <c r="K44" s="455"/>
      <c r="L44" s="454"/>
      <c r="M44" s="402"/>
    </row>
    <row r="45" spans="2:24">
      <c r="B45" s="402"/>
      <c r="C45" s="454" t="s">
        <v>157</v>
      </c>
      <c r="D45" s="455">
        <v>1390.4952308352754</v>
      </c>
      <c r="E45" s="455">
        <v>1528.8674895584477</v>
      </c>
      <c r="F45" s="455">
        <v>1447.2834725272048</v>
      </c>
      <c r="G45" s="455">
        <v>1365.8631230980088</v>
      </c>
      <c r="H45" s="455">
        <v>1141.9096981529601</v>
      </c>
      <c r="I45" s="455">
        <v>1088.8097022275799</v>
      </c>
      <c r="J45" s="455">
        <v>938.07112341239144</v>
      </c>
      <c r="K45" s="455">
        <v>766.03445815756584</v>
      </c>
      <c r="L45" s="479">
        <f>SUM(D45:K45)</f>
        <v>9667.3342979694353</v>
      </c>
      <c r="M45" s="402"/>
    </row>
    <row r="46" spans="2:24">
      <c r="B46" s="402"/>
      <c r="C46" s="454" t="s">
        <v>70</v>
      </c>
      <c r="D46" s="455">
        <v>192.21282629439594</v>
      </c>
      <c r="E46" s="455">
        <v>196.41204072355288</v>
      </c>
      <c r="F46" s="455">
        <v>203.04710659109347</v>
      </c>
      <c r="G46" s="455">
        <v>204.35171680440774</v>
      </c>
      <c r="H46" s="455">
        <v>205.72203973741003</v>
      </c>
      <c r="I46" s="455">
        <v>206.0644404839947</v>
      </c>
      <c r="J46" s="455">
        <v>207.83890997781467</v>
      </c>
      <c r="K46" s="455">
        <v>208.20405529640865</v>
      </c>
      <c r="L46" s="479">
        <f t="shared" ref="L46:L49" si="1">SUM(D46:K46)</f>
        <v>1623.853135909078</v>
      </c>
      <c r="M46" s="402"/>
    </row>
    <row r="47" spans="2:24">
      <c r="B47" s="402"/>
      <c r="C47" s="454" t="s">
        <v>158</v>
      </c>
      <c r="D47" s="455">
        <v>1582.7080571296713</v>
      </c>
      <c r="E47" s="455">
        <v>1725.2795302820005</v>
      </c>
      <c r="F47" s="455">
        <v>1650.3305791182984</v>
      </c>
      <c r="G47" s="455">
        <v>1570.2148399024165</v>
      </c>
      <c r="H47" s="455">
        <v>1347.6317378903702</v>
      </c>
      <c r="I47" s="455">
        <v>1294.8741427115747</v>
      </c>
      <c r="J47" s="455">
        <v>1145.9100333902061</v>
      </c>
      <c r="K47" s="455">
        <v>974.23851345397497</v>
      </c>
      <c r="L47" s="479">
        <f>SUM(D47:K47)</f>
        <v>11291.187433878511</v>
      </c>
      <c r="M47" s="402"/>
    </row>
    <row r="48" spans="2:24">
      <c r="B48" s="402"/>
      <c r="C48" s="457" t="s">
        <v>72</v>
      </c>
      <c r="D48" s="458">
        <f>D49-D47</f>
        <v>-45.561643016173093</v>
      </c>
      <c r="E48" s="458">
        <f t="shared" ref="E48:K48" si="2">E49-E47</f>
        <v>-373.43661980095817</v>
      </c>
      <c r="F48" s="458">
        <f t="shared" si="2"/>
        <v>-453.8811757427145</v>
      </c>
      <c r="G48" s="458">
        <f t="shared" si="2"/>
        <v>-400.91640137444892</v>
      </c>
      <c r="H48" s="458">
        <f t="shared" si="2"/>
        <v>-136.54355097466646</v>
      </c>
      <c r="I48" s="458">
        <f t="shared" si="2"/>
        <v>77.979664771220541</v>
      </c>
      <c r="J48" s="458">
        <f t="shared" si="2"/>
        <v>-33.201783173442891</v>
      </c>
      <c r="K48" s="458">
        <f t="shared" si="2"/>
        <v>25.465478246897192</v>
      </c>
      <c r="L48" s="456">
        <f t="shared" si="1"/>
        <v>-1340.0960310642863</v>
      </c>
      <c r="M48" s="402"/>
    </row>
    <row r="49" spans="2:15">
      <c r="B49" s="402"/>
      <c r="C49" s="454" t="s">
        <v>73</v>
      </c>
      <c r="D49" s="455">
        <f>'ET workings 19-20'!D24</f>
        <v>1537.1464141134982</v>
      </c>
      <c r="E49" s="455">
        <f>'ET workings 19-20'!E24</f>
        <v>1351.8429104810423</v>
      </c>
      <c r="F49" s="455">
        <f>'ET workings 19-20'!F24</f>
        <v>1196.4494033755839</v>
      </c>
      <c r="G49" s="455">
        <f>'ET workings 19-20'!G24</f>
        <v>1169.2984385279676</v>
      </c>
      <c r="H49" s="455">
        <f>'ET workings 19-20'!H24</f>
        <v>1211.0881869157038</v>
      </c>
      <c r="I49" s="455">
        <f>'ET workings 19-20'!I24</f>
        <v>1372.8538074827952</v>
      </c>
      <c r="J49" s="455">
        <f>'ET workings 19-20'!J24</f>
        <v>1112.7082502167632</v>
      </c>
      <c r="K49" s="455">
        <f>'ET workings 19-20'!K24</f>
        <v>999.70399170087217</v>
      </c>
      <c r="L49" s="479">
        <f t="shared" si="1"/>
        <v>9951.0914028142251</v>
      </c>
      <c r="M49" s="402"/>
    </row>
    <row r="50" spans="2:15">
      <c r="B50" s="402"/>
      <c r="C50" s="459"/>
      <c r="D50" s="460"/>
      <c r="E50" s="460"/>
      <c r="F50" s="460"/>
      <c r="G50" s="460"/>
      <c r="H50" s="460"/>
      <c r="I50" s="460"/>
      <c r="J50" s="460"/>
      <c r="K50" s="460"/>
      <c r="L50" s="460"/>
      <c r="M50" s="402"/>
    </row>
    <row r="51" spans="2:15">
      <c r="B51" s="402"/>
      <c r="C51" s="454" t="s">
        <v>121</v>
      </c>
      <c r="D51" s="455">
        <f>'ET workings 19-20'!D39+'ET workings 19-20'!D40</f>
        <v>998.91466310321562</v>
      </c>
      <c r="E51" s="455">
        <f>'ET workings 19-20'!E39+'ET workings 19-20'!E40</f>
        <v>678.97502740292248</v>
      </c>
      <c r="F51" s="455">
        <f>'ET workings 19-20'!F39+'ET workings 19-20'!F40</f>
        <v>742.45299811948519</v>
      </c>
      <c r="G51" s="455">
        <f>'ET workings 19-20'!G39+'ET workings 19-20'!G40</f>
        <v>699.21400368222703</v>
      </c>
      <c r="H51" s="455">
        <f>'ET workings 19-20'!H39+'ET workings 19-20'!H40</f>
        <v>620.4895563716359</v>
      </c>
      <c r="I51" s="455">
        <f>'ET workings 19-20'!I39+'ET workings 19-20'!I40</f>
        <v>1135.0779846541041</v>
      </c>
      <c r="J51" s="455">
        <f>'ET workings 19-20'!J39+'ET workings 19-20'!J40</f>
        <v>889.76568174543809</v>
      </c>
      <c r="K51" s="455">
        <f>'ET workings 19-20'!K39+'ET workings 19-20'!K40</f>
        <v>785.46841467535728</v>
      </c>
      <c r="L51" s="479">
        <f>SUM(D51:K51)</f>
        <v>6550.3583297543855</v>
      </c>
      <c r="M51" s="402"/>
    </row>
    <row r="52" spans="2:15">
      <c r="B52" s="402"/>
      <c r="C52" s="454" t="s">
        <v>76</v>
      </c>
      <c r="D52" s="455">
        <f>'ET workings 19-20'!D41</f>
        <v>205.79764574271053</v>
      </c>
      <c r="E52" s="455">
        <f>'ET workings 19-20'!E41</f>
        <v>225.57798057867012</v>
      </c>
      <c r="F52" s="455">
        <f>'ET workings 19-20'!F41</f>
        <v>229.53296594785181</v>
      </c>
      <c r="G52" s="455">
        <f>'ET workings 19-20'!G41</f>
        <v>210.576624426726</v>
      </c>
      <c r="H52" s="455">
        <f>'ET workings 19-20'!H41</f>
        <v>216.9500736914016</v>
      </c>
      <c r="I52" s="455">
        <f>'ET workings 19-20'!I41</f>
        <v>237.77582282869142</v>
      </c>
      <c r="J52" s="455">
        <f>'ET workings 19-20'!J41</f>
        <v>222.9425684713251</v>
      </c>
      <c r="K52" s="455">
        <f>'ET workings 19-20'!K41</f>
        <v>214.2355770255148</v>
      </c>
      <c r="L52" s="479">
        <f t="shared" ref="L52:L53" si="3">SUM(D52:K52)</f>
        <v>1763.3892587128914</v>
      </c>
      <c r="M52" s="402"/>
    </row>
    <row r="53" spans="2:15">
      <c r="B53" s="402"/>
      <c r="C53" s="457" t="s">
        <v>77</v>
      </c>
      <c r="D53" s="458">
        <f>SUM(D51:D52)</f>
        <v>1204.7123088459261</v>
      </c>
      <c r="E53" s="458">
        <f t="shared" ref="E53:K53" si="4">SUM(E51:E52)</f>
        <v>904.5530079815926</v>
      </c>
      <c r="F53" s="458">
        <f t="shared" si="4"/>
        <v>971.98596406733702</v>
      </c>
      <c r="G53" s="458">
        <f t="shared" si="4"/>
        <v>909.790628108953</v>
      </c>
      <c r="H53" s="458">
        <f t="shared" si="4"/>
        <v>837.4396300630375</v>
      </c>
      <c r="I53" s="458">
        <f t="shared" si="4"/>
        <v>1372.8538074827954</v>
      </c>
      <c r="J53" s="458">
        <f t="shared" si="4"/>
        <v>1112.7082502167632</v>
      </c>
      <c r="K53" s="458">
        <f t="shared" si="4"/>
        <v>999.70399170087205</v>
      </c>
      <c r="L53" s="456">
        <f t="shared" si="3"/>
        <v>8313.7475884672767</v>
      </c>
      <c r="M53" s="402"/>
    </row>
    <row r="54" spans="2:15">
      <c r="B54" s="402"/>
      <c r="C54" s="459"/>
      <c r="D54" s="460"/>
      <c r="E54" s="460"/>
      <c r="F54" s="460"/>
      <c r="G54" s="460"/>
      <c r="H54" s="460"/>
      <c r="I54" s="460"/>
      <c r="J54" s="460"/>
      <c r="K54" s="460"/>
      <c r="L54" s="460"/>
      <c r="M54" s="402"/>
    </row>
    <row r="55" spans="2:15">
      <c r="B55" s="402"/>
      <c r="C55" s="457" t="s">
        <v>159</v>
      </c>
      <c r="D55" s="458">
        <f>D49-(D49-D53)*(1-$D$11)</f>
        <v>1360.9563383216851</v>
      </c>
      <c r="E55" s="458">
        <f t="shared" ref="E55:K55" si="5">E49-(E49-E53)*(1-$D$11)</f>
        <v>1114.779262156334</v>
      </c>
      <c r="F55" s="458">
        <f t="shared" si="5"/>
        <v>1077.483780542213</v>
      </c>
      <c r="G55" s="458">
        <f t="shared" si="5"/>
        <v>1031.7592990058899</v>
      </c>
      <c r="H55" s="458">
        <f t="shared" si="5"/>
        <v>1013.0544517837907</v>
      </c>
      <c r="I55" s="458">
        <f t="shared" si="5"/>
        <v>1372.8538074827954</v>
      </c>
      <c r="J55" s="458">
        <f t="shared" si="5"/>
        <v>1112.7082502167632</v>
      </c>
      <c r="K55" s="458">
        <f t="shared" si="5"/>
        <v>999.70399170087205</v>
      </c>
      <c r="L55" s="456">
        <f>SUM(D55:K55)</f>
        <v>9083.2991812103428</v>
      </c>
      <c r="M55" s="456"/>
    </row>
    <row r="56" spans="2:15">
      <c r="B56" s="402"/>
      <c r="C56" s="454" t="s">
        <v>79</v>
      </c>
      <c r="D56" s="455">
        <f>D55*(1-$D$9)</f>
        <v>204.14345074825277</v>
      </c>
      <c r="E56" s="455">
        <f t="shared" ref="E56:K56" si="6">E55*(1-$D$9)</f>
        <v>167.21688932345012</v>
      </c>
      <c r="F56" s="455">
        <f t="shared" si="6"/>
        <v>161.62256708133197</v>
      </c>
      <c r="G56" s="455">
        <f t="shared" si="6"/>
        <v>154.7638948508835</v>
      </c>
      <c r="H56" s="455">
        <f t="shared" si="6"/>
        <v>151.95816776756863</v>
      </c>
      <c r="I56" s="455">
        <f t="shared" si="6"/>
        <v>205.92807112241934</v>
      </c>
      <c r="J56" s="455">
        <f t="shared" si="6"/>
        <v>166.9062375325145</v>
      </c>
      <c r="K56" s="455">
        <f t="shared" si="6"/>
        <v>149.95559875513084</v>
      </c>
      <c r="L56" s="479">
        <f>SUM(D56:K56)</f>
        <v>1362.4948771815516</v>
      </c>
      <c r="M56" s="402"/>
    </row>
    <row r="57" spans="2:15" ht="13.8" thickBot="1">
      <c r="B57" s="402"/>
      <c r="C57" s="463" t="s">
        <v>80</v>
      </c>
      <c r="D57" s="464">
        <f>D55*$D$9</f>
        <v>1156.8128875734324</v>
      </c>
      <c r="E57" s="464">
        <f t="shared" ref="E57:K57" si="7">E55*$D$9</f>
        <v>947.56237283288385</v>
      </c>
      <c r="F57" s="464">
        <f t="shared" si="7"/>
        <v>915.861213460881</v>
      </c>
      <c r="G57" s="464">
        <f t="shared" si="7"/>
        <v>876.99540415500644</v>
      </c>
      <c r="H57" s="464">
        <f t="shared" si="7"/>
        <v>861.09628401622206</v>
      </c>
      <c r="I57" s="464">
        <f t="shared" si="7"/>
        <v>1166.925736360376</v>
      </c>
      <c r="J57" s="464">
        <f t="shared" si="7"/>
        <v>945.80201268424867</v>
      </c>
      <c r="K57" s="464">
        <f t="shared" si="7"/>
        <v>849.74839294574122</v>
      </c>
      <c r="L57" s="510">
        <f>SUM(D57:K57)</f>
        <v>7720.8043040287912</v>
      </c>
      <c r="M57" s="402"/>
    </row>
    <row r="58" spans="2:15">
      <c r="B58" s="402"/>
      <c r="C58" s="402"/>
      <c r="D58" s="470"/>
      <c r="E58" s="470"/>
      <c r="F58" s="470"/>
      <c r="G58" s="470"/>
      <c r="H58" s="470"/>
      <c r="I58" s="470"/>
      <c r="J58" s="470"/>
      <c r="K58" s="470"/>
      <c r="L58" s="489"/>
      <c r="M58" s="470"/>
      <c r="N58" s="384"/>
      <c r="O58" s="384"/>
    </row>
    <row r="59" spans="2:15" ht="42.75" customHeight="1">
      <c r="B59" s="402"/>
      <c r="C59" s="528" t="s">
        <v>81</v>
      </c>
      <c r="D59" s="529"/>
      <c r="E59" s="529"/>
      <c r="F59" s="529"/>
      <c r="G59" s="529"/>
      <c r="H59" s="529"/>
      <c r="I59" s="529"/>
      <c r="J59" s="529"/>
      <c r="K59" s="529"/>
      <c r="L59" s="529"/>
      <c r="M59" s="470"/>
      <c r="N59" s="384"/>
      <c r="O59" s="384"/>
    </row>
    <row r="60" spans="2:15" ht="13.8" thickBot="1">
      <c r="B60" s="402"/>
      <c r="C60" s="448" t="s">
        <v>160</v>
      </c>
      <c r="D60" s="449"/>
      <c r="E60" s="530"/>
      <c r="F60" s="530"/>
      <c r="G60" s="450"/>
      <c r="H60" s="451"/>
      <c r="I60" s="402"/>
      <c r="J60" s="402"/>
      <c r="K60" s="402"/>
      <c r="L60" s="466"/>
      <c r="M60" s="470"/>
      <c r="N60" s="384"/>
      <c r="O60" s="384"/>
    </row>
    <row r="61" spans="2:15" ht="13.8" thickBot="1">
      <c r="B61" s="402"/>
      <c r="C61" s="448" t="s">
        <v>58</v>
      </c>
      <c r="D61" s="452" t="s">
        <v>59</v>
      </c>
      <c r="E61" s="452" t="s">
        <v>60</v>
      </c>
      <c r="F61" s="453" t="s">
        <v>61</v>
      </c>
      <c r="G61" s="453" t="s">
        <v>62</v>
      </c>
      <c r="H61" s="453" t="s">
        <v>63</v>
      </c>
      <c r="I61" s="453" t="s">
        <v>64</v>
      </c>
      <c r="J61" s="453" t="s">
        <v>65</v>
      </c>
      <c r="K61" s="453" t="s">
        <v>66</v>
      </c>
      <c r="L61" s="466"/>
      <c r="M61" s="470"/>
      <c r="N61" s="384"/>
      <c r="O61" s="384"/>
    </row>
    <row r="62" spans="2:15">
      <c r="B62" s="402"/>
      <c r="C62" s="454" t="s">
        <v>161</v>
      </c>
      <c r="D62" s="455">
        <f>'ET workings 19-20'!D$59</f>
        <v>8691.0913006079008</v>
      </c>
      <c r="E62" s="455">
        <f>'ET workings 19-20'!E$59</f>
        <v>9107.0798269710467</v>
      </c>
      <c r="F62" s="455">
        <f>'ET workings 19-20'!F$59</f>
        <v>9468.0883687653659</v>
      </c>
      <c r="G62" s="455">
        <f>'ET workings 19-20'!G$59</f>
        <v>9774.5337281307457</v>
      </c>
      <c r="H62" s="455">
        <f>'ET workings 19-20'!H$59</f>
        <v>10100.958453495239</v>
      </c>
      <c r="I62" s="455">
        <f>'ET workings 19-20'!I$59</f>
        <v>10314.751339422088</v>
      </c>
      <c r="J62" s="455">
        <f>'ET workings 19-20'!J$59</f>
        <v>10821.832405217065</v>
      </c>
      <c r="K62" s="455">
        <f>'ET workings 19-20'!K$59</f>
        <v>11097.20386710051</v>
      </c>
      <c r="L62" s="466"/>
      <c r="M62" s="470"/>
      <c r="N62" s="384"/>
      <c r="O62" s="384"/>
    </row>
    <row r="63" spans="2:15">
      <c r="B63" s="402"/>
      <c r="C63" s="454" t="s">
        <v>84</v>
      </c>
      <c r="D63" s="455">
        <f>'ET workings 19-20'!D$121</f>
        <v>-176.76646979458337</v>
      </c>
      <c r="E63" s="455">
        <f>'ET workings 19-20'!E$121</f>
        <v>0</v>
      </c>
      <c r="F63" s="455">
        <f>'ET workings 19-20'!F$121</f>
        <v>0</v>
      </c>
      <c r="G63" s="455">
        <f>'ET workings 19-20'!G$121</f>
        <v>0</v>
      </c>
      <c r="H63" s="455">
        <f>'ET workings 19-20'!H$121</f>
        <v>0</v>
      </c>
      <c r="I63" s="455">
        <f>'ET workings 19-20'!I$121</f>
        <v>0</v>
      </c>
      <c r="J63" s="455">
        <f>'ET workings 19-20'!J$121</f>
        <v>0</v>
      </c>
      <c r="K63" s="455">
        <f>'ET workings 19-20'!K$121</f>
        <v>0</v>
      </c>
      <c r="L63" s="466"/>
      <c r="M63" s="470"/>
      <c r="N63" s="384"/>
      <c r="O63" s="384"/>
    </row>
    <row r="64" spans="2:15">
      <c r="B64" s="402"/>
      <c r="C64" s="454" t="s">
        <v>85</v>
      </c>
      <c r="D64" s="455">
        <f>'ET workings 19-20'!D$60</f>
        <v>0</v>
      </c>
      <c r="E64" s="455">
        <f>'ET workings 19-20'!E$60</f>
        <v>0</v>
      </c>
      <c r="F64" s="455">
        <f>'ET workings 19-20'!F$60</f>
        <v>0</v>
      </c>
      <c r="G64" s="455">
        <f>'ET workings 19-20'!G$60</f>
        <v>82.388628473992952</v>
      </c>
      <c r="H64" s="455">
        <f>'ET workings 19-20'!H$60</f>
        <v>0</v>
      </c>
      <c r="I64" s="455">
        <f>'ET workings 19-20'!I$60</f>
        <v>0</v>
      </c>
      <c r="J64" s="455">
        <f>'ET workings 19-20'!J$60</f>
        <v>0</v>
      </c>
      <c r="K64" s="455">
        <f>'ET workings 19-20'!K$60</f>
        <v>0</v>
      </c>
      <c r="L64" s="466"/>
      <c r="M64" s="470"/>
      <c r="N64" s="384"/>
      <c r="O64" s="384"/>
    </row>
    <row r="65" spans="2:16">
      <c r="B65" s="402"/>
      <c r="C65" s="454" t="s">
        <v>86</v>
      </c>
      <c r="D65" s="455">
        <f>'ET workings 19-20'!D$62-D63</f>
        <v>1156.5020616850072</v>
      </c>
      <c r="E65" s="455">
        <f>'ET workings 19-20'!E$62-E63</f>
        <v>947.14415677404679</v>
      </c>
      <c r="F65" s="455">
        <f>'ET workings 19-20'!F$62-F63</f>
        <v>915.65134014512773</v>
      </c>
      <c r="G65" s="455">
        <f>'ET workings 19-20'!G$62-G63</f>
        <v>876.75276435226465</v>
      </c>
      <c r="H65" s="455">
        <f>'ET workings 19-20'!H$62-H63</f>
        <v>860.74692261556481</v>
      </c>
      <c r="I65" s="455">
        <f>'ET workings 19-20'!I$62-I63</f>
        <v>1166.9257363603763</v>
      </c>
      <c r="J65" s="455">
        <f>'ET workings 19-20'!J$62-J63</f>
        <v>945.80201268424867</v>
      </c>
      <c r="K65" s="455">
        <f>'ET workings 19-20'!K$62-K63</f>
        <v>849.74839294574122</v>
      </c>
      <c r="L65" s="466"/>
      <c r="M65" s="470"/>
      <c r="N65" s="384"/>
      <c r="O65" s="384"/>
    </row>
    <row r="66" spans="2:16">
      <c r="B66" s="402"/>
      <c r="C66" s="454" t="s">
        <v>87</v>
      </c>
      <c r="D66" s="455">
        <f>'ET workings 19-20'!D$63</f>
        <v>-563.74706552727753</v>
      </c>
      <c r="E66" s="455">
        <f>'ET workings 19-20'!E$63</f>
        <v>-586.13561497972955</v>
      </c>
      <c r="F66" s="455">
        <f>'ET workings 19-20'!F$63</f>
        <v>-609.20598077974819</v>
      </c>
      <c r="G66" s="455">
        <f>'ET workings 19-20'!G$63</f>
        <v>-632.71666746176413</v>
      </c>
      <c r="H66" s="455">
        <f>'ET workings 19-20'!H$63</f>
        <v>-646.95403668871847</v>
      </c>
      <c r="I66" s="455">
        <f>'ET workings 19-20'!I$63</f>
        <v>-659.84467056539904</v>
      </c>
      <c r="J66" s="455">
        <f>'ET workings 19-20'!J$63</f>
        <v>-670.43055080080228</v>
      </c>
      <c r="K66" s="455">
        <f>'ET workings 19-20'!K$63</f>
        <v>-675.66865115029088</v>
      </c>
      <c r="L66" s="466"/>
      <c r="M66" s="470"/>
      <c r="N66" s="384"/>
      <c r="O66" s="384"/>
    </row>
    <row r="67" spans="2:16">
      <c r="B67" s="402"/>
      <c r="C67" s="457" t="s">
        <v>162</v>
      </c>
      <c r="D67" s="458">
        <f>SUM(D62:D66)</f>
        <v>9107.0798269710467</v>
      </c>
      <c r="E67" s="458">
        <f t="shared" ref="E67:K67" si="8">SUM(E62:E66)</f>
        <v>9468.0883687653641</v>
      </c>
      <c r="F67" s="458">
        <f t="shared" si="8"/>
        <v>9774.5337281307457</v>
      </c>
      <c r="G67" s="458">
        <f t="shared" si="8"/>
        <v>10100.958453495239</v>
      </c>
      <c r="H67" s="458">
        <f t="shared" si="8"/>
        <v>10314.751339422086</v>
      </c>
      <c r="I67" s="458">
        <f t="shared" si="8"/>
        <v>10821.832405217065</v>
      </c>
      <c r="J67" s="458">
        <f t="shared" si="8"/>
        <v>11097.203867100512</v>
      </c>
      <c r="K67" s="458">
        <f t="shared" si="8"/>
        <v>11271.283608895961</v>
      </c>
      <c r="L67" s="466"/>
      <c r="M67" s="470"/>
      <c r="N67" s="384"/>
      <c r="O67" s="384"/>
    </row>
    <row r="68" spans="2:16" ht="13.8" thickBot="1">
      <c r="B68" s="402"/>
      <c r="C68" s="448" t="s">
        <v>163</v>
      </c>
      <c r="D68" s="461">
        <f>'ET workings 19-20'!D$129-'ET workings 19-20'!D$128</f>
        <v>94.650524816115961</v>
      </c>
      <c r="E68" s="461">
        <f>'ET workings 19-20'!E$129-'ET workings 19-20'!E$128</f>
        <v>88.519576645054457</v>
      </c>
      <c r="F68" s="461">
        <f>'ET workings 19-20'!F$129-'ET workings 19-20'!F$128</f>
        <v>82.388628473992952</v>
      </c>
      <c r="G68" s="461">
        <f>'ET workings 19-20'!G$129-'ET workings 19-20'!G$128</f>
        <v>0</v>
      </c>
      <c r="H68" s="461">
        <f>'ET workings 19-20'!H$129-'ET workings 19-20'!H$128</f>
        <v>0</v>
      </c>
      <c r="I68" s="461">
        <f>'ET workings 19-20'!I$129-'ET workings 19-20'!I$128</f>
        <v>0</v>
      </c>
      <c r="J68" s="461">
        <f>'ET workings 19-20'!J$129-'ET workings 19-20'!J$128</f>
        <v>0</v>
      </c>
      <c r="K68" s="461">
        <f>'ET workings 19-20'!K$129-'ET workings 19-20'!K$128</f>
        <v>0</v>
      </c>
      <c r="L68" s="466"/>
      <c r="M68" s="470"/>
      <c r="N68" s="384"/>
      <c r="O68" s="384"/>
    </row>
    <row r="69" spans="2:16">
      <c r="B69" s="402"/>
      <c r="C69" s="402"/>
      <c r="D69" s="470"/>
      <c r="E69" s="470"/>
      <c r="F69" s="470"/>
      <c r="G69" s="470"/>
      <c r="H69" s="470"/>
      <c r="I69" s="470"/>
      <c r="J69" s="470"/>
      <c r="K69" s="470"/>
      <c r="L69" s="489"/>
      <c r="M69" s="470"/>
      <c r="N69" s="384"/>
      <c r="O69" s="384"/>
    </row>
    <row r="70" spans="2:16" ht="13.8" thickBot="1">
      <c r="B70" s="402"/>
      <c r="C70" s="448" t="s">
        <v>164</v>
      </c>
      <c r="D70" s="449"/>
      <c r="E70" s="530"/>
      <c r="F70" s="530"/>
      <c r="G70" s="450"/>
      <c r="H70" s="451"/>
      <c r="I70" s="402"/>
      <c r="J70" s="402"/>
      <c r="K70" s="402"/>
      <c r="L70" s="466"/>
      <c r="M70" s="402"/>
      <c r="N70" s="386"/>
      <c r="O70" s="386"/>
    </row>
    <row r="71" spans="2:16" ht="13.8" thickBot="1">
      <c r="B71" s="402"/>
      <c r="C71" s="448" t="s">
        <v>58</v>
      </c>
      <c r="D71" s="452" t="s">
        <v>59</v>
      </c>
      <c r="E71" s="452" t="s">
        <v>60</v>
      </c>
      <c r="F71" s="453" t="s">
        <v>61</v>
      </c>
      <c r="G71" s="453" t="s">
        <v>62</v>
      </c>
      <c r="H71" s="453" t="s">
        <v>63</v>
      </c>
      <c r="I71" s="453" t="s">
        <v>64</v>
      </c>
      <c r="J71" s="453" t="s">
        <v>65</v>
      </c>
      <c r="K71" s="453" t="s">
        <v>66</v>
      </c>
      <c r="L71" s="490"/>
      <c r="M71" s="402"/>
    </row>
    <row r="72" spans="2:16">
      <c r="B72" s="402"/>
      <c r="C72" s="454" t="s">
        <v>91</v>
      </c>
      <c r="D72" s="455">
        <f>'ET workings 19-20'!D131</f>
        <v>8790.8537557518612</v>
      </c>
      <c r="E72" s="455">
        <f>'ET workings 19-20'!E131</f>
        <v>9201.7303517871624</v>
      </c>
      <c r="F72" s="455">
        <f>'ET workings 19-20'!F131</f>
        <v>9556.6079454104201</v>
      </c>
      <c r="G72" s="455">
        <f>'ET workings 19-20'!G131</f>
        <v>9856.9223566047385</v>
      </c>
      <c r="H72" s="455">
        <f>'ET workings 19-20'!H131</f>
        <v>10100.958453495239</v>
      </c>
      <c r="I72" s="455">
        <f>'ET workings 19-20'!I131</f>
        <v>10314.751339422088</v>
      </c>
      <c r="J72" s="455">
        <f>'ET workings 19-20'!J131</f>
        <v>10821.832405217065</v>
      </c>
      <c r="K72" s="455">
        <f>'ET workings 19-20'!K131</f>
        <v>11097.20386710051</v>
      </c>
      <c r="L72" s="466"/>
      <c r="M72" s="402"/>
    </row>
    <row r="73" spans="2:16">
      <c r="B73" s="402"/>
      <c r="C73" s="454" t="s">
        <v>84</v>
      </c>
      <c r="D73" s="455">
        <f>'ET workings 19-20'!D121</f>
        <v>-176.76646979458337</v>
      </c>
      <c r="E73" s="455">
        <v>0</v>
      </c>
      <c r="F73" s="455">
        <v>0</v>
      </c>
      <c r="G73" s="455">
        <v>0</v>
      </c>
      <c r="H73" s="455">
        <v>0</v>
      </c>
      <c r="I73" s="455">
        <v>0</v>
      </c>
      <c r="J73" s="455">
        <v>0</v>
      </c>
      <c r="K73" s="455">
        <v>0</v>
      </c>
      <c r="L73" s="466"/>
      <c r="M73" s="402"/>
    </row>
    <row r="74" spans="2:16">
      <c r="B74" s="402"/>
      <c r="C74" s="454" t="s">
        <v>165</v>
      </c>
      <c r="D74" s="455">
        <f>D57</f>
        <v>1156.8128875734324</v>
      </c>
      <c r="E74" s="455">
        <f t="shared" ref="E74:K74" si="9">E57</f>
        <v>947.56237283288385</v>
      </c>
      <c r="F74" s="455">
        <f t="shared" si="9"/>
        <v>915.861213460881</v>
      </c>
      <c r="G74" s="455">
        <f t="shared" si="9"/>
        <v>876.99540415500644</v>
      </c>
      <c r="H74" s="455">
        <f t="shared" si="9"/>
        <v>861.09628401622206</v>
      </c>
      <c r="I74" s="455">
        <f t="shared" si="9"/>
        <v>1166.925736360376</v>
      </c>
      <c r="J74" s="455">
        <f t="shared" si="9"/>
        <v>945.80201268424867</v>
      </c>
      <c r="K74" s="455">
        <f t="shared" si="9"/>
        <v>849.74839294574122</v>
      </c>
      <c r="L74" s="478"/>
      <c r="M74" s="402"/>
    </row>
    <row r="75" spans="2:16">
      <c r="B75" s="402"/>
      <c r="C75" s="454" t="s">
        <v>92</v>
      </c>
      <c r="D75" s="455">
        <f>'ET workings 19-20'!D166</f>
        <v>-568.85899585512277</v>
      </c>
      <c r="E75" s="455">
        <f>'ET workings 19-20'!E166</f>
        <v>-549.89961863661051</v>
      </c>
      <c r="F75" s="455">
        <f>'ET workings 19-20'!F166</f>
        <v>-536.88830227380834</v>
      </c>
      <c r="G75" s="455">
        <f>'ET workings 19-20'!G166</f>
        <v>-523.0969313330138</v>
      </c>
      <c r="H75" s="455">
        <f>'ET workings 19-20'!H166</f>
        <v>-510.35729242605225</v>
      </c>
      <c r="I75" s="455">
        <f>'ET workings 19-20'!I166</f>
        <v>-499.08660917668192</v>
      </c>
      <c r="J75" s="455">
        <f>'ET workings 19-20'!J166</f>
        <v>-479.55827686084967</v>
      </c>
      <c r="K75" s="455">
        <f>'ET workings 19-20'!K166</f>
        <v>-462.2100604895204</v>
      </c>
      <c r="L75" s="466"/>
      <c r="M75" s="402"/>
    </row>
    <row r="76" spans="2:16">
      <c r="B76" s="402"/>
      <c r="C76" s="454" t="s">
        <v>93</v>
      </c>
      <c r="D76" s="455">
        <f>'ET workings 19-20'!D167</f>
        <v>0</v>
      </c>
      <c r="E76" s="455">
        <f>'ET workings 19-20'!E167</f>
        <v>-42.366944514180489</v>
      </c>
      <c r="F76" s="455">
        <f>'ET workings 19-20'!F167</f>
        <v>-78.448626677001329</v>
      </c>
      <c r="G76" s="455">
        <f>'ET workings 19-20'!G167</f>
        <v>-109.61973612875036</v>
      </c>
      <c r="H76" s="455">
        <f>'ET workings 19-20'!H167</f>
        <v>-136.59674426266619</v>
      </c>
      <c r="I76" s="455">
        <f>'ET workings 19-20'!I167</f>
        <v>-160.75806138871712</v>
      </c>
      <c r="J76" s="455">
        <f>'ET workings 19-20'!J167</f>
        <v>-190.87227393995263</v>
      </c>
      <c r="K76" s="455">
        <f>'ET workings 19-20'!K167</f>
        <v>-213.45859066077051</v>
      </c>
      <c r="L76" s="466"/>
      <c r="M76" s="402"/>
      <c r="P76" s="387"/>
    </row>
    <row r="77" spans="2:16" ht="13.8" thickBot="1">
      <c r="B77" s="402"/>
      <c r="C77" s="448" t="s">
        <v>94</v>
      </c>
      <c r="D77" s="461">
        <f>SUM(D72:D76)</f>
        <v>9202.0411776755882</v>
      </c>
      <c r="E77" s="461">
        <f t="shared" ref="E77:K77" si="10">SUM(E72:E76)</f>
        <v>9557.0261614692554</v>
      </c>
      <c r="F77" s="461">
        <f t="shared" si="10"/>
        <v>9857.1322299204912</v>
      </c>
      <c r="G77" s="461">
        <f t="shared" si="10"/>
        <v>10101.201093297981</v>
      </c>
      <c r="H77" s="461">
        <f t="shared" si="10"/>
        <v>10315.100700822744</v>
      </c>
      <c r="I77" s="461">
        <f t="shared" si="10"/>
        <v>10821.832405217065</v>
      </c>
      <c r="J77" s="461">
        <f t="shared" si="10"/>
        <v>11097.203867100512</v>
      </c>
      <c r="K77" s="461">
        <f t="shared" si="10"/>
        <v>11271.283608895961</v>
      </c>
      <c r="L77" s="466"/>
      <c r="M77" s="402"/>
      <c r="P77" s="388"/>
    </row>
    <row r="78" spans="2:16">
      <c r="B78" s="402"/>
      <c r="C78" s="402"/>
      <c r="D78" s="462"/>
      <c r="E78" s="462"/>
      <c r="F78" s="462"/>
      <c r="G78" s="462"/>
      <c r="H78" s="462"/>
      <c r="I78" s="462"/>
      <c r="J78" s="462"/>
      <c r="K78" s="462"/>
      <c r="L78" s="491"/>
      <c r="M78" s="462"/>
    </row>
    <row r="79" spans="2:16">
      <c r="D79" s="378"/>
      <c r="E79" s="378"/>
      <c r="F79" s="378"/>
      <c r="G79" s="378"/>
      <c r="H79" s="378"/>
      <c r="I79" s="378"/>
      <c r="J79" s="378"/>
      <c r="K79" s="378"/>
      <c r="L79" s="492"/>
      <c r="M79" s="378"/>
    </row>
    <row r="80" spans="2:16" ht="23.4">
      <c r="B80" s="400">
        <v>4</v>
      </c>
      <c r="C80" s="430" t="s">
        <v>95</v>
      </c>
      <c r="D80" s="462"/>
      <c r="E80" s="462"/>
      <c r="F80" s="462"/>
      <c r="G80" s="462"/>
      <c r="H80" s="462"/>
      <c r="I80" s="462"/>
      <c r="J80" s="462"/>
      <c r="K80" s="462"/>
      <c r="L80" s="491"/>
      <c r="M80" s="462"/>
    </row>
    <row r="81" spans="2:33" ht="65.25" customHeight="1">
      <c r="B81" s="400"/>
      <c r="C81" s="528" t="s">
        <v>166</v>
      </c>
      <c r="D81" s="528"/>
      <c r="E81" s="528"/>
      <c r="F81" s="528"/>
      <c r="G81" s="528"/>
      <c r="H81" s="528"/>
      <c r="I81" s="528"/>
      <c r="J81" s="528"/>
      <c r="K81" s="528"/>
      <c r="L81" s="528"/>
      <c r="M81" s="462"/>
    </row>
    <row r="82" spans="2:33">
      <c r="B82" s="402"/>
      <c r="C82" s="402"/>
      <c r="D82" s="402"/>
      <c r="E82" s="470"/>
      <c r="F82" s="402"/>
      <c r="G82" s="402"/>
      <c r="H82" s="402"/>
      <c r="I82" s="402"/>
      <c r="J82" s="402"/>
      <c r="K82" s="402"/>
      <c r="L82" s="466"/>
      <c r="M82" s="402"/>
    </row>
    <row r="83" spans="2:33" ht="13.8" thickBot="1">
      <c r="B83" s="402"/>
      <c r="C83" s="448" t="s">
        <v>167</v>
      </c>
      <c r="D83" s="449"/>
      <c r="E83" s="530"/>
      <c r="F83" s="530"/>
      <c r="G83" s="450"/>
      <c r="H83" s="451"/>
      <c r="I83" s="402"/>
      <c r="J83" s="402"/>
      <c r="K83" s="402"/>
      <c r="L83" s="448"/>
      <c r="M83" s="402"/>
      <c r="N83" s="386"/>
      <c r="O83" s="386"/>
      <c r="S83" s="392"/>
    </row>
    <row r="84" spans="2:33" ht="12.75" customHeight="1" thickBot="1">
      <c r="B84" s="402"/>
      <c r="C84" s="448" t="s">
        <v>58</v>
      </c>
      <c r="D84" s="452" t="s">
        <v>59</v>
      </c>
      <c r="E84" s="452" t="s">
        <v>60</v>
      </c>
      <c r="F84" s="453" t="s">
        <v>61</v>
      </c>
      <c r="G84" s="453" t="s">
        <v>62</v>
      </c>
      <c r="H84" s="453" t="s">
        <v>63</v>
      </c>
      <c r="I84" s="453" t="s">
        <v>64</v>
      </c>
      <c r="J84" s="453" t="s">
        <v>65</v>
      </c>
      <c r="K84" s="453" t="s">
        <v>66</v>
      </c>
      <c r="L84" s="448" t="s">
        <v>118</v>
      </c>
      <c r="M84" s="402"/>
      <c r="S84" s="389"/>
      <c r="V84" s="393"/>
      <c r="W84" s="389"/>
      <c r="X84" s="389"/>
      <c r="Y84" s="389"/>
      <c r="Z84" s="389"/>
      <c r="AA84" s="389"/>
      <c r="AB84" s="389"/>
      <c r="AC84" s="389"/>
      <c r="AD84" s="389"/>
    </row>
    <row r="85" spans="2:33" ht="12.75" customHeight="1">
      <c r="B85" s="402"/>
      <c r="C85" s="454" t="s">
        <v>79</v>
      </c>
      <c r="D85" s="455">
        <f>'ET workings 19-20'!D75</f>
        <v>204.08859912088366</v>
      </c>
      <c r="E85" s="455">
        <f>'ET workings 19-20'!E75</f>
        <v>167.14308648953769</v>
      </c>
      <c r="F85" s="455">
        <f>'ET workings 19-20'!F75</f>
        <v>161.58553061384623</v>
      </c>
      <c r="G85" s="455">
        <f>'ET workings 19-20'!G75</f>
        <v>154.72107606216423</v>
      </c>
      <c r="H85" s="455">
        <f>'ET workings 19-20'!H75</f>
        <v>151.89651575568794</v>
      </c>
      <c r="I85" s="455">
        <f>'ET workings 19-20'!I75</f>
        <v>205.92807112241937</v>
      </c>
      <c r="J85" s="455">
        <f>'ET workings 19-20'!J75</f>
        <v>166.9062375325145</v>
      </c>
      <c r="K85" s="455">
        <f>'ET workings 19-20'!K75</f>
        <v>149.95559875513084</v>
      </c>
      <c r="L85" s="478">
        <f>SUM(D85:K85)</f>
        <v>1362.2247154521842</v>
      </c>
      <c r="M85" s="402"/>
      <c r="S85" s="390"/>
      <c r="V85" s="394"/>
      <c r="W85" s="390"/>
      <c r="X85" s="390"/>
      <c r="Y85" s="390"/>
      <c r="Z85" s="390"/>
      <c r="AA85" s="390"/>
      <c r="AB85" s="390"/>
      <c r="AC85" s="390"/>
      <c r="AD85" s="390"/>
      <c r="AE85" s="384"/>
      <c r="AF85" s="384"/>
      <c r="AG85" s="384"/>
    </row>
    <row r="86" spans="2:33" ht="12.75" customHeight="1">
      <c r="B86" s="402"/>
      <c r="C86" s="454" t="s">
        <v>98</v>
      </c>
      <c r="D86" s="455">
        <f>'ET workings 19-20'!D76</f>
        <v>94.24723304227993</v>
      </c>
      <c r="E86" s="455">
        <f>'ET workings 19-20'!E76</f>
        <v>87.678224204681584</v>
      </c>
      <c r="F86" s="455">
        <f>'ET workings 19-20'!F76</f>
        <v>87.676243763178761</v>
      </c>
      <c r="G86" s="455">
        <f>'ET workings 19-20'!G76</f>
        <v>87.677481779017953</v>
      </c>
      <c r="H86" s="455">
        <f>'ET workings 19-20'!H76</f>
        <v>87.676244486345595</v>
      </c>
      <c r="I86" s="455">
        <f>'ET workings 19-20'!I76</f>
        <v>87.676244488148086</v>
      </c>
      <c r="J86" s="455">
        <f>'ET workings 19-20'!J76</f>
        <v>87.676244492723825</v>
      </c>
      <c r="K86" s="455">
        <f>'ET workings 19-20'!K76</f>
        <v>87.676244462267519</v>
      </c>
      <c r="L86" s="478">
        <f>SUM(D86:K86)</f>
        <v>707.98416071864324</v>
      </c>
      <c r="M86" s="402"/>
      <c r="S86" s="390"/>
      <c r="V86" s="394"/>
      <c r="W86" s="390"/>
      <c r="X86" s="390"/>
      <c r="Y86" s="390"/>
      <c r="Z86" s="390"/>
      <c r="AA86" s="390"/>
      <c r="AB86" s="390"/>
      <c r="AC86" s="390"/>
      <c r="AD86" s="390"/>
      <c r="AE86" s="384"/>
      <c r="AF86" s="384"/>
      <c r="AG86" s="384"/>
    </row>
    <row r="87" spans="2:33" ht="12.75" customHeight="1">
      <c r="B87" s="402"/>
      <c r="C87" s="454" t="s">
        <v>99</v>
      </c>
      <c r="D87" s="455">
        <f>'ET workings 19-20'!D141</f>
        <v>32.057225303006618</v>
      </c>
      <c r="E87" s="455">
        <f>'ET workings 19-20'!E141</f>
        <v>31.92938591920073</v>
      </c>
      <c r="F87" s="455">
        <f>'ET workings 19-20'!F141</f>
        <v>35.659710857037616</v>
      </c>
      <c r="G87" s="455">
        <f>'ET workings 19-20'!G141</f>
        <v>35.934713792776314</v>
      </c>
      <c r="H87" s="455">
        <f>'ET workings 19-20'!H141</f>
        <v>35.811112850332755</v>
      </c>
      <c r="I87" s="455">
        <f>'ET workings 19-20'!I141</f>
        <v>31.151354095252621</v>
      </c>
      <c r="J87" s="455">
        <f>'ET workings 19-20'!J141</f>
        <v>31.426364111923757</v>
      </c>
      <c r="K87" s="455">
        <f>'ET workings 19-20'!K141</f>
        <v>31.304185504019724</v>
      </c>
      <c r="L87" s="478">
        <f t="shared" ref="L87:L94" si="11">SUM(D87:K87)</f>
        <v>265.27405243355014</v>
      </c>
      <c r="M87" s="402"/>
      <c r="S87" s="390"/>
      <c r="V87" s="394"/>
      <c r="W87" s="390"/>
      <c r="X87" s="390"/>
      <c r="Y87" s="390"/>
      <c r="Z87" s="390"/>
      <c r="AA87" s="390"/>
      <c r="AB87" s="390"/>
      <c r="AC87" s="390"/>
      <c r="AD87" s="390"/>
      <c r="AE87" s="384"/>
      <c r="AF87" s="384"/>
      <c r="AG87" s="384"/>
    </row>
    <row r="88" spans="2:33" ht="12.75" customHeight="1">
      <c r="B88" s="402"/>
      <c r="C88" s="454" t="s">
        <v>100</v>
      </c>
      <c r="D88" s="455">
        <f>'ET workings 19-20'!D79</f>
        <v>0</v>
      </c>
      <c r="E88" s="455">
        <f>'ET workings 19-20'!E79</f>
        <v>0</v>
      </c>
      <c r="F88" s="455">
        <f>'ET workings 19-20'!F79</f>
        <v>0</v>
      </c>
      <c r="G88" s="455">
        <f>'ET workings 19-20'!G79</f>
        <v>0</v>
      </c>
      <c r="H88" s="455">
        <f>'ET workings 19-20'!H79</f>
        <v>0</v>
      </c>
      <c r="I88" s="455">
        <f>'ET workings 19-20'!I79</f>
        <v>0</v>
      </c>
      <c r="J88" s="455">
        <f>'ET workings 19-20'!J79</f>
        <v>0</v>
      </c>
      <c r="K88" s="455">
        <f>'ET workings 19-20'!K79</f>
        <v>0</v>
      </c>
      <c r="L88" s="478">
        <f t="shared" si="11"/>
        <v>0</v>
      </c>
      <c r="M88" s="402"/>
      <c r="S88" s="390"/>
      <c r="V88" s="394"/>
      <c r="W88" s="390"/>
      <c r="X88" s="390"/>
      <c r="Y88" s="390"/>
      <c r="Z88" s="390"/>
      <c r="AA88" s="390"/>
      <c r="AB88" s="390"/>
      <c r="AC88" s="390"/>
      <c r="AD88" s="390"/>
      <c r="AE88" s="384"/>
      <c r="AF88" s="384"/>
      <c r="AG88" s="384"/>
    </row>
    <row r="89" spans="2:33" ht="12.75" customHeight="1">
      <c r="B89" s="402"/>
      <c r="C89" s="454" t="s">
        <v>101</v>
      </c>
      <c r="D89" s="455">
        <f>'ET workings 19-20'!D80</f>
        <v>15.168246288518162</v>
      </c>
      <c r="E89" s="455">
        <f>'ET workings 19-20'!E80</f>
        <v>16.275110005972994</v>
      </c>
      <c r="F89" s="455">
        <f>'ET workings 19-20'!F80</f>
        <v>15.614702904478012</v>
      </c>
      <c r="G89" s="455">
        <f>'ET workings 19-20'!G80</f>
        <v>14.911674359737152</v>
      </c>
      <c r="H89" s="455">
        <f>'ET workings 19-20'!H80</f>
        <v>13.033415757853545</v>
      </c>
      <c r="I89" s="455">
        <f>'ET workings 19-20'!I80</f>
        <v>12.556067765830047</v>
      </c>
      <c r="J89" s="455">
        <f>'ET workings 19-20'!J80</f>
        <v>11.285100906339711</v>
      </c>
      <c r="K89" s="455">
        <f>'ET workings 19-20'!K80</f>
        <v>9.8268179419485548</v>
      </c>
      <c r="L89" s="478">
        <f t="shared" si="11"/>
        <v>108.67113593067819</v>
      </c>
      <c r="M89" s="402"/>
      <c r="S89" s="390"/>
      <c r="V89" s="394"/>
      <c r="W89" s="390"/>
      <c r="X89" s="390"/>
      <c r="Y89" s="390"/>
      <c r="Z89" s="390"/>
      <c r="AA89" s="390"/>
      <c r="AB89" s="390"/>
      <c r="AC89" s="390"/>
      <c r="AD89" s="390"/>
      <c r="AE89" s="384"/>
      <c r="AF89" s="384"/>
      <c r="AG89" s="384"/>
    </row>
    <row r="90" spans="2:33" ht="12.75" customHeight="1">
      <c r="B90" s="402"/>
      <c r="C90" s="454" t="s">
        <v>102</v>
      </c>
      <c r="D90" s="455">
        <f>'ET workings 19-20'!D82</f>
        <v>82.264011770871065</v>
      </c>
      <c r="E90" s="455">
        <f>'ET workings 19-20'!E82</f>
        <v>64.806423165639941</v>
      </c>
      <c r="F90" s="455">
        <f>'ET workings 19-20'!F82</f>
        <v>69.07080087899206</v>
      </c>
      <c r="G90" s="455">
        <f>'ET workings 19-20'!G82</f>
        <v>79.135438511757158</v>
      </c>
      <c r="H90" s="455">
        <f>'ET workings 19-20'!H82</f>
        <v>80.161750017392507</v>
      </c>
      <c r="I90" s="455">
        <f>'ET workings 19-20'!I82</f>
        <v>85.535675269613108</v>
      </c>
      <c r="J90" s="455">
        <f>'ET workings 19-20'!J82</f>
        <v>79.809715310702813</v>
      </c>
      <c r="K90" s="455">
        <f>'ET workings 19-20'!K82</f>
        <v>83.179398986986371</v>
      </c>
      <c r="L90" s="478">
        <f t="shared" si="11"/>
        <v>623.96321391195499</v>
      </c>
      <c r="M90" s="402"/>
      <c r="S90" s="390"/>
      <c r="V90" s="394"/>
      <c r="W90" s="390"/>
      <c r="X90" s="390"/>
      <c r="Y90" s="390"/>
      <c r="Z90" s="390"/>
      <c r="AA90" s="390"/>
      <c r="AB90" s="390"/>
      <c r="AC90" s="390"/>
      <c r="AD90" s="390"/>
      <c r="AE90" s="384"/>
      <c r="AF90" s="384"/>
      <c r="AG90" s="384"/>
    </row>
    <row r="91" spans="2:33" ht="12.75" customHeight="1">
      <c r="B91" s="402"/>
      <c r="C91" s="454" t="s">
        <v>103</v>
      </c>
      <c r="D91" s="455">
        <f>'ET workings 19-20'!D77+'ET workings 19-20'!D78</f>
        <v>959.80897862080087</v>
      </c>
      <c r="E91" s="455">
        <f>'ET workings 19-20'!E77+'ET workings 19-20'!E78</f>
        <v>988.85707435662334</v>
      </c>
      <c r="F91" s="455">
        <f>'ET workings 19-20'!F77+'ET workings 19-20'!F78</f>
        <v>1017.0259563367866</v>
      </c>
      <c r="G91" s="455">
        <f>'ET workings 19-20'!G77+'ET workings 19-20'!G78</f>
        <v>1045.9642685308713</v>
      </c>
      <c r="H91" s="455">
        <f>'ET workings 19-20'!H77+'ET workings 19-20'!H78</f>
        <v>1060.2865969447564</v>
      </c>
      <c r="I91" s="455">
        <f>'ET workings 19-20'!I77+'ET workings 19-20'!I78</f>
        <v>1068.7640167788963</v>
      </c>
      <c r="J91" s="455">
        <f>'ET workings 19-20'!J77+'ET workings 19-20'!J78</f>
        <v>1073.6804702625868</v>
      </c>
      <c r="K91" s="455">
        <f>'ET workings 19-20'!K77+'ET workings 19-20'!K78</f>
        <v>1087.2234339757617</v>
      </c>
      <c r="L91" s="478">
        <f t="shared" si="11"/>
        <v>8301.6107958070825</v>
      </c>
      <c r="M91" s="402"/>
      <c r="S91" s="390"/>
      <c r="V91" s="394"/>
      <c r="W91" s="390"/>
      <c r="X91" s="390"/>
      <c r="Y91" s="390"/>
      <c r="Z91" s="390"/>
      <c r="AA91" s="390"/>
      <c r="AB91" s="390"/>
      <c r="AC91" s="390"/>
      <c r="AD91" s="390"/>
      <c r="AE91" s="384"/>
      <c r="AF91" s="384"/>
      <c r="AG91" s="384"/>
    </row>
    <row r="92" spans="2:33" ht="12.75" customHeight="1">
      <c r="B92" s="402"/>
      <c r="C92" s="454" t="s">
        <v>168</v>
      </c>
      <c r="D92" s="455">
        <f>'ET workings 19-20'!D87</f>
        <v>13.751034124367685</v>
      </c>
      <c r="E92" s="455">
        <f>'ET workings 19-20'!E87</f>
        <v>13.274690050778315</v>
      </c>
      <c r="F92" s="455">
        <f>'ET workings 19-20'!F87</f>
        <v>12.798257977175346</v>
      </c>
      <c r="G92" s="455">
        <f>'ET workings 19-20'!G87</f>
        <v>0</v>
      </c>
      <c r="H92" s="455">
        <f>'ET workings 19-20'!H87</f>
        <v>0</v>
      </c>
      <c r="I92" s="455">
        <f>'ET workings 19-20'!I87</f>
        <v>0</v>
      </c>
      <c r="J92" s="455">
        <f>'ET workings 19-20'!J87</f>
        <v>0</v>
      </c>
      <c r="K92" s="455">
        <f>'ET workings 19-20'!K87</f>
        <v>0</v>
      </c>
      <c r="L92" s="478">
        <f t="shared" si="11"/>
        <v>39.823982152321349</v>
      </c>
      <c r="M92" s="402"/>
      <c r="S92" s="390"/>
      <c r="V92" s="394"/>
      <c r="W92" s="390"/>
      <c r="X92" s="390"/>
      <c r="Y92" s="390"/>
      <c r="Z92" s="390"/>
      <c r="AA92" s="390"/>
      <c r="AB92" s="390"/>
      <c r="AC92" s="390"/>
      <c r="AD92" s="390"/>
      <c r="AE92" s="384"/>
      <c r="AF92" s="384"/>
      <c r="AG92" s="384"/>
    </row>
    <row r="93" spans="2:33" ht="12.75" customHeight="1">
      <c r="B93" s="402"/>
      <c r="C93" s="454" t="s">
        <v>169</v>
      </c>
      <c r="D93" s="455">
        <f>'ET workings 19-20'!D143+'ET workings 19-20'!D144+'ET workings 19-20'!D146</f>
        <v>45.227617148338076</v>
      </c>
      <c r="E93" s="455">
        <f>'ET workings 19-20'!E143+'ET workings 19-20'!E144+'ET workings 19-20'!E146</f>
        <v>45.772599700352416</v>
      </c>
      <c r="F93" s="455">
        <f>'ET workings 19-20'!F143+'ET workings 19-20'!F144+'ET workings 19-20'!F146</f>
        <v>46.828621067377668</v>
      </c>
      <c r="G93" s="455">
        <f>'ET workings 19-20'!G143+'ET workings 19-20'!G144+'ET workings 19-20'!G146</f>
        <v>46.363697326106404</v>
      </c>
      <c r="H93" s="455">
        <f>'ET workings 19-20'!H143+'ET workings 19-20'!H144+'ET workings 19-20'!H146</f>
        <v>48.13923821962112</v>
      </c>
      <c r="I93" s="455">
        <f>'ET workings 19-20'!I143+'ET workings 19-20'!I144+'ET workings 19-20'!I146</f>
        <v>49.69991127976737</v>
      </c>
      <c r="J93" s="455">
        <f>'ET workings 19-20'!J143+'ET workings 19-20'!J144+'ET workings 19-20'!J146</f>
        <v>51.376152194533056</v>
      </c>
      <c r="K93" s="455">
        <f>'ET workings 19-20'!K143+'ET workings 19-20'!K144+'ET workings 19-20'!K146</f>
        <v>53.118767258784146</v>
      </c>
      <c r="L93" s="478">
        <f t="shared" si="11"/>
        <v>386.52660419488024</v>
      </c>
      <c r="M93" s="402"/>
      <c r="S93" s="390"/>
      <c r="V93" s="395"/>
      <c r="W93" s="390"/>
      <c r="X93" s="390"/>
      <c r="Y93" s="390"/>
      <c r="Z93" s="390"/>
      <c r="AA93" s="390"/>
      <c r="AB93" s="390"/>
      <c r="AC93" s="390"/>
      <c r="AD93" s="390"/>
      <c r="AE93" s="384"/>
      <c r="AF93" s="384"/>
      <c r="AG93" s="384"/>
    </row>
    <row r="94" spans="2:33" ht="12.75" customHeight="1" thickBot="1">
      <c r="B94" s="402"/>
      <c r="C94" s="448" t="s">
        <v>107</v>
      </c>
      <c r="D94" s="461">
        <f>SUM(D85:D93)</f>
        <v>1446.6129454190661</v>
      </c>
      <c r="E94" s="461">
        <f t="shared" ref="E94:K94" si="12">SUM(E85:E93)</f>
        <v>1415.7365938927871</v>
      </c>
      <c r="F94" s="461">
        <f t="shared" si="12"/>
        <v>1446.2598243988725</v>
      </c>
      <c r="G94" s="461">
        <f t="shared" si="12"/>
        <v>1464.7083503624306</v>
      </c>
      <c r="H94" s="461">
        <f t="shared" si="12"/>
        <v>1477.0048740319899</v>
      </c>
      <c r="I94" s="461">
        <f t="shared" si="12"/>
        <v>1541.3113407999269</v>
      </c>
      <c r="J94" s="461">
        <f t="shared" si="12"/>
        <v>1502.1602848113243</v>
      </c>
      <c r="K94" s="461">
        <f t="shared" si="12"/>
        <v>1502.2844468848989</v>
      </c>
      <c r="L94" s="507">
        <f t="shared" si="11"/>
        <v>11796.078660601299</v>
      </c>
      <c r="M94" s="402"/>
      <c r="S94" s="391"/>
      <c r="V94" s="395"/>
      <c r="W94" s="390"/>
      <c r="X94" s="390"/>
      <c r="Y94" s="390"/>
      <c r="Z94" s="390"/>
      <c r="AA94" s="390"/>
      <c r="AB94" s="390"/>
      <c r="AC94" s="390"/>
      <c r="AD94" s="390"/>
      <c r="AE94" s="384"/>
      <c r="AF94" s="384"/>
      <c r="AG94" s="384"/>
    </row>
    <row r="95" spans="2:33" ht="12.75" customHeight="1">
      <c r="B95" s="402"/>
      <c r="C95" s="475"/>
      <c r="D95" s="470"/>
      <c r="E95" s="402"/>
      <c r="F95" s="402"/>
      <c r="G95" s="402"/>
      <c r="H95" s="402"/>
      <c r="I95" s="402"/>
      <c r="J95" s="402"/>
      <c r="K95" s="402"/>
      <c r="L95" s="494"/>
      <c r="M95" s="402"/>
      <c r="S95" s="391"/>
      <c r="V95" s="395"/>
      <c r="W95" s="390"/>
      <c r="X95" s="390"/>
      <c r="Y95" s="390"/>
      <c r="Z95" s="390"/>
      <c r="AA95" s="390"/>
      <c r="AB95" s="390"/>
      <c r="AC95" s="390"/>
      <c r="AD95" s="390"/>
      <c r="AE95" s="384"/>
      <c r="AF95" s="384"/>
      <c r="AG95" s="384"/>
    </row>
    <row r="96" spans="2:33" ht="18" customHeight="1">
      <c r="B96" s="402"/>
      <c r="C96" s="528" t="s">
        <v>449</v>
      </c>
      <c r="D96" s="528"/>
      <c r="E96" s="528"/>
      <c r="F96" s="528"/>
      <c r="G96" s="528"/>
      <c r="H96" s="528"/>
      <c r="I96" s="528"/>
      <c r="J96" s="528"/>
      <c r="K96" s="528"/>
      <c r="L96" s="528"/>
      <c r="M96" s="402"/>
      <c r="S96" s="391"/>
      <c r="V96" s="395"/>
      <c r="W96" s="390"/>
      <c r="X96" s="390"/>
      <c r="Y96" s="390"/>
      <c r="Z96" s="390"/>
      <c r="AA96" s="390"/>
      <c r="AB96" s="390"/>
      <c r="AC96" s="390"/>
      <c r="AD96" s="390"/>
      <c r="AE96" s="384"/>
      <c r="AF96" s="384"/>
      <c r="AG96" s="384"/>
    </row>
    <row r="97" spans="2:33" ht="5.25" customHeight="1">
      <c r="B97" s="402"/>
      <c r="C97" s="475"/>
      <c r="D97" s="470"/>
      <c r="E97" s="402"/>
      <c r="F97" s="402"/>
      <c r="G97" s="402"/>
      <c r="H97" s="402"/>
      <c r="I97" s="402"/>
      <c r="J97" s="402"/>
      <c r="K97" s="402"/>
      <c r="L97" s="494"/>
      <c r="M97" s="402"/>
      <c r="S97" s="391"/>
      <c r="V97" s="395"/>
      <c r="W97" s="390"/>
      <c r="X97" s="390"/>
      <c r="Y97" s="390"/>
      <c r="Z97" s="390"/>
      <c r="AA97" s="390"/>
      <c r="AB97" s="390"/>
      <c r="AC97" s="390"/>
      <c r="AD97" s="390"/>
      <c r="AE97" s="384"/>
      <c r="AF97" s="384"/>
      <c r="AG97" s="384"/>
    </row>
    <row r="98" spans="2:33" ht="12.75" customHeight="1" thickBot="1">
      <c r="B98" s="402"/>
      <c r="C98" s="448" t="s">
        <v>171</v>
      </c>
      <c r="D98" s="462"/>
      <c r="E98" s="462"/>
      <c r="F98" s="448"/>
      <c r="G98" s="448"/>
      <c r="H98" s="448"/>
      <c r="I98" s="448"/>
      <c r="J98" s="448"/>
      <c r="K98" s="402"/>
      <c r="L98" s="494"/>
      <c r="M98" s="402"/>
      <c r="S98" s="391"/>
      <c r="V98" s="395"/>
      <c r="W98" s="390"/>
      <c r="X98" s="390"/>
      <c r="Y98" s="390"/>
      <c r="Z98" s="390"/>
      <c r="AA98" s="390"/>
      <c r="AB98" s="390"/>
      <c r="AC98" s="390"/>
      <c r="AD98" s="390"/>
      <c r="AE98" s="384"/>
      <c r="AF98" s="384"/>
      <c r="AG98" s="384"/>
    </row>
    <row r="99" spans="2:33" ht="12.75" customHeight="1" thickBot="1">
      <c r="B99" s="402"/>
      <c r="C99" s="467" t="s">
        <v>58</v>
      </c>
      <c r="D99" s="453" t="s">
        <v>59</v>
      </c>
      <c r="E99" s="453" t="s">
        <v>60</v>
      </c>
      <c r="F99" s="453" t="s">
        <v>61</v>
      </c>
      <c r="G99" s="453" t="s">
        <v>62</v>
      </c>
      <c r="H99" s="453" t="s">
        <v>63</v>
      </c>
      <c r="I99" s="453" t="s">
        <v>64</v>
      </c>
      <c r="J99" s="453" t="s">
        <v>65</v>
      </c>
      <c r="K99" s="453" t="s">
        <v>66</v>
      </c>
      <c r="L99" s="494"/>
      <c r="M99" s="402"/>
      <c r="S99" s="391"/>
      <c r="V99" s="395"/>
      <c r="W99" s="390"/>
      <c r="X99" s="390"/>
      <c r="Y99" s="390"/>
      <c r="Z99" s="390"/>
      <c r="AA99" s="390"/>
      <c r="AB99" s="390"/>
      <c r="AC99" s="390"/>
      <c r="AD99" s="390"/>
      <c r="AE99" s="384"/>
      <c r="AF99" s="384"/>
      <c r="AG99" s="384"/>
    </row>
    <row r="100" spans="2:33" ht="12.75" customHeight="1">
      <c r="B100" s="402"/>
      <c r="C100" s="454" t="s">
        <v>172</v>
      </c>
      <c r="D100" s="455">
        <f>D94</f>
        <v>1446.6129454190661</v>
      </c>
      <c r="E100" s="455">
        <f t="shared" ref="E100:K100" si="13">E94</f>
        <v>1415.7365938927871</v>
      </c>
      <c r="F100" s="455">
        <f t="shared" si="13"/>
        <v>1446.2598243988725</v>
      </c>
      <c r="G100" s="455">
        <f t="shared" si="13"/>
        <v>1464.7083503624306</v>
      </c>
      <c r="H100" s="455">
        <f t="shared" si="13"/>
        <v>1477.0048740319899</v>
      </c>
      <c r="I100" s="455">
        <f t="shared" si="13"/>
        <v>1541.3113407999269</v>
      </c>
      <c r="J100" s="455">
        <f t="shared" si="13"/>
        <v>1502.1602848113243</v>
      </c>
      <c r="K100" s="455">
        <f t="shared" si="13"/>
        <v>1502.2844468848989</v>
      </c>
      <c r="L100" s="494"/>
      <c r="M100" s="402"/>
      <c r="S100" s="391"/>
      <c r="V100" s="395"/>
      <c r="W100" s="390"/>
      <c r="X100" s="390"/>
      <c r="Y100" s="390"/>
      <c r="Z100" s="390"/>
      <c r="AA100" s="390"/>
      <c r="AB100" s="390"/>
      <c r="AC100" s="390"/>
      <c r="AD100" s="390"/>
      <c r="AE100" s="384"/>
      <c r="AF100" s="384"/>
      <c r="AG100" s="384"/>
    </row>
    <row r="101" spans="2:33" ht="12.75" customHeight="1">
      <c r="B101" s="402"/>
      <c r="C101" s="457" t="s">
        <v>173</v>
      </c>
      <c r="D101" s="460"/>
      <c r="E101" s="460"/>
      <c r="F101" s="460"/>
      <c r="G101" s="460"/>
      <c r="H101" s="460"/>
      <c r="I101" s="483"/>
      <c r="J101" s="483"/>
      <c r="K101" s="483"/>
      <c r="L101" s="494"/>
      <c r="M101" s="402"/>
      <c r="S101" s="391"/>
      <c r="V101" s="395"/>
      <c r="W101" s="390"/>
      <c r="X101" s="390"/>
      <c r="Y101" s="390"/>
      <c r="Z101" s="390"/>
      <c r="AA101" s="390"/>
      <c r="AB101" s="390"/>
      <c r="AC101" s="390"/>
      <c r="AD101" s="390"/>
      <c r="AE101" s="384"/>
      <c r="AF101" s="384"/>
      <c r="AG101" s="384"/>
    </row>
    <row r="102" spans="2:33" ht="12.75" customHeight="1">
      <c r="B102" s="402"/>
      <c r="C102" s="454" t="s">
        <v>174</v>
      </c>
      <c r="D102" s="455">
        <f>'ET workings 19-20'!D148</f>
        <v>13.751034124367685</v>
      </c>
      <c r="E102" s="455">
        <f>'ET workings 19-20'!E148</f>
        <v>13.274690050778315</v>
      </c>
      <c r="F102" s="455">
        <f>'ET workings 19-20'!F148</f>
        <v>12.798257977175346</v>
      </c>
      <c r="G102" s="455">
        <f>'ET workings 19-20'!G148</f>
        <v>0</v>
      </c>
      <c r="H102" s="455">
        <f>'ET workings 19-20'!H148</f>
        <v>0</v>
      </c>
      <c r="I102" s="455">
        <f>'ET workings 19-20'!I148</f>
        <v>0</v>
      </c>
      <c r="J102" s="455">
        <f>'ET workings 19-20'!J148</f>
        <v>0</v>
      </c>
      <c r="K102" s="455">
        <f>'ET workings 19-20'!K148</f>
        <v>0</v>
      </c>
      <c r="L102" s="494"/>
      <c r="M102" s="402"/>
      <c r="S102" s="391"/>
      <c r="V102" s="395"/>
      <c r="W102" s="390"/>
      <c r="X102" s="390"/>
      <c r="Y102" s="390"/>
      <c r="Z102" s="390"/>
      <c r="AA102" s="390"/>
      <c r="AB102" s="390"/>
      <c r="AC102" s="390"/>
      <c r="AD102" s="390"/>
      <c r="AE102" s="384"/>
      <c r="AF102" s="384"/>
      <c r="AG102" s="384"/>
    </row>
    <row r="103" spans="2:33" ht="12.75" customHeight="1">
      <c r="B103" s="402"/>
      <c r="C103" s="454" t="s">
        <v>175</v>
      </c>
      <c r="D103" s="455">
        <f>'ET workings 19-20'!D89</f>
        <v>123</v>
      </c>
      <c r="E103" s="455">
        <f>'ET workings 19-20'!E89</f>
        <v>122.8</v>
      </c>
      <c r="F103" s="455">
        <f>'ET workings 19-20'!F89</f>
        <v>129.80000000000001</v>
      </c>
      <c r="G103" s="455">
        <f>'ET workings 19-20'!G89</f>
        <v>125.6</v>
      </c>
      <c r="H103" s="455">
        <f>'ET workings 19-20'!H89</f>
        <v>127.3</v>
      </c>
      <c r="I103" s="455">
        <f>'ET workings 19-20'!I89</f>
        <v>128.6</v>
      </c>
      <c r="J103" s="455">
        <f>'ET workings 19-20'!J89</f>
        <v>130.19999999999999</v>
      </c>
      <c r="K103" s="455">
        <f>'ET workings 19-20'!K89</f>
        <v>131.69999999999999</v>
      </c>
      <c r="L103" s="494"/>
      <c r="M103" s="402"/>
      <c r="S103" s="391"/>
      <c r="V103" s="395"/>
      <c r="W103" s="390"/>
      <c r="X103" s="390"/>
      <c r="Y103" s="390"/>
      <c r="Z103" s="390"/>
      <c r="AA103" s="390"/>
      <c r="AB103" s="390"/>
      <c r="AC103" s="390"/>
      <c r="AD103" s="390"/>
      <c r="AE103" s="384"/>
      <c r="AF103" s="384"/>
      <c r="AG103" s="384"/>
    </row>
    <row r="104" spans="2:33" ht="12.75" customHeight="1" thickBot="1">
      <c r="B104" s="402"/>
      <c r="C104" s="448" t="s">
        <v>176</v>
      </c>
      <c r="D104" s="461">
        <f>D100-D102-D103</f>
        <v>1309.8619112946985</v>
      </c>
      <c r="E104" s="461">
        <f t="shared" ref="E104:K104" si="14">E100-E102-E103</f>
        <v>1279.6619038420088</v>
      </c>
      <c r="F104" s="461">
        <f t="shared" si="14"/>
        <v>1303.6615664216972</v>
      </c>
      <c r="G104" s="461">
        <f t="shared" si="14"/>
        <v>1339.1083503624307</v>
      </c>
      <c r="H104" s="461">
        <f t="shared" si="14"/>
        <v>1349.7048740319899</v>
      </c>
      <c r="I104" s="461">
        <f t="shared" si="14"/>
        <v>1412.711340799927</v>
      </c>
      <c r="J104" s="461">
        <f t="shared" si="14"/>
        <v>1371.9602848113243</v>
      </c>
      <c r="K104" s="461">
        <f t="shared" si="14"/>
        <v>1370.5844468848989</v>
      </c>
      <c r="L104" s="494"/>
      <c r="M104" s="462"/>
      <c r="S104" s="391"/>
      <c r="V104" s="395"/>
      <c r="W104" s="390"/>
      <c r="X104" s="390"/>
      <c r="Y104" s="390"/>
      <c r="Z104" s="390"/>
      <c r="AA104" s="390"/>
      <c r="AB104" s="390"/>
      <c r="AC104" s="390"/>
      <c r="AD104" s="390"/>
      <c r="AE104" s="384"/>
      <c r="AF104" s="384"/>
      <c r="AG104" s="384"/>
    </row>
    <row r="105" spans="2:33" ht="12.75" customHeight="1">
      <c r="B105" s="402"/>
      <c r="C105" s="457"/>
      <c r="D105" s="458"/>
      <c r="E105" s="458"/>
      <c r="F105" s="458"/>
      <c r="G105" s="458"/>
      <c r="H105" s="458"/>
      <c r="I105" s="458"/>
      <c r="J105" s="458"/>
      <c r="K105" s="458"/>
      <c r="L105" s="494"/>
      <c r="M105" s="462"/>
      <c r="S105" s="391"/>
      <c r="V105" s="395"/>
      <c r="W105" s="390"/>
      <c r="X105" s="390"/>
      <c r="Y105" s="390"/>
      <c r="Z105" s="390"/>
      <c r="AA105" s="390"/>
      <c r="AB105" s="390"/>
      <c r="AC105" s="390"/>
      <c r="AD105" s="390"/>
      <c r="AE105" s="384"/>
      <c r="AF105" s="384"/>
      <c r="AG105" s="384"/>
    </row>
    <row r="106" spans="2:33" ht="39.75" customHeight="1">
      <c r="B106" s="402"/>
      <c r="C106" s="528" t="s">
        <v>450</v>
      </c>
      <c r="D106" s="528"/>
      <c r="E106" s="528"/>
      <c r="F106" s="528"/>
      <c r="G106" s="528"/>
      <c r="H106" s="528"/>
      <c r="I106" s="528"/>
      <c r="J106" s="528"/>
      <c r="K106" s="528"/>
      <c r="L106" s="528"/>
      <c r="M106" s="462"/>
      <c r="S106" s="391"/>
      <c r="V106" s="395"/>
      <c r="W106" s="390"/>
      <c r="X106" s="390"/>
      <c r="Y106" s="390"/>
      <c r="Z106" s="390"/>
      <c r="AA106" s="390"/>
      <c r="AB106" s="390"/>
      <c r="AC106" s="390"/>
      <c r="AD106" s="390"/>
      <c r="AE106" s="384"/>
      <c r="AF106" s="384"/>
      <c r="AG106" s="384"/>
    </row>
    <row r="107" spans="2:33" ht="4.5" customHeight="1">
      <c r="B107" s="402"/>
      <c r="C107" s="506"/>
      <c r="D107" s="506"/>
      <c r="E107" s="506"/>
      <c r="F107" s="506"/>
      <c r="G107" s="506"/>
      <c r="H107" s="506"/>
      <c r="I107" s="506"/>
      <c r="J107" s="506"/>
      <c r="K107" s="506"/>
      <c r="L107" s="506"/>
      <c r="M107" s="462"/>
      <c r="S107" s="391"/>
      <c r="V107" s="395"/>
      <c r="W107" s="390"/>
      <c r="X107" s="390"/>
      <c r="Y107" s="390"/>
      <c r="Z107" s="390"/>
      <c r="AA107" s="390"/>
      <c r="AB107" s="390"/>
      <c r="AC107" s="390"/>
      <c r="AD107" s="390"/>
      <c r="AE107" s="384"/>
      <c r="AF107" s="384"/>
      <c r="AG107" s="384"/>
    </row>
    <row r="108" spans="2:33" ht="12.75" customHeight="1" thickBot="1">
      <c r="B108" s="402"/>
      <c r="C108" s="448" t="s">
        <v>178</v>
      </c>
      <c r="D108" s="462"/>
      <c r="E108" s="462"/>
      <c r="F108" s="448"/>
      <c r="G108" s="448"/>
      <c r="H108" s="448"/>
      <c r="I108" s="448"/>
      <c r="J108" s="448"/>
      <c r="K108" s="402"/>
      <c r="L108" s="466"/>
      <c r="M108" s="462"/>
      <c r="S108" s="391"/>
      <c r="V108" s="395"/>
      <c r="W108" s="390"/>
      <c r="X108" s="390"/>
      <c r="Y108" s="390"/>
      <c r="Z108" s="390"/>
      <c r="AA108" s="390"/>
      <c r="AB108" s="390"/>
      <c r="AC108" s="390"/>
      <c r="AD108" s="390"/>
      <c r="AE108" s="384"/>
      <c r="AF108" s="384"/>
      <c r="AG108" s="384"/>
    </row>
    <row r="109" spans="2:33" ht="12.75" customHeight="1" thickBot="1">
      <c r="B109" s="402"/>
      <c r="C109" s="467" t="s">
        <v>58</v>
      </c>
      <c r="D109" s="453" t="s">
        <v>59</v>
      </c>
      <c r="E109" s="453" t="s">
        <v>60</v>
      </c>
      <c r="F109" s="453" t="s">
        <v>61</v>
      </c>
      <c r="G109" s="453" t="s">
        <v>62</v>
      </c>
      <c r="H109" s="453" t="s">
        <v>63</v>
      </c>
      <c r="I109" s="453" t="s">
        <v>64</v>
      </c>
      <c r="J109" s="453" t="s">
        <v>65</v>
      </c>
      <c r="K109" s="453" t="s">
        <v>66</v>
      </c>
      <c r="L109" s="466"/>
      <c r="M109" s="462"/>
      <c r="S109" s="391"/>
      <c r="V109" s="395"/>
      <c r="W109" s="390"/>
      <c r="X109" s="390"/>
      <c r="Y109" s="390"/>
      <c r="Z109" s="390"/>
      <c r="AA109" s="390"/>
      <c r="AB109" s="390"/>
      <c r="AC109" s="390"/>
      <c r="AD109" s="390"/>
      <c r="AE109" s="384"/>
      <c r="AF109" s="384"/>
      <c r="AG109" s="384"/>
    </row>
    <row r="110" spans="2:33" ht="12.75" customHeight="1">
      <c r="B110" s="402"/>
      <c r="C110" s="454" t="s">
        <v>110</v>
      </c>
      <c r="D110" s="455">
        <v>1342.2812908140818</v>
      </c>
      <c r="E110" s="455">
        <v>1443.8294617348479</v>
      </c>
      <c r="F110" s="455">
        <v>1475.5925732296025</v>
      </c>
      <c r="G110" s="455">
        <v>1571.3868096928732</v>
      </c>
      <c r="H110" s="455">
        <v>1554.9421422395981</v>
      </c>
      <c r="I110" s="455">
        <v>1587.6274208238708</v>
      </c>
      <c r="J110" s="455">
        <v>1585.2291170685558</v>
      </c>
      <c r="K110" s="455">
        <v>1571.5849296331837</v>
      </c>
      <c r="L110" s="466"/>
      <c r="M110" s="462"/>
      <c r="S110" s="391"/>
      <c r="V110" s="395"/>
      <c r="W110" s="390"/>
      <c r="X110" s="390"/>
      <c r="Y110" s="390"/>
      <c r="Z110" s="390"/>
      <c r="AA110" s="390"/>
      <c r="AB110" s="390"/>
      <c r="AC110" s="390"/>
      <c r="AD110" s="390"/>
      <c r="AE110" s="384"/>
      <c r="AF110" s="384"/>
      <c r="AG110" s="384"/>
    </row>
    <row r="111" spans="2:33" ht="12.75" customHeight="1">
      <c r="B111" s="402"/>
      <c r="C111" s="457" t="s">
        <v>111</v>
      </c>
      <c r="D111" s="458">
        <f>'ET workings 19-20'!D85</f>
        <v>0</v>
      </c>
      <c r="E111" s="458">
        <f>'ET workings 19-20'!E85</f>
        <v>-5.4472436134815325</v>
      </c>
      <c r="F111" s="458">
        <f>'ET workings 19-20'!F85</f>
        <v>-114.38240781754212</v>
      </c>
      <c r="G111" s="458">
        <f>'ET workings 19-20'!G85</f>
        <v>-185.40168515778055</v>
      </c>
      <c r="H111" s="458">
        <f>'ET workings 19-20'!H85</f>
        <v>-253.26047854710714</v>
      </c>
      <c r="I111" s="458">
        <f>'ET workings 19-20'!I85</f>
        <v>-310.24084085461686</v>
      </c>
      <c r="J111" s="458">
        <f>'ET workings 19-20'!J85</f>
        <v>-378.00470840034291</v>
      </c>
      <c r="K111" s="456"/>
      <c r="L111" s="466"/>
      <c r="M111" s="462"/>
      <c r="S111" s="391"/>
      <c r="V111" s="395"/>
      <c r="W111" s="390"/>
      <c r="X111" s="390"/>
      <c r="Y111" s="390"/>
      <c r="Z111" s="390"/>
      <c r="AA111" s="390"/>
      <c r="AB111" s="390"/>
      <c r="AC111" s="390"/>
      <c r="AD111" s="390"/>
      <c r="AE111" s="384"/>
      <c r="AF111" s="384"/>
      <c r="AG111" s="384"/>
    </row>
    <row r="112" spans="2:33" ht="12.75" customHeight="1">
      <c r="B112" s="402"/>
      <c r="C112" s="454" t="s">
        <v>112</v>
      </c>
      <c r="D112" s="455">
        <f>SUM(D110:D111)</f>
        <v>1342.2812908140818</v>
      </c>
      <c r="E112" s="455">
        <f t="shared" ref="E112:J112" si="15">SUM(E110:E111)</f>
        <v>1438.3822181213663</v>
      </c>
      <c r="F112" s="455">
        <f t="shared" si="15"/>
        <v>1361.2101654120604</v>
      </c>
      <c r="G112" s="455">
        <f t="shared" si="15"/>
        <v>1385.9851245350926</v>
      </c>
      <c r="H112" s="455">
        <f t="shared" si="15"/>
        <v>1301.6816636924909</v>
      </c>
      <c r="I112" s="455">
        <f t="shared" si="15"/>
        <v>1277.3865799692539</v>
      </c>
      <c r="J112" s="455">
        <f t="shared" si="15"/>
        <v>1207.2244086682128</v>
      </c>
      <c r="K112" s="455"/>
      <c r="L112" s="466"/>
      <c r="M112" s="462"/>
      <c r="S112" s="391"/>
      <c r="V112" s="395"/>
      <c r="W112" s="390"/>
      <c r="X112" s="390"/>
      <c r="Y112" s="390"/>
      <c r="Z112" s="390"/>
      <c r="AA112" s="390"/>
      <c r="AB112" s="390"/>
      <c r="AC112" s="390"/>
      <c r="AD112" s="390"/>
      <c r="AE112" s="384"/>
      <c r="AF112" s="384"/>
      <c r="AG112" s="384"/>
    </row>
    <row r="113" spans="2:33" ht="12.75" customHeight="1">
      <c r="B113" s="402"/>
      <c r="C113" s="468" t="s">
        <v>446</v>
      </c>
      <c r="D113" s="455"/>
      <c r="E113" s="455"/>
      <c r="F113" s="455"/>
      <c r="G113" s="470"/>
      <c r="H113" s="470"/>
      <c r="I113" s="470"/>
      <c r="J113" s="460"/>
      <c r="K113" s="458">
        <f>J112+(I112*'ET workings 19-20'!I267)+('NGET AIP 2018'!H112*'ET workings 19-20'!H267)+('NGET AIP 2018'!G112*'ET workings 19-20'!G267)+('NGET AIP 2018'!F112*'ET workings 19-20'!F267)+('NGET AIP 2018'!E112*'ET workings 19-20'!E267)+('NGET AIP 2018'!D112*'ET workings 19-20'!D267)</f>
        <v>10602.851652371086</v>
      </c>
      <c r="L113" s="466"/>
      <c r="M113" s="462"/>
      <c r="S113" s="391"/>
      <c r="V113" s="395"/>
      <c r="W113" s="390"/>
      <c r="X113" s="390"/>
      <c r="Y113" s="390"/>
      <c r="Z113" s="390"/>
      <c r="AA113" s="390"/>
      <c r="AB113" s="390"/>
      <c r="AC113" s="390"/>
      <c r="AD113" s="390"/>
      <c r="AE113" s="384"/>
      <c r="AF113" s="384"/>
      <c r="AG113" s="384"/>
    </row>
    <row r="114" spans="2:33" ht="12.75" customHeight="1">
      <c r="B114" s="402"/>
      <c r="C114" s="454" t="s">
        <v>176</v>
      </c>
      <c r="D114" s="455">
        <f>D104</f>
        <v>1309.8619112946985</v>
      </c>
      <c r="E114" s="455">
        <f t="shared" ref="E114:J114" si="16">E104</f>
        <v>1279.6619038420088</v>
      </c>
      <c r="F114" s="455">
        <f t="shared" si="16"/>
        <v>1303.6615664216972</v>
      </c>
      <c r="G114" s="455">
        <f t="shared" si="16"/>
        <v>1339.1083503624307</v>
      </c>
      <c r="H114" s="455">
        <f t="shared" si="16"/>
        <v>1349.7048740319899</v>
      </c>
      <c r="I114" s="455">
        <f t="shared" si="16"/>
        <v>1412.711340799927</v>
      </c>
      <c r="J114" s="455">
        <f t="shared" si="16"/>
        <v>1371.9602848113243</v>
      </c>
      <c r="K114" s="455"/>
      <c r="L114" s="466"/>
      <c r="M114" s="402"/>
      <c r="S114" s="391"/>
      <c r="V114" s="395"/>
      <c r="W114" s="390"/>
      <c r="X114" s="390"/>
      <c r="Y114" s="390"/>
      <c r="Z114" s="390"/>
      <c r="AA114" s="390"/>
      <c r="AB114" s="390"/>
      <c r="AC114" s="390"/>
      <c r="AD114" s="390"/>
      <c r="AE114" s="384"/>
      <c r="AF114" s="384"/>
      <c r="AG114" s="384"/>
    </row>
    <row r="115" spans="2:33" ht="12.75" customHeight="1" thickBot="1">
      <c r="B115" s="402"/>
      <c r="C115" s="508" t="s">
        <v>446</v>
      </c>
      <c r="D115" s="461"/>
      <c r="E115" s="461"/>
      <c r="F115" s="461"/>
      <c r="G115" s="461"/>
      <c r="H115" s="461"/>
      <c r="I115" s="461"/>
      <c r="J115" s="461"/>
      <c r="K115" s="461">
        <f>J114+(I114*'ET workings 19-20'!I267)+('NGET AIP 2018'!H114*'ET workings 19-20'!H267)+('NGET AIP 2018'!G114*'ET workings 19-20'!G267)+('NGET AIP 2018'!F114*'ET workings 19-20'!F267)+('NGET AIP 2018'!E114*'ET workings 19-20'!E267)+('NGET AIP 2018'!D114*'ET workings 19-20'!D267)</f>
        <v>10602.850657785302</v>
      </c>
      <c r="L115" s="466"/>
      <c r="M115" s="402"/>
      <c r="S115" s="391"/>
      <c r="V115" s="395"/>
      <c r="W115" s="390"/>
      <c r="X115" s="390"/>
      <c r="Y115" s="390"/>
      <c r="Z115" s="390"/>
      <c r="AA115" s="390"/>
      <c r="AB115" s="390"/>
      <c r="AC115" s="390"/>
      <c r="AD115" s="390"/>
      <c r="AE115" s="384"/>
      <c r="AF115" s="384"/>
      <c r="AG115" s="384"/>
    </row>
    <row r="116" spans="2:33" ht="12.75" customHeight="1">
      <c r="B116" s="402"/>
      <c r="C116" s="457"/>
      <c r="D116" s="458"/>
      <c r="E116" s="458"/>
      <c r="F116" s="458"/>
      <c r="G116" s="458"/>
      <c r="H116" s="458"/>
      <c r="I116" s="458"/>
      <c r="J116" s="458"/>
      <c r="K116" s="458"/>
      <c r="L116" s="466"/>
      <c r="M116" s="402"/>
      <c r="S116" s="391"/>
      <c r="V116" s="395"/>
      <c r="W116" s="390"/>
      <c r="X116" s="390"/>
      <c r="Y116" s="390"/>
      <c r="Z116" s="390"/>
      <c r="AA116" s="390"/>
      <c r="AB116" s="390"/>
      <c r="AC116" s="390"/>
      <c r="AD116" s="390"/>
      <c r="AE116" s="384"/>
      <c r="AF116" s="384"/>
      <c r="AG116" s="384"/>
    </row>
    <row r="117" spans="2:33" ht="12.75" customHeight="1">
      <c r="B117" s="402"/>
      <c r="C117" s="459"/>
      <c r="D117" s="460"/>
      <c r="E117" s="460"/>
      <c r="F117" s="460"/>
      <c r="G117" s="460"/>
      <c r="H117" s="460"/>
      <c r="I117" s="483"/>
      <c r="J117" s="483"/>
      <c r="K117" s="483"/>
      <c r="L117" s="483"/>
      <c r="M117" s="402"/>
      <c r="S117" s="391"/>
      <c r="V117" s="395"/>
      <c r="W117" s="390"/>
      <c r="X117" s="390"/>
      <c r="Y117" s="390"/>
      <c r="Z117" s="390"/>
      <c r="AA117" s="390"/>
      <c r="AB117" s="390"/>
      <c r="AC117" s="390"/>
      <c r="AD117" s="390"/>
      <c r="AE117" s="384"/>
      <c r="AF117" s="384"/>
      <c r="AG117" s="384"/>
    </row>
    <row r="118" spans="2:33" ht="12.75" customHeight="1">
      <c r="B118" s="402"/>
      <c r="C118" s="459"/>
      <c r="D118" s="460"/>
      <c r="E118" s="460"/>
      <c r="F118" s="460"/>
      <c r="G118" s="460"/>
      <c r="H118" s="460"/>
      <c r="I118" s="483"/>
      <c r="J118" s="483"/>
      <c r="K118" s="483"/>
      <c r="L118" s="483"/>
      <c r="M118" s="402"/>
      <c r="S118" s="391"/>
      <c r="V118" s="395"/>
      <c r="W118" s="390"/>
      <c r="X118" s="390"/>
      <c r="Y118" s="390"/>
      <c r="Z118" s="390"/>
      <c r="AA118" s="390"/>
      <c r="AB118" s="390"/>
      <c r="AC118" s="390"/>
      <c r="AD118" s="390"/>
      <c r="AE118" s="384"/>
      <c r="AF118" s="384"/>
      <c r="AG118" s="384"/>
    </row>
    <row r="119" spans="2:33" ht="12.75" customHeight="1">
      <c r="B119" s="402"/>
      <c r="C119" s="402"/>
      <c r="D119" s="462"/>
      <c r="E119" s="462"/>
      <c r="F119" s="462"/>
      <c r="G119" s="462"/>
      <c r="H119" s="462"/>
      <c r="I119" s="462"/>
      <c r="J119" s="462"/>
      <c r="K119" s="462"/>
      <c r="L119" s="491"/>
      <c r="M119" s="462"/>
      <c r="N119" s="378"/>
      <c r="O119" s="378"/>
      <c r="S119" s="391"/>
      <c r="V119" s="395"/>
      <c r="W119" s="390"/>
      <c r="X119" s="390"/>
      <c r="Y119" s="390"/>
      <c r="Z119" s="390"/>
      <c r="AA119" s="390"/>
      <c r="AB119" s="390"/>
      <c r="AC119" s="390"/>
      <c r="AD119" s="390"/>
      <c r="AE119" s="384"/>
      <c r="AF119" s="384"/>
      <c r="AG119" s="384"/>
    </row>
    <row r="120" spans="2:33" ht="12.75" customHeight="1" thickBot="1">
      <c r="B120" s="402"/>
      <c r="C120" s="475" t="s">
        <v>179</v>
      </c>
      <c r="D120" s="462"/>
      <c r="E120" s="462"/>
      <c r="F120" s="462"/>
      <c r="G120" s="462"/>
      <c r="H120" s="462"/>
      <c r="I120" s="462"/>
      <c r="J120" s="462"/>
      <c r="K120" s="462"/>
      <c r="L120" s="493"/>
      <c r="M120" s="402"/>
      <c r="N120" s="386"/>
      <c r="S120" s="391"/>
      <c r="V120" s="395"/>
      <c r="W120" s="390"/>
      <c r="X120" s="390"/>
      <c r="Y120" s="390"/>
      <c r="Z120" s="390"/>
      <c r="AA120" s="390"/>
      <c r="AB120" s="390"/>
      <c r="AC120" s="390"/>
      <c r="AD120" s="390"/>
      <c r="AE120" s="384"/>
      <c r="AF120" s="384"/>
      <c r="AG120" s="384"/>
    </row>
    <row r="121" spans="2:33" ht="12.75" customHeight="1" thickBot="1">
      <c r="B121" s="402"/>
      <c r="C121" s="467" t="s">
        <v>58</v>
      </c>
      <c r="D121" s="453" t="s">
        <v>59</v>
      </c>
      <c r="E121" s="453" t="s">
        <v>60</v>
      </c>
      <c r="F121" s="453" t="s">
        <v>61</v>
      </c>
      <c r="G121" s="453" t="s">
        <v>62</v>
      </c>
      <c r="H121" s="453" t="s">
        <v>63</v>
      </c>
      <c r="I121" s="453" t="s">
        <v>64</v>
      </c>
      <c r="J121" s="453" t="s">
        <v>65</v>
      </c>
      <c r="K121" s="453" t="s">
        <v>66</v>
      </c>
      <c r="L121" s="466"/>
      <c r="M121" s="402"/>
      <c r="O121" s="378"/>
      <c r="S121" s="391"/>
      <c r="V121" s="395"/>
      <c r="W121" s="390"/>
      <c r="X121" s="390"/>
      <c r="Y121" s="390"/>
      <c r="Z121" s="390"/>
      <c r="AA121" s="390"/>
      <c r="AB121" s="390"/>
      <c r="AC121" s="390"/>
      <c r="AD121" s="390"/>
      <c r="AE121" s="384"/>
      <c r="AF121" s="384"/>
      <c r="AG121" s="384"/>
    </row>
    <row r="122" spans="2:33" ht="12.75" customHeight="1">
      <c r="B122" s="402"/>
      <c r="C122" s="454" t="s">
        <v>180</v>
      </c>
      <c r="D122" s="455">
        <f>'ET workings 19-20'!D143</f>
        <v>19.092223163426969</v>
      </c>
      <c r="E122" s="455">
        <f>'ET workings 19-20'!E143</f>
        <v>19.938390494030049</v>
      </c>
      <c r="F122" s="455">
        <f>'ET workings 19-20'!F143</f>
        <v>20.801722802421548</v>
      </c>
      <c r="G122" s="455">
        <f>'ET workings 19-20'!G143</f>
        <v>21.681219642507934</v>
      </c>
      <c r="H122" s="455">
        <f>'ET workings 19-20'!H143</f>
        <v>22.577087638136362</v>
      </c>
      <c r="I122" s="455">
        <f>'ET workings 19-20'!I143</f>
        <v>23.467979516337223</v>
      </c>
      <c r="J122" s="455">
        <f>'ET workings 19-20'!J143</f>
        <v>24.347559388609543</v>
      </c>
      <c r="K122" s="455">
        <f>'ET workings 19-20'!K143</f>
        <v>25.260105914494627</v>
      </c>
      <c r="L122" s="466"/>
      <c r="M122" s="402"/>
      <c r="O122" s="378"/>
      <c r="S122" s="391"/>
      <c r="V122" s="395"/>
      <c r="W122" s="390"/>
      <c r="X122" s="390"/>
      <c r="Y122" s="390"/>
      <c r="Z122" s="390"/>
      <c r="AA122" s="390"/>
      <c r="AB122" s="390"/>
      <c r="AC122" s="390"/>
      <c r="AD122" s="390"/>
      <c r="AE122" s="384"/>
      <c r="AF122" s="384"/>
      <c r="AG122" s="384"/>
    </row>
    <row r="123" spans="2:33" ht="12.75" customHeight="1">
      <c r="B123" s="402"/>
      <c r="C123" s="454" t="s">
        <v>181</v>
      </c>
      <c r="D123" s="455">
        <f>'ET workings 19-20'!D144</f>
        <v>18.768393984911107</v>
      </c>
      <c r="E123" s="455">
        <f>'ET workings 19-20'!E144</f>
        <v>19.600209206322365</v>
      </c>
      <c r="F123" s="455">
        <f>'ET workings 19-20'!F144</f>
        <v>20.448898264956121</v>
      </c>
      <c r="G123" s="455">
        <f>'ET workings 19-20'!G144</f>
        <v>21.313477683598467</v>
      </c>
      <c r="H123" s="455">
        <f>'ET workings 19-20'!H144</f>
        <v>22.194150581484756</v>
      </c>
      <c r="I123" s="455">
        <f>'ET workings 19-20'!I144</f>
        <v>23.069931763430148</v>
      </c>
      <c r="J123" s="455">
        <f>'ET workings 19-20'!J144</f>
        <v>23.934592805923508</v>
      </c>
      <c r="K123" s="455">
        <f>'ET workings 19-20'!K144</f>
        <v>24.831661344289522</v>
      </c>
      <c r="L123" s="466"/>
      <c r="M123" s="402"/>
      <c r="O123" s="378"/>
      <c r="S123" s="391"/>
      <c r="V123" s="395"/>
      <c r="W123" s="390"/>
      <c r="X123" s="390"/>
      <c r="Y123" s="390"/>
      <c r="Z123" s="390"/>
      <c r="AA123" s="390"/>
      <c r="AB123" s="390"/>
      <c r="AC123" s="390"/>
      <c r="AD123" s="390"/>
      <c r="AE123" s="384"/>
      <c r="AF123" s="384"/>
      <c r="AG123" s="384"/>
    </row>
    <row r="124" spans="2:33" ht="12.75" customHeight="1">
      <c r="B124" s="402"/>
      <c r="C124" s="454" t="s">
        <v>182</v>
      </c>
      <c r="D124" s="455">
        <f>'ET workings 19-20'!D146</f>
        <v>7.367</v>
      </c>
      <c r="E124" s="455">
        <f>'ET workings 19-20'!E146</f>
        <v>6.234</v>
      </c>
      <c r="F124" s="455">
        <f>'ET workings 19-20'!F146</f>
        <v>5.5780000000000003</v>
      </c>
      <c r="G124" s="455">
        <f>'ET workings 19-20'!G146</f>
        <v>3.3689999999999998</v>
      </c>
      <c r="H124" s="455">
        <f>'ET workings 19-20'!H146</f>
        <v>3.3680000000000003</v>
      </c>
      <c r="I124" s="455">
        <f>'ET workings 19-20'!I146</f>
        <v>3.1619999999999999</v>
      </c>
      <c r="J124" s="455">
        <f>'ET workings 19-20'!J146</f>
        <v>3.0940000000000003</v>
      </c>
      <c r="K124" s="455">
        <f>'ET workings 19-20'!K146</f>
        <v>3.0270000000000001</v>
      </c>
      <c r="L124" s="466"/>
      <c r="M124" s="402"/>
      <c r="O124" s="378"/>
      <c r="S124" s="391"/>
      <c r="V124" s="395"/>
      <c r="W124" s="390"/>
      <c r="X124" s="390"/>
      <c r="Y124" s="390"/>
      <c r="Z124" s="390"/>
      <c r="AA124" s="390"/>
      <c r="AB124" s="390"/>
      <c r="AC124" s="390"/>
      <c r="AD124" s="390"/>
      <c r="AE124" s="384"/>
      <c r="AF124" s="384"/>
      <c r="AG124" s="384"/>
    </row>
    <row r="125" spans="2:33" ht="12.75" customHeight="1" thickBot="1">
      <c r="B125" s="402"/>
      <c r="C125" s="448" t="s">
        <v>169</v>
      </c>
      <c r="D125" s="461">
        <f>SUM(D122:D124)</f>
        <v>45.227617148338076</v>
      </c>
      <c r="E125" s="461">
        <f t="shared" ref="E125:K125" si="17">SUM(E122:E124)</f>
        <v>45.772599700352416</v>
      </c>
      <c r="F125" s="461">
        <f t="shared" si="17"/>
        <v>46.828621067377668</v>
      </c>
      <c r="G125" s="461">
        <f t="shared" si="17"/>
        <v>46.363697326106404</v>
      </c>
      <c r="H125" s="461">
        <f t="shared" si="17"/>
        <v>48.13923821962112</v>
      </c>
      <c r="I125" s="461">
        <f t="shared" si="17"/>
        <v>49.69991127976737</v>
      </c>
      <c r="J125" s="461">
        <f t="shared" si="17"/>
        <v>51.376152194533056</v>
      </c>
      <c r="K125" s="461">
        <f t="shared" si="17"/>
        <v>53.118767258784146</v>
      </c>
      <c r="L125" s="466"/>
      <c r="M125" s="402"/>
      <c r="O125" s="378"/>
      <c r="S125" s="391"/>
      <c r="V125" s="395"/>
      <c r="W125" s="390"/>
      <c r="X125" s="390"/>
      <c r="Y125" s="390"/>
      <c r="Z125" s="390"/>
      <c r="AA125" s="390"/>
      <c r="AB125" s="390"/>
      <c r="AC125" s="390"/>
      <c r="AD125" s="390"/>
      <c r="AE125" s="384"/>
      <c r="AF125" s="384"/>
      <c r="AG125" s="384"/>
    </row>
    <row r="126" spans="2:33">
      <c r="B126" s="402"/>
      <c r="C126" s="402"/>
      <c r="D126" s="402"/>
      <c r="E126" s="402"/>
      <c r="F126" s="402"/>
      <c r="G126" s="402"/>
      <c r="H126" s="402"/>
      <c r="I126" s="402"/>
      <c r="J126" s="402"/>
      <c r="K126" s="402"/>
      <c r="L126" s="494"/>
      <c r="M126" s="402"/>
      <c r="V126" s="395"/>
      <c r="W126" s="390"/>
      <c r="X126" s="390"/>
      <c r="Y126" s="390"/>
      <c r="Z126" s="390"/>
      <c r="AA126" s="390"/>
      <c r="AB126" s="390"/>
      <c r="AC126" s="390"/>
      <c r="AD126" s="390"/>
      <c r="AE126" s="384"/>
      <c r="AF126" s="384"/>
      <c r="AG126" s="384"/>
    </row>
    <row r="127" spans="2:33">
      <c r="L127" s="397"/>
      <c r="V127" s="395"/>
      <c r="W127" s="390"/>
      <c r="X127" s="390"/>
      <c r="Y127" s="390"/>
      <c r="Z127" s="390"/>
      <c r="AA127" s="390"/>
      <c r="AB127" s="390"/>
      <c r="AC127" s="390"/>
      <c r="AD127" s="390"/>
      <c r="AE127" s="384"/>
      <c r="AF127" s="384"/>
      <c r="AG127" s="384"/>
    </row>
    <row r="128" spans="2:33" ht="23.4">
      <c r="B128" s="400">
        <v>5</v>
      </c>
      <c r="C128" s="430" t="s">
        <v>115</v>
      </c>
      <c r="D128" s="402"/>
      <c r="E128" s="402"/>
      <c r="F128" s="402"/>
      <c r="G128" s="402"/>
      <c r="H128" s="402"/>
      <c r="I128" s="402"/>
      <c r="J128" s="402"/>
      <c r="K128" s="402"/>
      <c r="L128" s="466"/>
      <c r="M128" s="402"/>
    </row>
    <row r="129" spans="2:15" ht="126" customHeight="1">
      <c r="B129" s="400"/>
      <c r="C129" s="528" t="s">
        <v>451</v>
      </c>
      <c r="D129" s="529"/>
      <c r="E129" s="529"/>
      <c r="F129" s="529"/>
      <c r="G129" s="529"/>
      <c r="H129" s="529"/>
      <c r="I129" s="529"/>
      <c r="J129" s="529"/>
      <c r="K129" s="529"/>
      <c r="L129" s="529"/>
      <c r="M129" s="402"/>
    </row>
    <row r="130" spans="2:15" ht="6.75" customHeight="1">
      <c r="B130" s="402"/>
      <c r="C130" s="402"/>
      <c r="D130" s="402"/>
      <c r="E130" s="402"/>
      <c r="F130" s="402"/>
      <c r="G130" s="402"/>
      <c r="H130" s="402"/>
      <c r="I130" s="402"/>
      <c r="J130" s="402"/>
      <c r="K130" s="402"/>
      <c r="L130" s="466"/>
      <c r="M130" s="402"/>
    </row>
    <row r="131" spans="2:15" ht="13.8" thickBot="1">
      <c r="B131" s="402"/>
      <c r="C131" s="448" t="s">
        <v>377</v>
      </c>
      <c r="D131" s="462"/>
      <c r="E131" s="462"/>
      <c r="F131" s="448"/>
      <c r="G131" s="448"/>
      <c r="H131" s="448"/>
      <c r="I131" s="448"/>
      <c r="J131" s="448"/>
      <c r="K131" s="402"/>
      <c r="L131" s="448"/>
      <c r="M131" s="402"/>
      <c r="N131" s="386"/>
      <c r="O131" s="386"/>
    </row>
    <row r="132" spans="2:15" ht="13.8" thickBot="1">
      <c r="B132" s="402"/>
      <c r="C132" s="467" t="s">
        <v>58</v>
      </c>
      <c r="D132" s="453" t="s">
        <v>59</v>
      </c>
      <c r="E132" s="453" t="s">
        <v>60</v>
      </c>
      <c r="F132" s="453" t="s">
        <v>61</v>
      </c>
      <c r="G132" s="453" t="s">
        <v>62</v>
      </c>
      <c r="H132" s="453" t="s">
        <v>63</v>
      </c>
      <c r="I132" s="453" t="s">
        <v>64</v>
      </c>
      <c r="J132" s="453" t="s">
        <v>65</v>
      </c>
      <c r="K132" s="453" t="s">
        <v>66</v>
      </c>
      <c r="L132" s="453" t="s">
        <v>118</v>
      </c>
      <c r="M132" s="402"/>
    </row>
    <row r="133" spans="2:15">
      <c r="B133" s="402"/>
      <c r="C133" s="454"/>
      <c r="D133" s="455"/>
      <c r="E133" s="455"/>
      <c r="F133" s="455"/>
      <c r="G133" s="455"/>
      <c r="H133" s="455"/>
      <c r="I133" s="455"/>
      <c r="J133" s="455"/>
      <c r="K133" s="455"/>
      <c r="L133" s="478"/>
      <c r="M133" s="402"/>
    </row>
    <row r="134" spans="2:15">
      <c r="B134" s="402"/>
      <c r="C134" s="454" t="s">
        <v>157</v>
      </c>
      <c r="D134" s="496">
        <v>39.230261993822481</v>
      </c>
      <c r="E134" s="496">
        <v>34.208586772300464</v>
      </c>
      <c r="F134" s="496">
        <v>30.894900022849214</v>
      </c>
      <c r="G134" s="496">
        <v>28.301072099524138</v>
      </c>
      <c r="H134" s="496">
        <v>30.672102023183324</v>
      </c>
      <c r="I134" s="496">
        <v>21.438897958036218</v>
      </c>
      <c r="J134" s="496">
        <v>26.487810428292697</v>
      </c>
      <c r="K134" s="496">
        <v>26.426824166461682</v>
      </c>
      <c r="L134" s="497">
        <f>SUM(D134:K134)</f>
        <v>237.66045546447023</v>
      </c>
      <c r="M134" s="402"/>
      <c r="N134" s="378"/>
    </row>
    <row r="135" spans="2:15">
      <c r="B135" s="402"/>
      <c r="C135" s="454" t="s">
        <v>70</v>
      </c>
      <c r="D135" s="496">
        <v>73.775027711210655</v>
      </c>
      <c r="E135" s="496">
        <v>74.857370793520886</v>
      </c>
      <c r="F135" s="496">
        <v>83.380513630549061</v>
      </c>
      <c r="G135" s="496">
        <v>83.456770329445604</v>
      </c>
      <c r="H135" s="496">
        <v>83.996521544219092</v>
      </c>
      <c r="I135" s="496">
        <v>84.553084139559033</v>
      </c>
      <c r="J135" s="496">
        <v>86.295296789691179</v>
      </c>
      <c r="K135" s="496">
        <v>88.042998764159549</v>
      </c>
      <c r="L135" s="497">
        <f t="shared" ref="L135:L138" si="18">SUM(D135:K135)</f>
        <v>658.35758370235499</v>
      </c>
      <c r="M135" s="402"/>
      <c r="N135" s="378"/>
    </row>
    <row r="136" spans="2:15">
      <c r="B136" s="402"/>
      <c r="C136" s="457" t="s">
        <v>158</v>
      </c>
      <c r="D136" s="509">
        <v>113.00528970503314</v>
      </c>
      <c r="E136" s="509">
        <v>109.06595756582135</v>
      </c>
      <c r="F136" s="509">
        <v>106.41534028985718</v>
      </c>
      <c r="G136" s="509">
        <v>105.7471980921442</v>
      </c>
      <c r="H136" s="509">
        <v>108.95220657573617</v>
      </c>
      <c r="I136" s="509">
        <v>100.37644305284076</v>
      </c>
      <c r="J136" s="509">
        <v>107.18438116438134</v>
      </c>
      <c r="K136" s="509">
        <v>109.0812592664182</v>
      </c>
      <c r="L136" s="509">
        <f t="shared" si="18"/>
        <v>859.82807571223236</v>
      </c>
      <c r="M136" s="402"/>
    </row>
    <row r="137" spans="2:15">
      <c r="B137" s="402"/>
      <c r="C137" s="454" t="s">
        <v>72</v>
      </c>
      <c r="D137" s="496">
        <f>D138-D136</f>
        <v>13.118423307626387</v>
      </c>
      <c r="E137" s="496">
        <f t="shared" ref="E137:K137" si="19">E138-E136</f>
        <v>5.4593776986255023</v>
      </c>
      <c r="F137" s="496">
        <f t="shared" si="19"/>
        <v>13.669662381843921</v>
      </c>
      <c r="G137" s="496">
        <f t="shared" si="19"/>
        <v>18.482576727515578</v>
      </c>
      <c r="H137" s="496">
        <f t="shared" si="19"/>
        <v>26.531254125216719</v>
      </c>
      <c r="I137" s="496">
        <f t="shared" si="19"/>
        <v>60.57685174833756</v>
      </c>
      <c r="J137" s="496">
        <f t="shared" si="19"/>
        <v>29.206149506371275</v>
      </c>
      <c r="K137" s="496">
        <f t="shared" si="19"/>
        <v>25.654987116971753</v>
      </c>
      <c r="L137" s="497">
        <f t="shared" si="18"/>
        <v>192.69928261250868</v>
      </c>
      <c r="M137" s="402"/>
      <c r="N137" s="378"/>
    </row>
    <row r="138" spans="2:15">
      <c r="B138" s="402"/>
      <c r="C138" s="457" t="s">
        <v>73</v>
      </c>
      <c r="D138" s="509">
        <f>'ET workings 19-20'!D9+'ET workings 19-20'!D12+'ET workings 19-20'!D13</f>
        <v>126.12371301265952</v>
      </c>
      <c r="E138" s="509">
        <f>'ET workings 19-20'!E9+'ET workings 19-20'!E12+'ET workings 19-20'!E13</f>
        <v>114.52533526444685</v>
      </c>
      <c r="F138" s="509">
        <f>'ET workings 19-20'!F9+'ET workings 19-20'!F12+'ET workings 19-20'!F13</f>
        <v>120.0850026717011</v>
      </c>
      <c r="G138" s="509">
        <f>'ET workings 19-20'!G9+'ET workings 19-20'!G12+'ET workings 19-20'!G13</f>
        <v>124.22977481965978</v>
      </c>
      <c r="H138" s="509">
        <f>'ET workings 19-20'!H9+'ET workings 19-20'!H12+'ET workings 19-20'!H13</f>
        <v>135.48346070095289</v>
      </c>
      <c r="I138" s="509">
        <f>'ET workings 19-20'!I9+'ET workings 19-20'!I12+'ET workings 19-20'!I13</f>
        <v>160.95329480117832</v>
      </c>
      <c r="J138" s="509">
        <f>'ET workings 19-20'!J9+'ET workings 19-20'!J12+'ET workings 19-20'!J13</f>
        <v>136.39053067075261</v>
      </c>
      <c r="K138" s="509">
        <f>'ET workings 19-20'!K9+'ET workings 19-20'!K12+'ET workings 19-20'!K13</f>
        <v>134.73624638338995</v>
      </c>
      <c r="L138" s="509">
        <f t="shared" si="18"/>
        <v>1052.527358324741</v>
      </c>
      <c r="M138" s="402"/>
      <c r="N138" s="378"/>
    </row>
    <row r="139" spans="2:15">
      <c r="B139" s="402"/>
      <c r="C139" s="459"/>
      <c r="D139" s="498"/>
      <c r="E139" s="498"/>
      <c r="F139" s="498"/>
      <c r="G139" s="498"/>
      <c r="H139" s="498"/>
      <c r="I139" s="498"/>
      <c r="J139" s="498"/>
      <c r="K139" s="498"/>
      <c r="L139" s="498"/>
      <c r="M139" s="402"/>
    </row>
    <row r="140" spans="2:15">
      <c r="B140" s="402"/>
      <c r="C140" s="454" t="s">
        <v>121</v>
      </c>
      <c r="D140" s="496">
        <f>'ET workings 19-20'!D32</f>
        <v>32.211047115864659</v>
      </c>
      <c r="E140" s="496">
        <f>'ET workings 19-20'!E32</f>
        <v>34.412038344731393</v>
      </c>
      <c r="F140" s="496">
        <f>'ET workings 19-20'!F32</f>
        <v>33.431784730351907</v>
      </c>
      <c r="G140" s="496">
        <f>'ET workings 19-20'!G32</f>
        <v>45.046194512275676</v>
      </c>
      <c r="H140" s="496">
        <f>'ET workings 19-20'!H32</f>
        <v>48.724532627252877</v>
      </c>
      <c r="I140" s="496">
        <f>'ET workings 19-20'!I32</f>
        <v>53.168621085072047</v>
      </c>
      <c r="J140" s="496">
        <f>'ET workings 19-20'!J32</f>
        <v>40.391810428292693</v>
      </c>
      <c r="K140" s="496">
        <f>'ET workings 19-20'!K32</f>
        <v>37.182824166461685</v>
      </c>
      <c r="L140" s="497">
        <f>SUM(D140:K140)</f>
        <v>324.56885301030292</v>
      </c>
      <c r="M140" s="402"/>
      <c r="N140" s="378"/>
    </row>
    <row r="141" spans="2:15">
      <c r="B141" s="402"/>
      <c r="C141" s="454" t="s">
        <v>76</v>
      </c>
      <c r="D141" s="496">
        <f>'ET workings 19-20'!D31</f>
        <v>81.990982577070014</v>
      </c>
      <c r="E141" s="496">
        <f>'ET workings 19-20'!E31</f>
        <v>79.325370564392955</v>
      </c>
      <c r="F141" s="496">
        <f>'ET workings 19-20'!F31</f>
        <v>82.444959949703602</v>
      </c>
      <c r="G141" s="496">
        <f>'ET workings 19-20'!G31</f>
        <v>87.244218866382454</v>
      </c>
      <c r="H141" s="496">
        <f>'ET workings 19-20'!H31</f>
        <v>93.13512278909549</v>
      </c>
      <c r="I141" s="496">
        <f>'ET workings 19-20'!I31</f>
        <v>107.78467371610627</v>
      </c>
      <c r="J141" s="496">
        <f>'ET workings 19-20'!J31</f>
        <v>95.99872024245991</v>
      </c>
      <c r="K141" s="496">
        <f>'ET workings 19-20'!K31</f>
        <v>97.553422216928269</v>
      </c>
      <c r="L141" s="497">
        <f t="shared" ref="L141:L142" si="20">SUM(D141:K141)</f>
        <v>725.47747092213899</v>
      </c>
      <c r="M141" s="402"/>
      <c r="N141" s="378"/>
    </row>
    <row r="142" spans="2:15">
      <c r="B142" s="402"/>
      <c r="C142" s="457" t="s">
        <v>77</v>
      </c>
      <c r="D142" s="509">
        <f>SUM(D140:D141)</f>
        <v>114.20202969293467</v>
      </c>
      <c r="E142" s="509">
        <f t="shared" ref="E142:K142" si="21">SUM(E140:E141)</f>
        <v>113.73740890912435</v>
      </c>
      <c r="F142" s="509">
        <f t="shared" si="21"/>
        <v>115.87674468005551</v>
      </c>
      <c r="G142" s="509">
        <f t="shared" si="21"/>
        <v>132.29041337865812</v>
      </c>
      <c r="H142" s="509">
        <f t="shared" si="21"/>
        <v>141.85965541634837</v>
      </c>
      <c r="I142" s="509">
        <f t="shared" si="21"/>
        <v>160.95329480117832</v>
      </c>
      <c r="J142" s="509">
        <f t="shared" si="21"/>
        <v>136.39053067075261</v>
      </c>
      <c r="K142" s="509">
        <f t="shared" si="21"/>
        <v>134.73624638338995</v>
      </c>
      <c r="L142" s="509">
        <f t="shared" si="20"/>
        <v>1050.046323932442</v>
      </c>
      <c r="M142" s="402"/>
    </row>
    <row r="143" spans="2:15">
      <c r="B143" s="402"/>
      <c r="C143" s="459"/>
      <c r="D143" s="499"/>
      <c r="E143" s="498"/>
      <c r="F143" s="498"/>
      <c r="G143" s="498"/>
      <c r="H143" s="498"/>
      <c r="I143" s="498"/>
      <c r="J143" s="498"/>
      <c r="K143" s="498"/>
      <c r="L143" s="498"/>
      <c r="M143" s="402"/>
    </row>
    <row r="144" spans="2:15">
      <c r="B144" s="402"/>
      <c r="C144" s="457" t="s">
        <v>159</v>
      </c>
      <c r="D144" s="509">
        <f>D138-(D138-D142)*(1-$D$11)</f>
        <v>119.80522085320536</v>
      </c>
      <c r="E144" s="509">
        <f t="shared" ref="E144:K144" si="22">E138-(E138-E142)*(1-$D$11)</f>
        <v>114.10773429612593</v>
      </c>
      <c r="F144" s="509">
        <f t="shared" si="22"/>
        <v>117.85462593612894</v>
      </c>
      <c r="G144" s="509">
        <f t="shared" si="22"/>
        <v>128.50191325592891</v>
      </c>
      <c r="H144" s="509">
        <f t="shared" si="22"/>
        <v>138.86284390011249</v>
      </c>
      <c r="I144" s="509">
        <f t="shared" si="22"/>
        <v>160.95329480117832</v>
      </c>
      <c r="J144" s="509">
        <f t="shared" si="22"/>
        <v>136.39053067075261</v>
      </c>
      <c r="K144" s="509">
        <f t="shared" si="22"/>
        <v>134.73624638338995</v>
      </c>
      <c r="L144" s="509">
        <f>SUM(D144:K144)</f>
        <v>1051.2124100968226</v>
      </c>
      <c r="M144" s="402"/>
    </row>
    <row r="145" spans="2:13">
      <c r="B145" s="402"/>
      <c r="C145" s="454" t="s">
        <v>79</v>
      </c>
      <c r="D145" s="496">
        <f>D144*(1-$D$10)</f>
        <v>86.379564235161055</v>
      </c>
      <c r="E145" s="496">
        <f t="shared" ref="E145:K145" si="23">E144*(1-$D$10)</f>
        <v>82.27167642750679</v>
      </c>
      <c r="F145" s="496">
        <f t="shared" si="23"/>
        <v>84.973185299948966</v>
      </c>
      <c r="G145" s="496">
        <f t="shared" si="23"/>
        <v>92.649879457524747</v>
      </c>
      <c r="H145" s="496">
        <f t="shared" si="23"/>
        <v>100.12011045198111</v>
      </c>
      <c r="I145" s="496">
        <f t="shared" si="23"/>
        <v>116.04732555164956</v>
      </c>
      <c r="J145" s="496">
        <f t="shared" si="23"/>
        <v>98.337572613612622</v>
      </c>
      <c r="K145" s="496">
        <f t="shared" si="23"/>
        <v>97.14483364242416</v>
      </c>
      <c r="L145" s="497">
        <f t="shared" ref="L145:L146" si="24">SUM(D145:K145)</f>
        <v>757.92414767980904</v>
      </c>
      <c r="M145" s="402"/>
    </row>
    <row r="146" spans="2:13" ht="13.8" thickBot="1">
      <c r="B146" s="402"/>
      <c r="C146" s="463" t="s">
        <v>80</v>
      </c>
      <c r="D146" s="464">
        <f>D144*$D$10</f>
        <v>33.4256566180443</v>
      </c>
      <c r="E146" s="464">
        <f t="shared" ref="E146:K146" si="25">E144*$D$10</f>
        <v>31.836057868619136</v>
      </c>
      <c r="F146" s="464">
        <f t="shared" si="25"/>
        <v>32.881440636179974</v>
      </c>
      <c r="G146" s="464">
        <f t="shared" si="25"/>
        <v>35.852033798404172</v>
      </c>
      <c r="H146" s="464">
        <f t="shared" si="25"/>
        <v>38.742733448131389</v>
      </c>
      <c r="I146" s="464">
        <f t="shared" si="25"/>
        <v>44.905969249528752</v>
      </c>
      <c r="J146" s="464">
        <f t="shared" si="25"/>
        <v>38.052958057139982</v>
      </c>
      <c r="K146" s="464">
        <f t="shared" si="25"/>
        <v>37.591412740965801</v>
      </c>
      <c r="L146" s="510">
        <f t="shared" si="24"/>
        <v>293.28826241701353</v>
      </c>
      <c r="M146" s="402"/>
    </row>
    <row r="147" spans="2:13">
      <c r="B147" s="402"/>
      <c r="C147" s="454"/>
      <c r="D147" s="496"/>
      <c r="E147" s="496"/>
      <c r="F147" s="496"/>
      <c r="G147" s="496"/>
      <c r="H147" s="496"/>
      <c r="I147" s="496"/>
      <c r="J147" s="496"/>
      <c r="K147" s="496"/>
      <c r="L147" s="497"/>
      <c r="M147" s="402"/>
    </row>
    <row r="148" spans="2:13" ht="38.25" customHeight="1">
      <c r="B148" s="402"/>
      <c r="C148" s="528" t="s">
        <v>81</v>
      </c>
      <c r="D148" s="529"/>
      <c r="E148" s="529"/>
      <c r="F148" s="529"/>
      <c r="G148" s="529"/>
      <c r="H148" s="529"/>
      <c r="I148" s="529"/>
      <c r="J148" s="529"/>
      <c r="K148" s="529"/>
      <c r="L148" s="529"/>
      <c r="M148" s="402"/>
    </row>
    <row r="149" spans="2:13" ht="7.5" customHeight="1">
      <c r="B149" s="402"/>
      <c r="C149" s="454"/>
      <c r="D149" s="496"/>
      <c r="E149" s="496"/>
      <c r="F149" s="496"/>
      <c r="G149" s="496"/>
      <c r="H149" s="496"/>
      <c r="I149" s="496"/>
      <c r="J149" s="496"/>
      <c r="K149" s="496"/>
      <c r="L149" s="497"/>
      <c r="M149" s="402"/>
    </row>
    <row r="150" spans="2:13" ht="13.8" thickBot="1">
      <c r="B150" s="402"/>
      <c r="C150" s="448" t="s">
        <v>376</v>
      </c>
      <c r="D150" s="462"/>
      <c r="E150" s="462"/>
      <c r="F150" s="448"/>
      <c r="G150" s="448"/>
      <c r="H150" s="448"/>
      <c r="I150" s="448"/>
      <c r="J150" s="448"/>
      <c r="K150" s="402"/>
      <c r="L150" s="497"/>
      <c r="M150" s="402"/>
    </row>
    <row r="151" spans="2:13" ht="13.8" thickBot="1">
      <c r="B151" s="402"/>
      <c r="C151" s="467" t="s">
        <v>58</v>
      </c>
      <c r="D151" s="453" t="s">
        <v>59</v>
      </c>
      <c r="E151" s="453" t="s">
        <v>60</v>
      </c>
      <c r="F151" s="453" t="s">
        <v>61</v>
      </c>
      <c r="G151" s="453" t="s">
        <v>62</v>
      </c>
      <c r="H151" s="453" t="s">
        <v>63</v>
      </c>
      <c r="I151" s="453" t="s">
        <v>64</v>
      </c>
      <c r="J151" s="453" t="s">
        <v>65</v>
      </c>
      <c r="K151" s="453" t="s">
        <v>66</v>
      </c>
      <c r="L151" s="497"/>
      <c r="M151" s="402"/>
    </row>
    <row r="152" spans="2:13">
      <c r="B152" s="402"/>
      <c r="C152" s="454" t="s">
        <v>91</v>
      </c>
      <c r="D152" s="455">
        <f>'ET workings 19-20'!D$153</f>
        <v>74.160747515587701</v>
      </c>
      <c r="E152" s="455">
        <f>'ET workings 19-20'!E$153</f>
        <v>94.867572674081416</v>
      </c>
      <c r="F152" s="455">
        <f>'ET workings 19-20'!F$153</f>
        <v>107.32395023965394</v>
      </c>
      <c r="G152" s="455">
        <f>'ET workings 19-20'!G$153</f>
        <v>117.68156233117602</v>
      </c>
      <c r="H152" s="455">
        <f>'ET workings 19-20'!H$153</f>
        <v>128.14555715234539</v>
      </c>
      <c r="I152" s="455">
        <f>'ET workings 19-20'!I$153</f>
        <v>137.84340374580378</v>
      </c>
      <c r="J152" s="455">
        <f>'ET workings 19-20'!J$153</f>
        <v>150.67545990927701</v>
      </c>
      <c r="K152" s="455">
        <f>'ET workings 19-20'!K$153</f>
        <v>153.08746140391688</v>
      </c>
      <c r="L152" s="497"/>
      <c r="M152" s="402"/>
    </row>
    <row r="153" spans="2:13">
      <c r="B153" s="402"/>
      <c r="C153" s="454" t="s">
        <v>84</v>
      </c>
      <c r="D153" s="455">
        <f>'ET workings 19-20'!D$258</f>
        <v>2.9301486584244367</v>
      </c>
      <c r="E153" s="455">
        <f>'ET workings 19-20'!E$258</f>
        <v>0</v>
      </c>
      <c r="F153" s="455">
        <f>'ET workings 19-20'!F$258</f>
        <v>0</v>
      </c>
      <c r="G153" s="455">
        <f>'ET workings 19-20'!G$258</f>
        <v>0</v>
      </c>
      <c r="H153" s="455">
        <f>'ET workings 19-20'!H$258</f>
        <v>0</v>
      </c>
      <c r="I153" s="455">
        <f>'ET workings 19-20'!I$258</f>
        <v>0</v>
      </c>
      <c r="J153" s="455">
        <f>'ET workings 19-20'!J$258</f>
        <v>0</v>
      </c>
      <c r="K153" s="455">
        <f>'ET workings 19-20'!K$258</f>
        <v>0</v>
      </c>
      <c r="L153" s="497"/>
      <c r="M153" s="402"/>
    </row>
    <row r="154" spans="2:13">
      <c r="B154" s="402"/>
      <c r="C154" s="454" t="s">
        <v>86</v>
      </c>
      <c r="D154" s="455">
        <f>'ET workings 19-20'!D$154-'NGET AIP 2018'!D153</f>
        <v>33.421997853433474</v>
      </c>
      <c r="E154" s="455">
        <f>'ET workings 19-20'!E$154-'NGET AIP 2018'!E153</f>
        <v>31.83581605402069</v>
      </c>
      <c r="F154" s="455">
        <f>'ET workings 19-20'!F$154-'NGET AIP 2018'!F153</f>
        <v>32.88014912180234</v>
      </c>
      <c r="G154" s="455">
        <f>'ET workings 19-20'!G$154-'NGET AIP 2018'!G153</f>
        <v>35.854507608377922</v>
      </c>
      <c r="H154" s="455">
        <f>'ET workings 19-20'!H$154-'NGET AIP 2018'!H153</f>
        <v>38.744690302289541</v>
      </c>
      <c r="I154" s="455">
        <f>'ET workings 19-20'!I$154-'NGET AIP 2018'!I153</f>
        <v>44.905969249528752</v>
      </c>
      <c r="J154" s="455">
        <f>'ET workings 19-20'!J$154-'NGET AIP 2018'!J153</f>
        <v>38.052958057139982</v>
      </c>
      <c r="K154" s="455">
        <f>'ET workings 19-20'!K$154-'NGET AIP 2018'!K153</f>
        <v>37.591412740965801</v>
      </c>
      <c r="L154" s="497"/>
      <c r="M154" s="402"/>
    </row>
    <row r="155" spans="2:13">
      <c r="B155" s="402"/>
      <c r="C155" s="454" t="s">
        <v>87</v>
      </c>
      <c r="D155" s="455">
        <f>'ET workings 19-20'!D$155</f>
        <v>-15.645321353364194</v>
      </c>
      <c r="E155" s="455">
        <f>'ET workings 19-20'!E$155</f>
        <v>-19.379438488448173</v>
      </c>
      <c r="F155" s="455">
        <f>'ET workings 19-20'!F$155</f>
        <v>-22.522537030280255</v>
      </c>
      <c r="G155" s="455">
        <f>'ET workings 19-20'!G$155</f>
        <v>-25.390512787208571</v>
      </c>
      <c r="H155" s="455">
        <f>'ET workings 19-20'!H$155</f>
        <v>-29.046843708831144</v>
      </c>
      <c r="I155" s="455">
        <f>'ET workings 19-20'!I$155</f>
        <v>-32.073913086055505</v>
      </c>
      <c r="J155" s="455">
        <f>'ET workings 19-20'!J$155</f>
        <v>-35.640956562500122</v>
      </c>
      <c r="K155" s="455">
        <f>'ET workings 19-20'!K$155</f>
        <v>-36.946605272145305</v>
      </c>
      <c r="L155" s="497"/>
      <c r="M155" s="402"/>
    </row>
    <row r="156" spans="2:13" ht="13.8" thickBot="1">
      <c r="B156" s="402"/>
      <c r="C156" s="448" t="s">
        <v>94</v>
      </c>
      <c r="D156" s="461">
        <f>SUM(D152:D155)</f>
        <v>94.867572674081416</v>
      </c>
      <c r="E156" s="461">
        <f t="shared" ref="E156:K156" si="26">SUM(E152:E155)</f>
        <v>107.32395023965394</v>
      </c>
      <c r="F156" s="461">
        <f t="shared" si="26"/>
        <v>117.68156233117602</v>
      </c>
      <c r="G156" s="461">
        <f t="shared" si="26"/>
        <v>128.14555715234539</v>
      </c>
      <c r="H156" s="461">
        <f t="shared" si="26"/>
        <v>137.84340374580378</v>
      </c>
      <c r="I156" s="461">
        <f t="shared" si="26"/>
        <v>150.67545990927701</v>
      </c>
      <c r="J156" s="461">
        <f t="shared" si="26"/>
        <v>153.08746140391688</v>
      </c>
      <c r="K156" s="461">
        <f t="shared" si="26"/>
        <v>153.73226887273739</v>
      </c>
      <c r="L156" s="466"/>
      <c r="M156" s="402"/>
    </row>
    <row r="157" spans="2:13">
      <c r="B157" s="402"/>
      <c r="C157" s="457"/>
      <c r="D157" s="458"/>
      <c r="E157" s="458"/>
      <c r="F157" s="458"/>
      <c r="G157" s="458"/>
      <c r="H157" s="458"/>
      <c r="I157" s="458"/>
      <c r="J157" s="458"/>
      <c r="K157" s="458"/>
      <c r="L157" s="466"/>
      <c r="M157" s="402"/>
    </row>
    <row r="158" spans="2:13">
      <c r="B158" s="402"/>
      <c r="C158" s="457"/>
      <c r="D158" s="458"/>
      <c r="E158" s="458"/>
      <c r="F158" s="458"/>
      <c r="G158" s="458"/>
      <c r="H158" s="458"/>
      <c r="I158" s="458"/>
      <c r="J158" s="458"/>
      <c r="K158" s="458"/>
      <c r="L158" s="466"/>
      <c r="M158" s="402"/>
    </row>
    <row r="160" spans="2:13" ht="23.4">
      <c r="B160" s="400">
        <v>6</v>
      </c>
      <c r="C160" s="430" t="s">
        <v>123</v>
      </c>
      <c r="D160" s="402"/>
      <c r="E160" s="402"/>
      <c r="F160" s="402"/>
      <c r="G160" s="402"/>
      <c r="H160" s="402"/>
      <c r="I160" s="402"/>
      <c r="J160" s="402"/>
      <c r="K160" s="402"/>
      <c r="L160" s="466"/>
      <c r="M160" s="402"/>
    </row>
    <row r="161" spans="2:13" ht="56.25" customHeight="1">
      <c r="B161" s="400"/>
      <c r="C161" s="528" t="s">
        <v>452</v>
      </c>
      <c r="D161" s="528"/>
      <c r="E161" s="528"/>
      <c r="F161" s="528"/>
      <c r="G161" s="528"/>
      <c r="H161" s="528"/>
      <c r="I161" s="528"/>
      <c r="J161" s="528"/>
      <c r="K161" s="528"/>
      <c r="L161" s="528"/>
      <c r="M161" s="402"/>
    </row>
    <row r="162" spans="2:13">
      <c r="B162" s="402"/>
      <c r="C162" s="402"/>
      <c r="D162" s="402"/>
      <c r="E162" s="402"/>
      <c r="F162" s="402"/>
      <c r="G162" s="402"/>
      <c r="H162" s="402"/>
      <c r="I162" s="402"/>
      <c r="J162" s="402"/>
      <c r="K162" s="402"/>
      <c r="L162" s="466"/>
      <c r="M162" s="402"/>
    </row>
    <row r="163" spans="2:13" ht="13.8" thickBot="1">
      <c r="B163" s="402"/>
      <c r="C163" s="448" t="s">
        <v>379</v>
      </c>
      <c r="D163" s="462"/>
      <c r="E163" s="462"/>
      <c r="F163" s="448"/>
      <c r="G163" s="448"/>
      <c r="H163" s="448"/>
      <c r="I163" s="448"/>
      <c r="J163" s="448"/>
      <c r="K163" s="402"/>
      <c r="L163" s="466"/>
      <c r="M163" s="402"/>
    </row>
    <row r="164" spans="2:13" ht="13.8" thickBot="1">
      <c r="B164" s="402"/>
      <c r="C164" s="467" t="s">
        <v>58</v>
      </c>
      <c r="D164" s="453" t="s">
        <v>59</v>
      </c>
      <c r="E164" s="453" t="s">
        <v>60</v>
      </c>
      <c r="F164" s="453" t="s">
        <v>61</v>
      </c>
      <c r="G164" s="453" t="s">
        <v>62</v>
      </c>
      <c r="H164" s="453" t="s">
        <v>63</v>
      </c>
      <c r="I164" s="453" t="s">
        <v>64</v>
      </c>
      <c r="J164" s="453" t="s">
        <v>65</v>
      </c>
      <c r="K164" s="453" t="s">
        <v>66</v>
      </c>
      <c r="L164" s="490"/>
      <c r="M164" s="402"/>
    </row>
    <row r="165" spans="2:13">
      <c r="B165" s="402"/>
      <c r="C165" s="454" t="s">
        <v>79</v>
      </c>
      <c r="D165" s="455">
        <f>'ET workings 19-20'!D204</f>
        <v>86.370109148120193</v>
      </c>
      <c r="E165" s="455">
        <f>'ET workings 19-20'!E204</f>
        <v>82.271051523114394</v>
      </c>
      <c r="F165" s="455">
        <f>'ET workings 19-20'!F204</f>
        <v>84.96984773053579</v>
      </c>
      <c r="G165" s="455">
        <f>'ET workings 19-20'!G204</f>
        <v>92.656272349965874</v>
      </c>
      <c r="H165" s="455">
        <f>'ET workings 19-20'!H204</f>
        <v>100.12516741200989</v>
      </c>
      <c r="I165" s="455">
        <f>'ET workings 19-20'!I204</f>
        <v>116.04732555164956</v>
      </c>
      <c r="J165" s="455">
        <f>'ET workings 19-20'!J204</f>
        <v>98.337572613612622</v>
      </c>
      <c r="K165" s="455">
        <f>'ET workings 19-20'!K204</f>
        <v>97.14483364242416</v>
      </c>
      <c r="L165" s="478"/>
      <c r="M165" s="402"/>
    </row>
    <row r="166" spans="2:13">
      <c r="B166" s="402"/>
      <c r="C166" s="454" t="s">
        <v>98</v>
      </c>
      <c r="D166" s="455">
        <f>'ET workings 19-20'!D205</f>
        <v>0</v>
      </c>
      <c r="E166" s="455">
        <v>0</v>
      </c>
      <c r="F166" s="455">
        <v>0</v>
      </c>
      <c r="G166" s="455">
        <v>0</v>
      </c>
      <c r="H166" s="455">
        <v>0</v>
      </c>
      <c r="I166" s="455">
        <v>0</v>
      </c>
      <c r="J166" s="455">
        <v>0</v>
      </c>
      <c r="K166" s="455">
        <v>0</v>
      </c>
      <c r="L166" s="478"/>
      <c r="M166" s="402"/>
    </row>
    <row r="167" spans="2:13">
      <c r="B167" s="402"/>
      <c r="C167" s="454" t="s">
        <v>99</v>
      </c>
      <c r="D167" s="455">
        <f>'ET workings 19-20'!D252</f>
        <v>10.271521977223172</v>
      </c>
      <c r="E167" s="455">
        <f>'ET workings 19-20'!E252</f>
        <v>10.214748985437437</v>
      </c>
      <c r="F167" s="455">
        <f>'ET workings 19-20'!F252</f>
        <v>11.357789408220997</v>
      </c>
      <c r="G167" s="455">
        <f>'ET workings 19-20'!G252</f>
        <v>11.50271907609619</v>
      </c>
      <c r="H167" s="455">
        <f>'ET workings 19-20'!H252</f>
        <v>11.448485075095853</v>
      </c>
      <c r="I167" s="455">
        <f>'ET workings 19-20'!I252</f>
        <v>10.073255471065824</v>
      </c>
      <c r="J167" s="455">
        <f>'ET workings 19-20'!J252</f>
        <v>10.218189380694216</v>
      </c>
      <c r="K167" s="455">
        <f>'ET workings 19-20'!K252</f>
        <v>10.164807413255483</v>
      </c>
      <c r="L167" s="478"/>
      <c r="M167" s="402"/>
    </row>
    <row r="168" spans="2:13">
      <c r="B168" s="402"/>
      <c r="C168" s="454" t="s">
        <v>100</v>
      </c>
      <c r="D168" s="455">
        <v>0</v>
      </c>
      <c r="E168" s="455">
        <v>0</v>
      </c>
      <c r="F168" s="455">
        <v>0</v>
      </c>
      <c r="G168" s="455">
        <v>0</v>
      </c>
      <c r="H168" s="455">
        <v>0</v>
      </c>
      <c r="I168" s="455">
        <v>0</v>
      </c>
      <c r="J168" s="455">
        <v>0</v>
      </c>
      <c r="K168" s="455">
        <v>0</v>
      </c>
      <c r="L168" s="478"/>
      <c r="M168" s="402"/>
    </row>
    <row r="169" spans="2:13">
      <c r="B169" s="402"/>
      <c r="C169" s="454" t="s">
        <v>101</v>
      </c>
      <c r="D169" s="455">
        <f>'ET workings 19-20'!D209</f>
        <v>0.93219394583370063</v>
      </c>
      <c r="E169" s="455">
        <f>'ET workings 19-20'!E209</f>
        <v>0.89969793099769957</v>
      </c>
      <c r="F169" s="455">
        <f>'ET workings 19-20'!F209</f>
        <v>0.87783267686821997</v>
      </c>
      <c r="G169" s="455">
        <f>'ET workings 19-20'!G209</f>
        <v>0.87232109317784756</v>
      </c>
      <c r="H169" s="455">
        <f>'ET workings 19-20'!H209</f>
        <v>0.89875958568159287</v>
      </c>
      <c r="I169" s="455">
        <f>'ET workings 19-20'!I209</f>
        <v>0.82801710222961222</v>
      </c>
      <c r="J169" s="455">
        <f>'ET workings 19-20'!J209</f>
        <v>0.88417658562860901</v>
      </c>
      <c r="K169" s="455">
        <f>'ET workings 19-20'!K209</f>
        <v>0.89982415652833247</v>
      </c>
      <c r="L169" s="494"/>
      <c r="M169" s="402"/>
    </row>
    <row r="170" spans="2:13">
      <c r="B170" s="402"/>
      <c r="C170" s="454" t="s">
        <v>102</v>
      </c>
      <c r="D170" s="455">
        <f>'ET workings 19-20'!D211</f>
        <v>1.4521935428001387</v>
      </c>
      <c r="E170" s="455">
        <f>'ET workings 19-20'!E211</f>
        <v>1.1040587164720375</v>
      </c>
      <c r="F170" s="455">
        <f>'ET workings 19-20'!F211</f>
        <v>1.2704615028800799</v>
      </c>
      <c r="G170" s="455">
        <f>'ET workings 19-20'!G211</f>
        <v>1.8215756411909689</v>
      </c>
      <c r="H170" s="455">
        <f>'ET workings 19-20'!H211</f>
        <v>2.276689638087078</v>
      </c>
      <c r="I170" s="455">
        <f>'ET workings 19-20'!I211</f>
        <v>2.456185042264571</v>
      </c>
      <c r="J170" s="455">
        <f>'ET workings 19-20'!J211</f>
        <v>1.6367827587791826</v>
      </c>
      <c r="K170" s="455">
        <f>'ET workings 19-20'!K211</f>
        <v>1.2748223620472454</v>
      </c>
      <c r="L170" s="494"/>
      <c r="M170" s="402"/>
    </row>
    <row r="171" spans="2:13">
      <c r="B171" s="402"/>
      <c r="C171" s="454" t="s">
        <v>103</v>
      </c>
      <c r="D171" s="455">
        <f>'ET workings 19-20'!D206+'ET workings 19-20'!D207</f>
        <v>19.398398972540615</v>
      </c>
      <c r="E171" s="455">
        <f>'ET workings 19-20'!E206+'ET workings 19-20'!E207</f>
        <v>23.759069780350902</v>
      </c>
      <c r="F171" s="455">
        <f>'ET workings 19-20'!F206+'ET workings 19-20'!F207</f>
        <v>27.288164987426697</v>
      </c>
      <c r="G171" s="455">
        <f>'ET workings 19-20'!G206+'ET workings 19-20'!G207</f>
        <v>30.477407855854231</v>
      </c>
      <c r="H171" s="455">
        <f>'ET workings 19-20'!H206+'ET workings 19-20'!H207</f>
        <v>34.429172007245342</v>
      </c>
      <c r="I171" s="455">
        <f>'ET workings 19-20'!I206+'ET workings 19-20'!I207</f>
        <v>37.653535758364917</v>
      </c>
      <c r="J171" s="455">
        <f>'ET workings 19-20'!J206+'ET workings 19-20'!J207</f>
        <v>41.229833313568214</v>
      </c>
      <c r="K171" s="455">
        <f>'ET workings 19-20'!K206+'ET workings 19-20'!K207</f>
        <v>42.592330087761582</v>
      </c>
      <c r="L171" s="494"/>
      <c r="M171" s="402"/>
    </row>
    <row r="172" spans="2:13">
      <c r="B172" s="402"/>
      <c r="C172" s="454" t="s">
        <v>169</v>
      </c>
      <c r="D172" s="455">
        <f>'ET workings 19-20'!D254</f>
        <v>1.9673768800481106</v>
      </c>
      <c r="E172" s="455">
        <f>'ET workings 19-20'!E254</f>
        <v>2.0545710233718428</v>
      </c>
      <c r="F172" s="455">
        <f>'ET workings 19-20'!F254</f>
        <v>2.1435339486838436</v>
      </c>
      <c r="G172" s="455">
        <f>'ET workings 19-20'!G254</f>
        <v>2.2341625640341967</v>
      </c>
      <c r="H172" s="455">
        <f>'ET workings 19-20'!H254</f>
        <v>2.3264781611800895</v>
      </c>
      <c r="I172" s="455">
        <f>'ET workings 19-20'!I254</f>
        <v>2.4182809894202562</v>
      </c>
      <c r="J172" s="455">
        <f>'ET workings 19-20'!J254</f>
        <v>2.5089181609037272</v>
      </c>
      <c r="K172" s="455">
        <f>'ET workings 19-20'!K254</f>
        <v>2.6029524135743989</v>
      </c>
      <c r="L172" s="494"/>
      <c r="M172" s="402"/>
    </row>
    <row r="173" spans="2:13" ht="13.8" thickBot="1">
      <c r="B173" s="402"/>
      <c r="C173" s="448" t="s">
        <v>107</v>
      </c>
      <c r="D173" s="461">
        <f>SUM(D165:D172)</f>
        <v>120.39179446656594</v>
      </c>
      <c r="E173" s="461">
        <f t="shared" ref="E173:K173" si="27">SUM(E165:E172)</f>
        <v>120.30319795974432</v>
      </c>
      <c r="F173" s="461">
        <f t="shared" si="27"/>
        <v>127.90763025461563</v>
      </c>
      <c r="G173" s="461">
        <f t="shared" si="27"/>
        <v>139.5644585803193</v>
      </c>
      <c r="H173" s="461">
        <f t="shared" si="27"/>
        <v>151.50475187929982</v>
      </c>
      <c r="I173" s="461">
        <f t="shared" si="27"/>
        <v>169.47659991499472</v>
      </c>
      <c r="J173" s="461">
        <f t="shared" si="27"/>
        <v>154.81547281318657</v>
      </c>
      <c r="K173" s="461">
        <f t="shared" si="27"/>
        <v>154.67957007559122</v>
      </c>
      <c r="L173" s="494"/>
      <c r="M173" s="402"/>
    </row>
    <row r="174" spans="2:13">
      <c r="B174" s="402"/>
      <c r="C174" s="459"/>
      <c r="D174" s="460"/>
      <c r="E174" s="460"/>
      <c r="F174" s="460"/>
      <c r="G174" s="460"/>
      <c r="H174" s="460"/>
      <c r="I174" s="483"/>
      <c r="J174" s="483"/>
      <c r="K174" s="483"/>
      <c r="L174" s="494"/>
      <c r="M174" s="402"/>
    </row>
    <row r="175" spans="2:13" ht="39.75" customHeight="1">
      <c r="B175" s="402"/>
      <c r="C175" s="528" t="s">
        <v>450</v>
      </c>
      <c r="D175" s="528"/>
      <c r="E175" s="528"/>
      <c r="F175" s="528"/>
      <c r="G175" s="528"/>
      <c r="H175" s="528"/>
      <c r="I175" s="528"/>
      <c r="J175" s="528"/>
      <c r="K175" s="528"/>
      <c r="L175" s="528"/>
      <c r="M175" s="402"/>
    </row>
    <row r="176" spans="2:13" ht="13.8" thickBot="1">
      <c r="B176" s="402"/>
      <c r="C176" s="448" t="s">
        <v>380</v>
      </c>
      <c r="D176" s="462"/>
      <c r="E176" s="462"/>
      <c r="F176" s="448"/>
      <c r="G176" s="448"/>
      <c r="H176" s="448"/>
      <c r="I176" s="448"/>
      <c r="J176" s="448"/>
      <c r="K176" s="402"/>
      <c r="L176" s="494"/>
      <c r="M176" s="402"/>
    </row>
    <row r="177" spans="2:22" ht="13.8" thickBot="1">
      <c r="B177" s="402"/>
      <c r="C177" s="467" t="s">
        <v>58</v>
      </c>
      <c r="D177" s="453" t="s">
        <v>59</v>
      </c>
      <c r="E177" s="453" t="s">
        <v>60</v>
      </c>
      <c r="F177" s="453" t="s">
        <v>61</v>
      </c>
      <c r="G177" s="453" t="s">
        <v>62</v>
      </c>
      <c r="H177" s="453" t="s">
        <v>63</v>
      </c>
      <c r="I177" s="453" t="s">
        <v>64</v>
      </c>
      <c r="J177" s="453" t="s">
        <v>65</v>
      </c>
      <c r="K177" s="453" t="s">
        <v>66</v>
      </c>
      <c r="L177" s="466"/>
      <c r="M177" s="462"/>
      <c r="N177" s="378"/>
      <c r="O177" s="378"/>
      <c r="V177" s="396"/>
    </row>
    <row r="178" spans="2:22">
      <c r="B178" s="402"/>
      <c r="C178" s="454" t="s">
        <v>110</v>
      </c>
      <c r="D178" s="455">
        <v>113.97553115199239</v>
      </c>
      <c r="E178" s="455">
        <v>113.53286514020465</v>
      </c>
      <c r="F178" s="455">
        <v>114.35655675002086</v>
      </c>
      <c r="G178" s="455">
        <v>116.7054339196653</v>
      </c>
      <c r="H178" s="455">
        <v>122.83308772040758</v>
      </c>
      <c r="I178" s="455">
        <v>117.52358286418433</v>
      </c>
      <c r="J178" s="455">
        <v>124.79574213500736</v>
      </c>
      <c r="K178" s="455">
        <v>126.19116022714998</v>
      </c>
      <c r="L178" s="478"/>
      <c r="M178" s="462"/>
      <c r="N178" s="378"/>
      <c r="O178" s="378"/>
      <c r="V178" s="396"/>
    </row>
    <row r="179" spans="2:22">
      <c r="B179" s="402"/>
      <c r="C179" s="457" t="s">
        <v>111</v>
      </c>
      <c r="D179" s="458">
        <f>'ET workings 19-20'!D239</f>
        <v>0</v>
      </c>
      <c r="E179" s="458">
        <f>'ET workings 19-20'!E239</f>
        <v>3.7106038241035293</v>
      </c>
      <c r="F179" s="458">
        <f>'ET workings 19-20'!F239</f>
        <v>6.0364438354306174</v>
      </c>
      <c r="G179" s="458">
        <f>'ET workings 19-20'!G239</f>
        <v>20.850581449170846</v>
      </c>
      <c r="H179" s="458">
        <f>'ET workings 19-20'!H239</f>
        <v>9.1750949396110855</v>
      </c>
      <c r="I179" s="458">
        <f>'ET workings 19-20'!I239</f>
        <v>30.084347672795616</v>
      </c>
      <c r="J179" s="458">
        <f>'ET workings 19-20'!J239</f>
        <v>97.037318863457813</v>
      </c>
      <c r="K179" s="456"/>
      <c r="L179" s="483"/>
      <c r="M179" s="462"/>
      <c r="N179" s="378"/>
      <c r="O179" s="378"/>
      <c r="V179" s="396"/>
    </row>
    <row r="180" spans="2:22">
      <c r="B180" s="402"/>
      <c r="C180" s="454" t="s">
        <v>112</v>
      </c>
      <c r="D180" s="455">
        <f>SUM(D178:D179)</f>
        <v>113.97553115199239</v>
      </c>
      <c r="E180" s="455">
        <f t="shared" ref="E180:J180" si="28">SUM(E178:E179)</f>
        <v>117.24346896430818</v>
      </c>
      <c r="F180" s="455">
        <f t="shared" si="28"/>
        <v>120.39300058545147</v>
      </c>
      <c r="G180" s="455">
        <f t="shared" si="28"/>
        <v>137.55601536883614</v>
      </c>
      <c r="H180" s="455">
        <f t="shared" si="28"/>
        <v>132.00818266001866</v>
      </c>
      <c r="I180" s="455">
        <f t="shared" si="28"/>
        <v>147.60793053697995</v>
      </c>
      <c r="J180" s="455">
        <f t="shared" si="28"/>
        <v>221.83306099846516</v>
      </c>
      <c r="K180" s="455"/>
      <c r="L180" s="478"/>
      <c r="M180" s="462"/>
      <c r="N180" s="378"/>
      <c r="O180" s="378"/>
      <c r="V180" s="396"/>
    </row>
    <row r="181" spans="2:22">
      <c r="B181" s="402"/>
      <c r="C181" s="468" t="s">
        <v>446</v>
      </c>
      <c r="D181" s="455"/>
      <c r="E181" s="455"/>
      <c r="F181" s="455"/>
      <c r="G181" s="455"/>
      <c r="H181" s="402"/>
      <c r="I181" s="460"/>
      <c r="J181" s="460"/>
      <c r="K181" s="458">
        <f>J180+(I180*'ET workings 19-20'!I267)+('NGET AIP 2018'!H180*'ET workings 19-20'!H267)+('NGET AIP 2018'!G180*'ET workings 19-20'!G267)+('NGET AIP 2018'!F180*'ET workings 19-20'!F267)+('NGET AIP 2018'!E180*'ET workings 19-20'!E267)+('NGET AIP 2018'!D180*'ET workings 19-20'!D267)</f>
        <v>1105.6348614467543</v>
      </c>
      <c r="L181" s="478"/>
      <c r="M181" s="462"/>
      <c r="N181" s="378"/>
      <c r="O181" s="378"/>
      <c r="V181" s="396"/>
    </row>
    <row r="182" spans="2:22">
      <c r="B182" s="402"/>
      <c r="C182" s="454" t="s">
        <v>176</v>
      </c>
      <c r="D182" s="455">
        <f>D173</f>
        <v>120.39179446656594</v>
      </c>
      <c r="E182" s="455">
        <f t="shared" ref="E182:J182" si="29">E173</f>
        <v>120.30319795974432</v>
      </c>
      <c r="F182" s="455">
        <f t="shared" si="29"/>
        <v>127.90763025461563</v>
      </c>
      <c r="G182" s="455">
        <f t="shared" si="29"/>
        <v>139.5644585803193</v>
      </c>
      <c r="H182" s="455">
        <f t="shared" si="29"/>
        <v>151.50475187929982</v>
      </c>
      <c r="I182" s="455">
        <f t="shared" si="29"/>
        <v>169.47659991499472</v>
      </c>
      <c r="J182" s="455">
        <f t="shared" si="29"/>
        <v>154.81547281318657</v>
      </c>
      <c r="K182" s="455"/>
      <c r="L182" s="478"/>
      <c r="M182" s="402"/>
      <c r="V182" s="396"/>
    </row>
    <row r="183" spans="2:22" ht="13.8" thickBot="1">
      <c r="B183" s="402"/>
      <c r="C183" s="508" t="s">
        <v>446</v>
      </c>
      <c r="D183" s="461"/>
      <c r="E183" s="461"/>
      <c r="F183" s="461"/>
      <c r="G183" s="461"/>
      <c r="H183" s="461"/>
      <c r="I183" s="461"/>
      <c r="J183" s="461"/>
      <c r="K183" s="461">
        <f>J182+('NGET AIP 2018'!I182*'ET workings 19-20'!I267)+('NGET AIP 2018'!H182*'ET workings 19-20'!H267)+('NGET AIP 2018'!G182*'ET workings 19-20'!G267)+('NGET AIP 2018'!F182*'ET workings 19-20'!F267)+('NGET AIP 2018'!E182*'ET workings 19-20'!E267)+('NGET AIP 2018'!D182*'ET workings 19-20'!D267)</f>
        <v>1105.5697590186039</v>
      </c>
      <c r="L183" s="478"/>
      <c r="M183" s="402"/>
      <c r="V183" s="396"/>
    </row>
    <row r="184" spans="2:22">
      <c r="B184" s="402"/>
      <c r="C184" s="495"/>
      <c r="D184" s="460"/>
      <c r="E184" s="460"/>
      <c r="F184" s="460"/>
      <c r="G184" s="460"/>
      <c r="H184" s="460"/>
      <c r="I184" s="483"/>
      <c r="J184" s="483"/>
      <c r="K184" s="483"/>
      <c r="L184" s="494"/>
      <c r="M184" s="402"/>
    </row>
    <row r="185" spans="2:22">
      <c r="B185" s="402"/>
      <c r="C185" s="459"/>
      <c r="D185" s="460"/>
      <c r="E185" s="460"/>
      <c r="F185" s="460"/>
      <c r="G185" s="460"/>
      <c r="H185" s="460"/>
      <c r="I185" s="483"/>
      <c r="J185" s="483"/>
      <c r="K185" s="483"/>
      <c r="L185" s="494"/>
      <c r="M185" s="402"/>
    </row>
    <row r="186" spans="2:22">
      <c r="F186" s="378"/>
      <c r="J186" s="398"/>
    </row>
    <row r="187" spans="2:22" ht="23.4">
      <c r="B187" s="400">
        <v>7</v>
      </c>
      <c r="C187" s="430" t="s">
        <v>129</v>
      </c>
      <c r="D187" s="402"/>
      <c r="E187" s="402"/>
      <c r="F187" s="402"/>
      <c r="G187" s="402"/>
      <c r="H187" s="402"/>
      <c r="I187" s="402"/>
      <c r="J187" s="402"/>
      <c r="K187" s="402"/>
      <c r="L187" s="466"/>
      <c r="M187" s="402"/>
    </row>
    <row r="188" spans="2:22" ht="43.5" customHeight="1">
      <c r="B188" s="400"/>
      <c r="C188" s="528" t="s">
        <v>453</v>
      </c>
      <c r="D188" s="528"/>
      <c r="E188" s="528"/>
      <c r="F188" s="528"/>
      <c r="G188" s="528"/>
      <c r="H188" s="528"/>
      <c r="I188" s="528"/>
      <c r="J188" s="528"/>
      <c r="K188" s="528"/>
      <c r="L188" s="528"/>
      <c r="M188" s="402"/>
    </row>
    <row r="189" spans="2:22">
      <c r="B189" s="402"/>
      <c r="C189" s="402"/>
      <c r="D189" s="500"/>
      <c r="E189" s="500"/>
      <c r="F189" s="500"/>
      <c r="G189" s="500"/>
      <c r="H189" s="500"/>
      <c r="I189" s="402"/>
      <c r="J189" s="402"/>
      <c r="K189" s="402"/>
      <c r="L189" s="466"/>
      <c r="M189" s="402"/>
    </row>
    <row r="190" spans="2:22" ht="13.8" thickBot="1">
      <c r="B190" s="402"/>
      <c r="C190" s="448" t="s">
        <v>190</v>
      </c>
      <c r="D190" s="462"/>
      <c r="E190" s="462"/>
      <c r="F190" s="448"/>
      <c r="G190" s="448"/>
      <c r="H190" s="448"/>
      <c r="I190" s="448"/>
      <c r="J190" s="448"/>
      <c r="K190" s="402"/>
      <c r="L190" s="448"/>
      <c r="M190" s="402"/>
    </row>
    <row r="191" spans="2:22" ht="13.8" thickBot="1">
      <c r="B191" s="402"/>
      <c r="C191" s="467" t="s">
        <v>58</v>
      </c>
      <c r="D191" s="453" t="s">
        <v>59</v>
      </c>
      <c r="E191" s="453" t="s">
        <v>60</v>
      </c>
      <c r="F191" s="453" t="s">
        <v>61</v>
      </c>
      <c r="G191" s="453" t="s">
        <v>62</v>
      </c>
      <c r="H191" s="453" t="s">
        <v>63</v>
      </c>
      <c r="I191" s="453" t="s">
        <v>64</v>
      </c>
      <c r="J191" s="453" t="s">
        <v>65</v>
      </c>
      <c r="K191" s="453" t="s">
        <v>66</v>
      </c>
      <c r="L191" s="453" t="s">
        <v>118</v>
      </c>
      <c r="M191" s="402"/>
    </row>
    <row r="192" spans="2:22">
      <c r="B192" s="402"/>
      <c r="C192" s="454" t="s">
        <v>42</v>
      </c>
      <c r="D192" s="455">
        <f>'ET workings 19-20'!D16</f>
        <v>226.54482674025229</v>
      </c>
      <c r="E192" s="455">
        <f>'ET workings 19-20'!E16</f>
        <v>189.76583863604765</v>
      </c>
      <c r="F192" s="455">
        <f>'ET workings 19-20'!F16</f>
        <v>179.38344990371465</v>
      </c>
      <c r="G192" s="455">
        <f>'ET workings 19-20'!G16</f>
        <v>186.89947200056383</v>
      </c>
      <c r="H192" s="455">
        <f>'ET workings 19-20'!H16</f>
        <v>142.34099424420381</v>
      </c>
      <c r="I192" s="455">
        <f>'ET workings 19-20'!I16</f>
        <v>123.51757213647369</v>
      </c>
      <c r="J192" s="455">
        <f>'ET workings 19-20'!J16</f>
        <v>-21.093349498298281</v>
      </c>
      <c r="K192" s="455">
        <f>'ET workings 19-20'!K16</f>
        <v>-36.616451358880617</v>
      </c>
      <c r="L192" s="478">
        <f>SUM(D192:K192)</f>
        <v>990.74235280407697</v>
      </c>
      <c r="M192" s="462"/>
    </row>
    <row r="193" spans="2:13">
      <c r="B193" s="402"/>
      <c r="C193" s="454" t="s">
        <v>191</v>
      </c>
      <c r="D193" s="455">
        <f>'ET workings 19-20'!D17</f>
        <v>506.11836500601339</v>
      </c>
      <c r="E193" s="455">
        <f>'ET workings 19-20'!E17</f>
        <v>499.20409814951984</v>
      </c>
      <c r="F193" s="455">
        <f>'ET workings 19-20'!F17</f>
        <v>485.07329761796098</v>
      </c>
      <c r="G193" s="455">
        <f>'ET workings 19-20'!G17</f>
        <v>489.14143160750723</v>
      </c>
      <c r="H193" s="455">
        <f>'ET workings 19-20'!H17</f>
        <v>622.61892466629627</v>
      </c>
      <c r="I193" s="455">
        <f>'ET workings 19-20'!I17</f>
        <v>715.79753719305393</v>
      </c>
      <c r="J193" s="455">
        <f>'ET workings 19-20'!J17</f>
        <v>609.25081046797004</v>
      </c>
      <c r="K193" s="455">
        <f>'ET workings 19-20'!K17</f>
        <v>529.21301595565285</v>
      </c>
      <c r="L193" s="478">
        <f t="shared" ref="L193:L204" si="30">SUM(D193:K193)</f>
        <v>4456.4174806639749</v>
      </c>
      <c r="M193" s="462"/>
    </row>
    <row r="194" spans="2:13">
      <c r="B194" s="402"/>
      <c r="C194" s="454" t="s">
        <v>44</v>
      </c>
      <c r="D194" s="455">
        <f>'ET workings 19-20'!D21</f>
        <v>611.17984582528948</v>
      </c>
      <c r="E194" s="455">
        <f>'ET workings 19-20'!E21</f>
        <v>463.27304634112346</v>
      </c>
      <c r="F194" s="455">
        <f>'ET workings 19-20'!F21</f>
        <v>320.16753106880628</v>
      </c>
      <c r="G194" s="455">
        <f>'ET workings 19-20'!G21</f>
        <v>275.15848567147805</v>
      </c>
      <c r="H194" s="455">
        <f>'ET workings 19-20'!H21</f>
        <v>202.25140113723705</v>
      </c>
      <c r="I194" s="455">
        <f>'ET workings 19-20'!I21</f>
        <v>295.76287532457633</v>
      </c>
      <c r="J194" s="455">
        <f>'ET workings 19-20'!J21</f>
        <v>301.6082207757662</v>
      </c>
      <c r="K194" s="455">
        <f>'ET workings 19-20'!K21</f>
        <v>292.87185007858511</v>
      </c>
      <c r="L194" s="478">
        <f t="shared" si="30"/>
        <v>2762.2732562228621</v>
      </c>
      <c r="M194" s="462"/>
    </row>
    <row r="195" spans="2:13">
      <c r="B195" s="402"/>
      <c r="C195" s="454" t="s">
        <v>45</v>
      </c>
      <c r="D195" s="455">
        <f>'ET workings 19-20'!D22</f>
        <v>1.0905502475471596</v>
      </c>
      <c r="E195" s="455">
        <f>'ET workings 19-20'!E22</f>
        <v>3.187886630798479</v>
      </c>
      <c r="F195" s="455">
        <f>'ET workings 19-20'!F22</f>
        <v>8.7780181940086308</v>
      </c>
      <c r="G195" s="455">
        <f>'ET workings 19-20'!G22</f>
        <v>13.747332444010851</v>
      </c>
      <c r="H195" s="455">
        <f>'ET workings 19-20'!H22</f>
        <v>38.154827130556669</v>
      </c>
      <c r="I195" s="455">
        <f>'ET workings 19-20'!I22</f>
        <v>31.711382344696709</v>
      </c>
      <c r="J195" s="455">
        <f>'ET workings 19-20'!J22</f>
        <v>15.103658493510443</v>
      </c>
      <c r="K195" s="455">
        <f>'ET workings 19-20'!K22</f>
        <v>6.0315217291061529</v>
      </c>
      <c r="L195" s="478">
        <f t="shared" si="30"/>
        <v>117.80517721423507</v>
      </c>
      <c r="M195" s="462"/>
    </row>
    <row r="196" spans="2:13">
      <c r="B196" s="402"/>
      <c r="C196" s="454" t="s">
        <v>192</v>
      </c>
      <c r="D196" s="455">
        <f>'ET workings 19-20'!D18</f>
        <v>192.21282629439594</v>
      </c>
      <c r="E196" s="455">
        <f>'ET workings 19-20'!E18</f>
        <v>196.41204072355288</v>
      </c>
      <c r="F196" s="455">
        <f>'ET workings 19-20'!F18</f>
        <v>203.04710659109347</v>
      </c>
      <c r="G196" s="455">
        <f>'ET workings 19-20'!G18</f>
        <v>204.35171680440774</v>
      </c>
      <c r="H196" s="455">
        <f>'ET workings 19-20'!H18</f>
        <v>205.72203973741003</v>
      </c>
      <c r="I196" s="455">
        <f>'ET workings 19-20'!I18</f>
        <v>206.0644404839947</v>
      </c>
      <c r="J196" s="455">
        <f>'ET workings 19-20'!J18</f>
        <v>207.83890997781467</v>
      </c>
      <c r="K196" s="455">
        <f>'ET workings 19-20'!K18</f>
        <v>208.20405529640865</v>
      </c>
      <c r="L196" s="478">
        <f t="shared" si="30"/>
        <v>1623.853135909078</v>
      </c>
      <c r="M196" s="462"/>
    </row>
    <row r="197" spans="2:13">
      <c r="B197" s="402"/>
      <c r="C197" s="454" t="s">
        <v>47</v>
      </c>
      <c r="D197" s="455">
        <f t="shared" ref="D197:K197" si="31">D55-D49</f>
        <v>-176.19007579181311</v>
      </c>
      <c r="E197" s="455">
        <f t="shared" si="31"/>
        <v>-237.06364832470831</v>
      </c>
      <c r="F197" s="455">
        <f t="shared" si="31"/>
        <v>-118.96562283337084</v>
      </c>
      <c r="G197" s="455">
        <f t="shared" si="31"/>
        <v>-137.53913952207768</v>
      </c>
      <c r="H197" s="455">
        <f t="shared" si="31"/>
        <v>-198.03373513191309</v>
      </c>
      <c r="I197" s="455">
        <f t="shared" si="31"/>
        <v>0</v>
      </c>
      <c r="J197" s="455">
        <f t="shared" si="31"/>
        <v>0</v>
      </c>
      <c r="K197" s="455">
        <f t="shared" si="31"/>
        <v>0</v>
      </c>
      <c r="L197" s="478">
        <f t="shared" si="30"/>
        <v>-867.79222160388304</v>
      </c>
      <c r="M197" s="462"/>
    </row>
    <row r="198" spans="2:13">
      <c r="B198" s="402"/>
      <c r="C198" s="457" t="s">
        <v>48</v>
      </c>
      <c r="D198" s="458">
        <f>SUM(D192:D197)</f>
        <v>1360.9563383216851</v>
      </c>
      <c r="E198" s="458">
        <f t="shared" ref="E198:K198" si="32">SUM(E192:E197)</f>
        <v>1114.7792621563337</v>
      </c>
      <c r="F198" s="458">
        <f t="shared" si="32"/>
        <v>1077.4837805422133</v>
      </c>
      <c r="G198" s="458">
        <f t="shared" si="32"/>
        <v>1031.7592990058899</v>
      </c>
      <c r="H198" s="458">
        <f t="shared" si="32"/>
        <v>1013.0544517837907</v>
      </c>
      <c r="I198" s="458">
        <f t="shared" si="32"/>
        <v>1372.8538074827952</v>
      </c>
      <c r="J198" s="458">
        <f t="shared" si="32"/>
        <v>1112.7082502167632</v>
      </c>
      <c r="K198" s="458">
        <f t="shared" si="32"/>
        <v>999.70399170087217</v>
      </c>
      <c r="L198" s="458">
        <f t="shared" si="30"/>
        <v>9083.2991812103428</v>
      </c>
      <c r="M198" s="462"/>
    </row>
    <row r="199" spans="2:13">
      <c r="B199" s="402"/>
      <c r="C199" s="454" t="s">
        <v>52</v>
      </c>
      <c r="D199" s="455">
        <f>'ET workings 19-20'!D27</f>
        <v>94.24723304227993</v>
      </c>
      <c r="E199" s="455">
        <f>'ET workings 19-20'!E27</f>
        <v>87.678224204681584</v>
      </c>
      <c r="F199" s="455">
        <f>'ET workings 19-20'!F27</f>
        <v>87.676243763178761</v>
      </c>
      <c r="G199" s="455">
        <f>'ET workings 19-20'!G27</f>
        <v>87.677481779017953</v>
      </c>
      <c r="H199" s="455">
        <f>'ET workings 19-20'!H27</f>
        <v>87.676244486345595</v>
      </c>
      <c r="I199" s="455">
        <f>'ET workings 19-20'!I27</f>
        <v>87.676244488148086</v>
      </c>
      <c r="J199" s="455">
        <f>'ET workings 19-20'!J27</f>
        <v>87.676244492723825</v>
      </c>
      <c r="K199" s="455">
        <f>'ET workings 19-20'!K27</f>
        <v>87.676244462267519</v>
      </c>
      <c r="L199" s="478">
        <f t="shared" si="30"/>
        <v>707.98416071864324</v>
      </c>
      <c r="M199" s="462"/>
    </row>
    <row r="200" spans="2:13">
      <c r="B200" s="402"/>
      <c r="C200" s="501"/>
      <c r="D200" s="502"/>
      <c r="E200" s="502"/>
      <c r="F200" s="502"/>
      <c r="G200" s="502"/>
      <c r="H200" s="502"/>
      <c r="I200" s="502"/>
      <c r="J200" s="502"/>
      <c r="K200" s="502"/>
      <c r="L200" s="503"/>
      <c r="M200" s="462"/>
    </row>
    <row r="201" spans="2:13">
      <c r="B201" s="402"/>
      <c r="C201" s="454" t="s">
        <v>49</v>
      </c>
      <c r="D201" s="455">
        <f>'ET workings 19-20'!D8+'ET workings 19-20'!D12</f>
        <v>52.005926089795061</v>
      </c>
      <c r="E201" s="455">
        <f>'ET workings 19-20'!E8+'ET workings 19-20'!E12</f>
        <v>36.494625552298665</v>
      </c>
      <c r="F201" s="455">
        <f>'ET workings 19-20'!F8+'ET workings 19-20'!F12</f>
        <v>34.609914997890812</v>
      </c>
      <c r="G201" s="455">
        <f>'ET workings 19-20'!G8+'ET workings 19-20'!G12</f>
        <v>34.672403278845621</v>
      </c>
      <c r="H201" s="455">
        <f>'ET workings 19-20'!H8+'ET workings 19-20'!H12</f>
        <v>42.472030361945542</v>
      </c>
      <c r="I201" s="455">
        <f>'ET workings 19-20'!I8+'ET workings 19-20'!I12</f>
        <v>53.168621085072047</v>
      </c>
      <c r="J201" s="455">
        <f>'ET workings 19-20'!J8+'ET workings 19-20'!J12</f>
        <v>40.391810428292693</v>
      </c>
      <c r="K201" s="455">
        <f>'ET workings 19-20'!K8+'ET workings 19-20'!K12</f>
        <v>37.182824166461685</v>
      </c>
      <c r="L201" s="478">
        <f t="shared" si="30"/>
        <v>330.99815596060211</v>
      </c>
      <c r="M201" s="462"/>
    </row>
    <row r="202" spans="2:13">
      <c r="B202" s="402"/>
      <c r="C202" s="454" t="s">
        <v>192</v>
      </c>
      <c r="D202" s="455">
        <f>'ET workings 19-20'!D7+'ET workings 19-20'!D13</f>
        <v>74.117786922864468</v>
      </c>
      <c r="E202" s="455">
        <f>'ET workings 19-20'!E7+'ET workings 19-20'!E13</f>
        <v>78.03070971214818</v>
      </c>
      <c r="F202" s="455">
        <f>'ET workings 19-20'!F7+'ET workings 19-20'!F13</f>
        <v>85.475087673810293</v>
      </c>
      <c r="G202" s="455">
        <f>'ET workings 19-20'!G7+'ET workings 19-20'!G13</f>
        <v>89.55737154081416</v>
      </c>
      <c r="H202" s="455">
        <f>'ET workings 19-20'!H7+'ET workings 19-20'!H13</f>
        <v>93.011430339007376</v>
      </c>
      <c r="I202" s="455">
        <f>'ET workings 19-20'!I7+'ET workings 19-20'!I13</f>
        <v>107.78467371610627</v>
      </c>
      <c r="J202" s="455">
        <f>'ET workings 19-20'!J7+'ET workings 19-20'!J13</f>
        <v>95.99872024245991</v>
      </c>
      <c r="K202" s="455">
        <f>'ET workings 19-20'!K7+'ET workings 19-20'!K13</f>
        <v>97.553422216928269</v>
      </c>
      <c r="L202" s="478">
        <f t="shared" si="30"/>
        <v>721.52920236413888</v>
      </c>
      <c r="M202" s="462"/>
    </row>
    <row r="203" spans="2:13">
      <c r="B203" s="402"/>
      <c r="C203" s="454" t="s">
        <v>47</v>
      </c>
      <c r="D203" s="455">
        <f>D144-D138</f>
        <v>-6.3184921594541663</v>
      </c>
      <c r="E203" s="455">
        <f t="shared" ref="E203:K203" si="33">E144-E138</f>
        <v>-0.41760096832092586</v>
      </c>
      <c r="F203" s="455">
        <f t="shared" si="33"/>
        <v>-2.2303767355721646</v>
      </c>
      <c r="G203" s="455">
        <f t="shared" si="33"/>
        <v>4.272138436269131</v>
      </c>
      <c r="H203" s="455">
        <f t="shared" si="33"/>
        <v>3.3793831991596051</v>
      </c>
      <c r="I203" s="455">
        <f t="shared" si="33"/>
        <v>0</v>
      </c>
      <c r="J203" s="455">
        <f t="shared" si="33"/>
        <v>0</v>
      </c>
      <c r="K203" s="455">
        <f t="shared" si="33"/>
        <v>0</v>
      </c>
      <c r="L203" s="478">
        <f t="shared" si="30"/>
        <v>-1.3149482279185207</v>
      </c>
      <c r="M203" s="462"/>
    </row>
    <row r="204" spans="2:13" ht="13.8" thickBot="1">
      <c r="B204" s="402"/>
      <c r="C204" s="448" t="s">
        <v>50</v>
      </c>
      <c r="D204" s="461">
        <f>SUM(D201:D203)</f>
        <v>119.80522085320536</v>
      </c>
      <c r="E204" s="461">
        <f t="shared" ref="E204:K204" si="34">SUM(E201:E203)</f>
        <v>114.10773429612593</v>
      </c>
      <c r="F204" s="461">
        <f t="shared" si="34"/>
        <v>117.85462593612894</v>
      </c>
      <c r="G204" s="461">
        <f t="shared" si="34"/>
        <v>128.50191325592891</v>
      </c>
      <c r="H204" s="461">
        <f t="shared" si="34"/>
        <v>138.86284390011252</v>
      </c>
      <c r="I204" s="461">
        <f t="shared" si="34"/>
        <v>160.95329480117832</v>
      </c>
      <c r="J204" s="461">
        <f t="shared" si="34"/>
        <v>136.39053067075261</v>
      </c>
      <c r="K204" s="461">
        <f t="shared" si="34"/>
        <v>134.73624638338995</v>
      </c>
      <c r="L204" s="507">
        <f t="shared" si="30"/>
        <v>1051.2124100968226</v>
      </c>
      <c r="M204" s="462"/>
    </row>
    <row r="205" spans="2:13">
      <c r="B205" s="402"/>
      <c r="C205" s="457"/>
      <c r="D205" s="458"/>
      <c r="E205" s="458"/>
      <c r="F205" s="458"/>
      <c r="G205" s="458"/>
      <c r="H205" s="458"/>
      <c r="I205" s="458"/>
      <c r="J205" s="458"/>
      <c r="K205" s="458"/>
      <c r="L205" s="509"/>
      <c r="M205" s="462"/>
    </row>
    <row r="206" spans="2:13" ht="12.75" customHeight="1">
      <c r="B206" s="402"/>
      <c r="C206" s="528" t="s">
        <v>454</v>
      </c>
      <c r="D206" s="528"/>
      <c r="E206" s="528"/>
      <c r="F206" s="528"/>
      <c r="G206" s="528"/>
      <c r="H206" s="528"/>
      <c r="I206" s="528"/>
      <c r="J206" s="528"/>
      <c r="K206" s="528"/>
      <c r="L206" s="528"/>
      <c r="M206" s="402"/>
    </row>
    <row r="207" spans="2:13" ht="12.75" customHeight="1">
      <c r="B207" s="402"/>
      <c r="C207" s="506"/>
      <c r="D207" s="506"/>
      <c r="E207" s="506"/>
      <c r="F207" s="506"/>
      <c r="G207" s="506"/>
      <c r="H207" s="506"/>
      <c r="I207" s="506"/>
      <c r="J207" s="506"/>
      <c r="K207" s="506"/>
      <c r="L207" s="506"/>
      <c r="M207" s="402"/>
    </row>
    <row r="208" spans="2:13" ht="13.5" customHeight="1" thickBot="1">
      <c r="B208" s="402"/>
      <c r="C208" s="448" t="s">
        <v>140</v>
      </c>
      <c r="D208" s="462"/>
      <c r="E208" s="462"/>
      <c r="F208" s="448"/>
      <c r="G208" s="448"/>
      <c r="H208" s="448"/>
      <c r="I208" s="448"/>
      <c r="J208" s="448"/>
      <c r="K208" s="402"/>
      <c r="L208" s="466"/>
      <c r="M208" s="402"/>
    </row>
    <row r="209" spans="2:13" ht="13.8" thickBot="1">
      <c r="B209" s="402"/>
      <c r="C209" s="467" t="s">
        <v>58</v>
      </c>
      <c r="D209" s="453" t="s">
        <v>59</v>
      </c>
      <c r="E209" s="453" t="s">
        <v>60</v>
      </c>
      <c r="F209" s="453" t="s">
        <v>61</v>
      </c>
      <c r="G209" s="453" t="s">
        <v>62</v>
      </c>
      <c r="H209" s="453" t="s">
        <v>63</v>
      </c>
      <c r="I209" s="453" t="s">
        <v>64</v>
      </c>
      <c r="J209" s="453" t="s">
        <v>65</v>
      </c>
      <c r="K209" s="453" t="s">
        <v>66</v>
      </c>
      <c r="L209" s="490"/>
      <c r="M209" s="490"/>
    </row>
    <row r="210" spans="2:13">
      <c r="B210" s="402"/>
      <c r="C210" s="454" t="s">
        <v>91</v>
      </c>
      <c r="D210" s="455">
        <f>'ET workings 19-20'!D131+'ET workings 19-20'!D153</f>
        <v>8865.0145032674482</v>
      </c>
      <c r="E210" s="455">
        <f>'ET workings 19-20'!E131+'ET workings 19-20'!E153</f>
        <v>9296.5979244612445</v>
      </c>
      <c r="F210" s="455">
        <f>'ET workings 19-20'!F131+'ET workings 19-20'!F153</f>
        <v>9663.9318956500738</v>
      </c>
      <c r="G210" s="455">
        <f>'ET workings 19-20'!G131+'ET workings 19-20'!G153</f>
        <v>9974.6039189359144</v>
      </c>
      <c r="H210" s="455">
        <f>'ET workings 19-20'!H131+'ET workings 19-20'!H153</f>
        <v>10229.104010647585</v>
      </c>
      <c r="I210" s="455">
        <f>'ET workings 19-20'!I131+'ET workings 19-20'!I153</f>
        <v>10452.594743167892</v>
      </c>
      <c r="J210" s="455">
        <f>'ET workings 19-20'!J131+'ET workings 19-20'!J153</f>
        <v>10972.507865126341</v>
      </c>
      <c r="K210" s="455">
        <f>'ET workings 19-20'!K131+'ET workings 19-20'!K153</f>
        <v>11250.291328504427</v>
      </c>
      <c r="L210" s="478"/>
      <c r="M210" s="470"/>
    </row>
    <row r="211" spans="2:13">
      <c r="B211" s="402"/>
      <c r="C211" s="454" t="s">
        <v>84</v>
      </c>
      <c r="D211" s="455">
        <f>'ET workings 19-20'!D121+'ET workings 19-20'!D258</f>
        <v>-173.83632113615894</v>
      </c>
      <c r="E211" s="455">
        <f>'ET workings 19-20'!E121+'ET workings 19-20'!E258</f>
        <v>0</v>
      </c>
      <c r="F211" s="455">
        <f>'ET workings 19-20'!F121+'ET workings 19-20'!F258</f>
        <v>0</v>
      </c>
      <c r="G211" s="455">
        <f>'ET workings 19-20'!G121+'ET workings 19-20'!G258</f>
        <v>0</v>
      </c>
      <c r="H211" s="455">
        <f>'ET workings 19-20'!H121+'ET workings 19-20'!H258</f>
        <v>0</v>
      </c>
      <c r="I211" s="455">
        <f>'ET workings 19-20'!I121+'ET workings 19-20'!I258</f>
        <v>0</v>
      </c>
      <c r="J211" s="455">
        <f>'ET workings 19-20'!J121+'ET workings 19-20'!J258</f>
        <v>0</v>
      </c>
      <c r="K211" s="455">
        <f>'ET workings 19-20'!K121+'ET workings 19-20'!K258</f>
        <v>0</v>
      </c>
      <c r="L211" s="478"/>
      <c r="M211" s="470"/>
    </row>
    <row r="212" spans="2:13">
      <c r="B212" s="402"/>
      <c r="C212" s="454" t="s">
        <v>86</v>
      </c>
      <c r="D212" s="455">
        <f>'ET workings 19-20'!D132+'ET workings 19-20'!D191-'NGET AIP 2018'!D211</f>
        <v>1189.9240595384406</v>
      </c>
      <c r="E212" s="455">
        <f>'ET workings 19-20'!E132+'ET workings 19-20'!E191-'NGET AIP 2018'!E211</f>
        <v>978.9799728280675</v>
      </c>
      <c r="F212" s="455">
        <f>'ET workings 19-20'!F132+'ET workings 19-20'!F191-'NGET AIP 2018'!F211</f>
        <v>948.53148926693007</v>
      </c>
      <c r="G212" s="455">
        <f>'ET workings 19-20'!G132+'ET workings 19-20'!G191-'NGET AIP 2018'!G211</f>
        <v>912.60727196064261</v>
      </c>
      <c r="H212" s="455">
        <f>'ET workings 19-20'!H132+'ET workings 19-20'!H191-'NGET AIP 2018'!H211</f>
        <v>899.49161291785435</v>
      </c>
      <c r="I212" s="455">
        <f>'ET workings 19-20'!I132+'ET workings 19-20'!I191-'NGET AIP 2018'!I211</f>
        <v>1211.8317056099049</v>
      </c>
      <c r="J212" s="455">
        <f>'ET workings 19-20'!J132+'ET workings 19-20'!J191-'NGET AIP 2018'!J211</f>
        <v>983.85497074138868</v>
      </c>
      <c r="K212" s="455">
        <f>'ET workings 19-20'!K132+'ET workings 19-20'!K191-'NGET AIP 2018'!K211</f>
        <v>887.339805686707</v>
      </c>
      <c r="L212" s="478"/>
      <c r="M212" s="470"/>
    </row>
    <row r="213" spans="2:13">
      <c r="B213" s="402"/>
      <c r="C213" s="454" t="s">
        <v>87</v>
      </c>
      <c r="D213" s="455">
        <f>'ET workings 19-20'!D155+'ET workings 19-20'!D133</f>
        <v>-584.50431720848701</v>
      </c>
      <c r="E213" s="455">
        <f>'ET workings 19-20'!E155+'ET workings 19-20'!E133</f>
        <v>-611.64600163923922</v>
      </c>
      <c r="F213" s="455">
        <f>'ET workings 19-20'!F155+'ET workings 19-20'!F133</f>
        <v>-637.8594659810899</v>
      </c>
      <c r="G213" s="455">
        <f>'ET workings 19-20'!G155+'ET workings 19-20'!G133</f>
        <v>-658.10718024897267</v>
      </c>
      <c r="H213" s="455">
        <f>'ET workings 19-20'!H155+'ET workings 19-20'!H133</f>
        <v>-676.00088039754962</v>
      </c>
      <c r="I213" s="455">
        <f>'ET workings 19-20'!I155+'ET workings 19-20'!I133</f>
        <v>-691.91858365145458</v>
      </c>
      <c r="J213" s="455">
        <f>'ET workings 19-20'!J155+'ET workings 19-20'!J133</f>
        <v>-706.07150736330243</v>
      </c>
      <c r="K213" s="455">
        <f>'ET workings 19-20'!K155+'ET workings 19-20'!K133</f>
        <v>-712.61525642243623</v>
      </c>
      <c r="L213" s="478"/>
      <c r="M213" s="470"/>
    </row>
    <row r="214" spans="2:13" ht="13.8" thickBot="1">
      <c r="B214" s="402"/>
      <c r="C214" s="448" t="s">
        <v>94</v>
      </c>
      <c r="D214" s="461">
        <f>SUM(D210:D213)</f>
        <v>9296.5979244612427</v>
      </c>
      <c r="E214" s="461">
        <f t="shared" ref="E214:K214" si="35">SUM(E210:E213)</f>
        <v>9663.931895650072</v>
      </c>
      <c r="F214" s="461">
        <f t="shared" si="35"/>
        <v>9974.6039189359144</v>
      </c>
      <c r="G214" s="461">
        <f t="shared" si="35"/>
        <v>10229.104010647583</v>
      </c>
      <c r="H214" s="461">
        <f t="shared" si="35"/>
        <v>10452.594743167891</v>
      </c>
      <c r="I214" s="461">
        <f t="shared" si="35"/>
        <v>10972.507865126343</v>
      </c>
      <c r="J214" s="461">
        <f t="shared" si="35"/>
        <v>11250.291328504429</v>
      </c>
      <c r="K214" s="461">
        <f t="shared" si="35"/>
        <v>11425.015877768697</v>
      </c>
      <c r="L214" s="483"/>
      <c r="M214" s="402"/>
    </row>
    <row r="215" spans="2:13">
      <c r="B215" s="402"/>
      <c r="C215" s="402"/>
      <c r="D215" s="402"/>
      <c r="E215" s="402"/>
      <c r="F215" s="402"/>
      <c r="G215" s="402"/>
      <c r="H215" s="402"/>
      <c r="I215" s="402"/>
      <c r="J215" s="402"/>
      <c r="K215" s="402"/>
      <c r="L215" s="466"/>
      <c r="M215" s="402"/>
    </row>
    <row r="216" spans="2:13">
      <c r="D216" s="504"/>
      <c r="E216" s="504"/>
      <c r="F216" s="504"/>
      <c r="G216" s="504"/>
      <c r="H216" s="504"/>
      <c r="I216" s="504"/>
      <c r="J216" s="504"/>
      <c r="K216" s="504"/>
    </row>
  </sheetData>
  <mergeCells count="17">
    <mergeCell ref="C148:L148"/>
    <mergeCell ref="C161:L161"/>
    <mergeCell ref="C175:L175"/>
    <mergeCell ref="C188:L188"/>
    <mergeCell ref="C206:L206"/>
    <mergeCell ref="C129:L129"/>
    <mergeCell ref="C3:E3"/>
    <mergeCell ref="C15:E15"/>
    <mergeCell ref="C40:L40"/>
    <mergeCell ref="E42:F42"/>
    <mergeCell ref="C59:L59"/>
    <mergeCell ref="E60:F60"/>
    <mergeCell ref="E70:F70"/>
    <mergeCell ref="C81:L81"/>
    <mergeCell ref="E83:F83"/>
    <mergeCell ref="C96:L96"/>
    <mergeCell ref="C106:L106"/>
  </mergeCells>
  <pageMargins left="0.7" right="0.7" top="0.75" bottom="0.75" header="0.3" footer="0.3"/>
  <pageSetup paperSize="9" orientation="portrait" r:id="rId1"/>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986A-BF1D-48A8-A360-E925133934A7}">
  <sheetPr>
    <tabColor theme="7" tint="0.59999389629810485"/>
  </sheetPr>
  <dimension ref="A1:Z286"/>
  <sheetViews>
    <sheetView zoomScale="70" zoomScaleNormal="70" workbookViewId="0">
      <pane xSplit="3" ySplit="4" topLeftCell="D158" activePane="bottomRight" state="frozen"/>
      <selection pane="topRight" activeCell="C188" sqref="C188:D188"/>
      <selection pane="bottomLeft" activeCell="C188" sqref="C188:D188"/>
      <selection pane="bottomRight" activeCell="C188" sqref="C188:D188"/>
    </sheetView>
  </sheetViews>
  <sheetFormatPr defaultRowHeight="13.2"/>
  <cols>
    <col min="1" max="1" width="6.33203125" customWidth="1"/>
    <col min="2" max="2" width="16.6640625" bestFit="1" customWidth="1"/>
    <col min="3" max="3" width="54.5546875" customWidth="1"/>
    <col min="4" max="4" width="1.88671875" customWidth="1"/>
    <col min="5" max="12" width="12.109375" customWidth="1"/>
    <col min="13" max="13" width="10.109375" customWidth="1"/>
    <col min="14" max="14" width="20.109375" customWidth="1"/>
    <col min="23" max="23" width="10.109375" customWidth="1"/>
  </cols>
  <sheetData>
    <row r="1" spans="1:23">
      <c r="N1" t="s">
        <v>196</v>
      </c>
      <c r="O1" s="55">
        <v>1.167</v>
      </c>
      <c r="P1" s="55">
        <v>1.19</v>
      </c>
      <c r="Q1" s="55">
        <v>1.202</v>
      </c>
      <c r="R1" s="55">
        <v>1.228</v>
      </c>
      <c r="S1" s="55">
        <v>1.274</v>
      </c>
      <c r="T1" s="55">
        <v>1.3160000000000001</v>
      </c>
      <c r="U1" s="55">
        <v>1.357</v>
      </c>
      <c r="V1" s="55">
        <v>1.3979999999999999</v>
      </c>
    </row>
    <row r="2" spans="1:23">
      <c r="N2" t="s">
        <v>197</v>
      </c>
      <c r="O2" s="55">
        <v>1.1809052989340341</v>
      </c>
      <c r="P2" s="55">
        <v>1.1915649621504716</v>
      </c>
      <c r="Q2" s="55">
        <v>1.2101035068747106</v>
      </c>
      <c r="R2" s="55">
        <v>1.2481075235594008</v>
      </c>
      <c r="S2" s="55">
        <v>1.2898192491889391</v>
      </c>
      <c r="T2" s="55">
        <v>1.328513826664607</v>
      </c>
      <c r="U2" s="55">
        <v>1.3683692414645452</v>
      </c>
      <c r="V2" s="55">
        <v>1.4094203187084815</v>
      </c>
    </row>
    <row r="3" spans="1:23" ht="13.8" thickBot="1">
      <c r="N3" t="s">
        <v>198</v>
      </c>
      <c r="O3" s="55">
        <v>1.1495010041711728</v>
      </c>
      <c r="P3" s="55"/>
      <c r="Q3" s="55"/>
      <c r="R3" s="55"/>
      <c r="S3" s="55"/>
      <c r="T3" s="55"/>
      <c r="U3" s="55"/>
      <c r="V3" s="55"/>
    </row>
    <row r="4" spans="1:23" ht="14.4" thickBot="1">
      <c r="A4" t="s">
        <v>199</v>
      </c>
      <c r="B4" t="s">
        <v>200</v>
      </c>
      <c r="E4" s="56" t="s">
        <v>59</v>
      </c>
      <c r="F4" s="56" t="s">
        <v>60</v>
      </c>
      <c r="G4" s="56" t="s">
        <v>61</v>
      </c>
      <c r="H4" s="56" t="s">
        <v>62</v>
      </c>
      <c r="I4" s="56" t="s">
        <v>63</v>
      </c>
      <c r="J4" s="56" t="s">
        <v>64</v>
      </c>
      <c r="K4" s="56" t="s">
        <v>65</v>
      </c>
      <c r="L4" s="56" t="s">
        <v>66</v>
      </c>
      <c r="M4" s="56" t="s">
        <v>118</v>
      </c>
      <c r="O4" s="56" t="s">
        <v>59</v>
      </c>
      <c r="P4" s="56" t="s">
        <v>60</v>
      </c>
      <c r="Q4" s="56" t="s">
        <v>61</v>
      </c>
      <c r="R4" s="56" t="s">
        <v>62</v>
      </c>
      <c r="S4" s="56" t="s">
        <v>63</v>
      </c>
      <c r="T4" s="56" t="s">
        <v>64</v>
      </c>
      <c r="U4" s="56" t="s">
        <v>65</v>
      </c>
      <c r="V4" s="56" t="s">
        <v>66</v>
      </c>
      <c r="W4" s="56" t="s">
        <v>118</v>
      </c>
    </row>
    <row r="6" spans="1:23">
      <c r="C6" s="38" t="s">
        <v>202</v>
      </c>
    </row>
    <row r="7" spans="1:23">
      <c r="B7" t="s">
        <v>203</v>
      </c>
      <c r="C7" t="s">
        <v>204</v>
      </c>
      <c r="E7" s="196">
        <v>37.780581733294433</v>
      </c>
      <c r="F7" s="196">
        <v>38.765251453029641</v>
      </c>
      <c r="G7" s="196">
        <v>38.935734544913359</v>
      </c>
      <c r="H7" s="196">
        <v>37.194366497168517</v>
      </c>
      <c r="I7" s="196">
        <v>37.663363739263652</v>
      </c>
      <c r="J7" s="196">
        <v>38.166072267177746</v>
      </c>
      <c r="K7" s="196">
        <v>38.821758225100261</v>
      </c>
      <c r="L7" s="196">
        <v>39.417681323616755</v>
      </c>
      <c r="M7" s="53">
        <f>SUM(E7:L7)</f>
        <v>306.74480978356434</v>
      </c>
      <c r="O7" s="53">
        <f t="shared" ref="O7:V8" si="0">E7*O$1</f>
        <v>44.089938882754602</v>
      </c>
      <c r="P7" s="53">
        <f t="shared" si="0"/>
        <v>46.130649229105273</v>
      </c>
      <c r="Q7" s="53">
        <f t="shared" si="0"/>
        <v>46.800752922985858</v>
      </c>
      <c r="R7" s="53">
        <f t="shared" si="0"/>
        <v>45.67468205852294</v>
      </c>
      <c r="S7" s="53">
        <f t="shared" si="0"/>
        <v>47.983125403821894</v>
      </c>
      <c r="T7" s="53">
        <f t="shared" si="0"/>
        <v>50.226551103605914</v>
      </c>
      <c r="U7" s="53">
        <f t="shared" si="0"/>
        <v>52.681125911461052</v>
      </c>
      <c r="V7" s="53">
        <f t="shared" si="0"/>
        <v>55.105918490416222</v>
      </c>
      <c r="W7" s="53">
        <f>SUM(O7:V7)</f>
        <v>388.69274400267375</v>
      </c>
    </row>
    <row r="8" spans="1:23">
      <c r="B8" t="s">
        <v>205</v>
      </c>
      <c r="C8" t="s">
        <v>206</v>
      </c>
      <c r="E8" s="196">
        <v>33.734064323833628</v>
      </c>
      <c r="F8" s="196">
        <v>27.39346022326454</v>
      </c>
      <c r="G8" s="196">
        <v>18.58964637976759</v>
      </c>
      <c r="H8" s="196">
        <v>15.690053681814245</v>
      </c>
      <c r="I8" s="196">
        <v>14.117331818843784</v>
      </c>
      <c r="J8" s="196">
        <v>12.8424465294623</v>
      </c>
      <c r="K8" s="196">
        <v>15.120708694627556</v>
      </c>
      <c r="L8" s="196">
        <v>12.837335667911791</v>
      </c>
      <c r="M8" s="53">
        <f>SUM(E8:L8)</f>
        <v>150.32504731952542</v>
      </c>
      <c r="O8" s="53">
        <f t="shared" si="0"/>
        <v>39.367653065913842</v>
      </c>
      <c r="P8" s="53">
        <f t="shared" si="0"/>
        <v>32.5982176656848</v>
      </c>
      <c r="Q8" s="53">
        <f t="shared" si="0"/>
        <v>22.344754948480642</v>
      </c>
      <c r="R8" s="53">
        <f t="shared" si="0"/>
        <v>19.267385921267891</v>
      </c>
      <c r="S8" s="53">
        <f t="shared" si="0"/>
        <v>17.985480737206981</v>
      </c>
      <c r="T8" s="53">
        <f t="shared" si="0"/>
        <v>16.900659632772388</v>
      </c>
      <c r="U8" s="53">
        <f t="shared" si="0"/>
        <v>20.518801698609593</v>
      </c>
      <c r="V8" s="53">
        <f t="shared" si="0"/>
        <v>17.946595263740683</v>
      </c>
      <c r="W8" s="53">
        <f>SUM(O8:V8)</f>
        <v>186.92954893367681</v>
      </c>
    </row>
    <row r="9" spans="1:23">
      <c r="C9" s="38" t="s">
        <v>207</v>
      </c>
      <c r="E9" s="57">
        <f t="shared" ref="E9:M9" si="1">SUM(E7:E8)</f>
        <v>71.514646057128061</v>
      </c>
      <c r="F9" s="57">
        <f t="shared" si="1"/>
        <v>66.158711676294189</v>
      </c>
      <c r="G9" s="57">
        <f t="shared" si="1"/>
        <v>57.525380924680945</v>
      </c>
      <c r="H9" s="57">
        <f t="shared" si="1"/>
        <v>52.884420178982765</v>
      </c>
      <c r="I9" s="57">
        <f t="shared" si="1"/>
        <v>51.780695558107439</v>
      </c>
      <c r="J9" s="57">
        <f t="shared" si="1"/>
        <v>51.008518796640047</v>
      </c>
      <c r="K9" s="57">
        <f t="shared" si="1"/>
        <v>53.942466919727821</v>
      </c>
      <c r="L9" s="57">
        <f t="shared" si="1"/>
        <v>52.255016991528549</v>
      </c>
      <c r="M9" s="57">
        <f t="shared" si="1"/>
        <v>457.06985710308976</v>
      </c>
      <c r="O9" s="57">
        <f t="shared" ref="O9:W9" si="2">SUM(O7:O8)</f>
        <v>83.457591948668437</v>
      </c>
      <c r="P9" s="57">
        <f t="shared" si="2"/>
        <v>78.728866894790073</v>
      </c>
      <c r="Q9" s="57">
        <f t="shared" si="2"/>
        <v>69.145507871466492</v>
      </c>
      <c r="R9" s="57">
        <f t="shared" si="2"/>
        <v>64.942067979790835</v>
      </c>
      <c r="S9" s="57">
        <f t="shared" si="2"/>
        <v>65.968606141028872</v>
      </c>
      <c r="T9" s="57">
        <f t="shared" si="2"/>
        <v>67.127210736378302</v>
      </c>
      <c r="U9" s="57">
        <f t="shared" si="2"/>
        <v>73.199927610070645</v>
      </c>
      <c r="V9" s="57">
        <f t="shared" si="2"/>
        <v>73.052513754156905</v>
      </c>
      <c r="W9" s="57">
        <f t="shared" si="2"/>
        <v>575.6222929363505</v>
      </c>
    </row>
    <row r="10" spans="1:23">
      <c r="E10" s="53"/>
      <c r="F10" s="53"/>
      <c r="G10" s="53"/>
      <c r="H10" s="53"/>
      <c r="I10" s="53"/>
      <c r="J10" s="53"/>
      <c r="K10" s="53"/>
      <c r="L10" s="53"/>
      <c r="O10" s="53"/>
      <c r="P10" s="53"/>
      <c r="Q10" s="53"/>
      <c r="R10" s="53"/>
      <c r="S10" s="53"/>
      <c r="T10" s="53"/>
      <c r="U10" s="53"/>
      <c r="V10" s="53"/>
      <c r="W10" s="53"/>
    </row>
    <row r="11" spans="1:23">
      <c r="C11" s="38" t="s">
        <v>208</v>
      </c>
      <c r="E11" s="53"/>
      <c r="F11" s="53"/>
      <c r="G11" s="53"/>
      <c r="H11" s="53"/>
      <c r="I11" s="53"/>
      <c r="J11" s="53"/>
      <c r="K11" s="53"/>
      <c r="L11" s="53"/>
      <c r="O11" s="53"/>
      <c r="P11" s="53"/>
      <c r="Q11" s="53"/>
      <c r="R11" s="53"/>
      <c r="S11" s="53"/>
      <c r="T11" s="53"/>
      <c r="U11" s="53"/>
      <c r="V11" s="53"/>
      <c r="W11" s="53"/>
    </row>
    <row r="12" spans="1:23">
      <c r="B12" t="s">
        <v>209</v>
      </c>
      <c r="C12" t="s">
        <v>210</v>
      </c>
      <c r="E12" s="196">
        <v>19.755956161710287</v>
      </c>
      <c r="F12" s="196">
        <v>4.9640550676615947</v>
      </c>
      <c r="G12" s="196">
        <v>8.9197815696110538</v>
      </c>
      <c r="H12" s="196">
        <v>12.191499767835666</v>
      </c>
      <c r="I12" s="196">
        <v>13.477291968470052</v>
      </c>
      <c r="J12" s="196">
        <v>19.208679341930342</v>
      </c>
      <c r="K12" s="196">
        <v>16.974249516476256</v>
      </c>
      <c r="L12" s="196">
        <v>13.967101910657444</v>
      </c>
      <c r="M12" s="53">
        <f t="shared" ref="M12:M13" si="3">SUM(E12:L12)</f>
        <v>109.45861530435269</v>
      </c>
      <c r="O12" s="53">
        <f t="shared" ref="O12:V13" si="4">E12*O$1</f>
        <v>23.055200840715905</v>
      </c>
      <c r="P12" s="53">
        <f t="shared" si="4"/>
        <v>5.9072255305172972</v>
      </c>
      <c r="Q12" s="53">
        <f t="shared" si="4"/>
        <v>10.721577446672486</v>
      </c>
      <c r="R12" s="53">
        <f t="shared" si="4"/>
        <v>14.971161714902196</v>
      </c>
      <c r="S12" s="53">
        <f t="shared" si="4"/>
        <v>17.170069967830845</v>
      </c>
      <c r="T12" s="53">
        <f t="shared" si="4"/>
        <v>25.278622013980332</v>
      </c>
      <c r="U12" s="53">
        <f t="shared" si="4"/>
        <v>23.034056593858278</v>
      </c>
      <c r="V12" s="53">
        <f t="shared" si="4"/>
        <v>19.526008471099107</v>
      </c>
      <c r="W12" s="53">
        <f>SUM(O12:V12)</f>
        <v>139.66392257957645</v>
      </c>
    </row>
    <row r="13" spans="1:23">
      <c r="B13" t="s">
        <v>211</v>
      </c>
      <c r="C13" t="s">
        <v>212</v>
      </c>
      <c r="E13" s="196">
        <v>6.3163697463774593</v>
      </c>
      <c r="F13" s="196">
        <v>7.5127863565785153</v>
      </c>
      <c r="G13" s="196">
        <v>11.755221166240313</v>
      </c>
      <c r="H13" s="196">
        <v>14.858131955957658</v>
      </c>
      <c r="I13" s="196">
        <v>9.9935426477652847</v>
      </c>
      <c r="J13" s="196">
        <v>12.155160387098473</v>
      </c>
      <c r="K13" s="196">
        <v>12.398863612479254</v>
      </c>
      <c r="L13" s="196">
        <v>11.187952086317051</v>
      </c>
      <c r="M13" s="53">
        <f t="shared" si="3"/>
        <v>86.178027958814013</v>
      </c>
      <c r="O13" s="53">
        <f t="shared" si="4"/>
        <v>7.3712034940224953</v>
      </c>
      <c r="P13" s="53">
        <f t="shared" si="4"/>
        <v>8.9402157643284337</v>
      </c>
      <c r="Q13" s="53">
        <f t="shared" si="4"/>
        <v>14.129775841820855</v>
      </c>
      <c r="R13" s="53">
        <f t="shared" si="4"/>
        <v>18.245786041916006</v>
      </c>
      <c r="S13" s="53">
        <f t="shared" si="4"/>
        <v>12.731773333252972</v>
      </c>
      <c r="T13" s="53">
        <f t="shared" si="4"/>
        <v>15.996191069421592</v>
      </c>
      <c r="U13" s="53">
        <f t="shared" si="4"/>
        <v>16.825257922134348</v>
      </c>
      <c r="V13" s="53">
        <f t="shared" si="4"/>
        <v>15.640757016671236</v>
      </c>
      <c r="W13" s="53">
        <f>SUM(O13:V13)</f>
        <v>109.88096048356793</v>
      </c>
    </row>
    <row r="14" spans="1:23">
      <c r="E14" s="53"/>
      <c r="F14" s="53"/>
      <c r="G14" s="53"/>
      <c r="H14" s="53"/>
      <c r="I14" s="53"/>
      <c r="J14" s="53"/>
      <c r="K14" s="53"/>
      <c r="L14" s="53"/>
      <c r="M14" s="53"/>
      <c r="O14" s="53"/>
      <c r="P14" s="53"/>
      <c r="Q14" s="53"/>
      <c r="R14" s="53"/>
      <c r="S14" s="53"/>
      <c r="T14" s="53"/>
      <c r="U14" s="53"/>
      <c r="V14" s="53"/>
      <c r="W14" s="53"/>
    </row>
    <row r="15" spans="1:23">
      <c r="C15" s="38" t="s">
        <v>213</v>
      </c>
      <c r="O15" s="53"/>
      <c r="P15" s="53"/>
      <c r="Q15" s="53"/>
      <c r="R15" s="53"/>
      <c r="S15" s="53"/>
      <c r="T15" s="53"/>
      <c r="U15" s="53"/>
      <c r="V15" s="53"/>
      <c r="W15" s="53"/>
    </row>
    <row r="16" spans="1:23">
      <c r="B16" t="s">
        <v>214</v>
      </c>
      <c r="C16" t="s">
        <v>215</v>
      </c>
      <c r="E16" s="196">
        <v>15.115777414489674</v>
      </c>
      <c r="F16" s="196">
        <v>6.1585183187658412</v>
      </c>
      <c r="G16" s="196">
        <v>1.2279992437177505</v>
      </c>
      <c r="H16" s="196">
        <v>1.0586494644799558</v>
      </c>
      <c r="I16" s="196">
        <v>5.9459563895617578</v>
      </c>
      <c r="J16" s="196">
        <v>5.0594200163138892</v>
      </c>
      <c r="K16" s="196">
        <v>0.23152878737450566</v>
      </c>
      <c r="L16" s="196">
        <v>0</v>
      </c>
      <c r="M16" s="53">
        <f>SUM(E16:L16)</f>
        <v>34.797849634703375</v>
      </c>
      <c r="O16" s="53">
        <f t="shared" ref="O16:V18" si="5">E16*O$1</f>
        <v>17.640112242709449</v>
      </c>
      <c r="P16" s="53">
        <f t="shared" si="5"/>
        <v>7.3286367993313508</v>
      </c>
      <c r="Q16" s="53">
        <f t="shared" si="5"/>
        <v>1.476055090948736</v>
      </c>
      <c r="R16" s="53">
        <f t="shared" si="5"/>
        <v>1.3000215423813857</v>
      </c>
      <c r="S16" s="53">
        <f t="shared" si="5"/>
        <v>7.5751484403016791</v>
      </c>
      <c r="T16" s="53">
        <f t="shared" si="5"/>
        <v>6.6581967414690784</v>
      </c>
      <c r="U16" s="53">
        <f t="shared" si="5"/>
        <v>0.31418456446720416</v>
      </c>
      <c r="V16" s="53">
        <f t="shared" si="5"/>
        <v>0</v>
      </c>
      <c r="W16" s="53">
        <f>SUM(O16:V16)</f>
        <v>42.292355421608882</v>
      </c>
    </row>
    <row r="17" spans="2:23">
      <c r="B17" t="s">
        <v>216</v>
      </c>
      <c r="C17" t="s">
        <v>217</v>
      </c>
      <c r="E17" s="196">
        <v>97.132518315217595</v>
      </c>
      <c r="F17" s="196">
        <v>109.87971241227922</v>
      </c>
      <c r="G17" s="196">
        <v>114.43672637584547</v>
      </c>
      <c r="H17" s="196">
        <v>123.96977718673423</v>
      </c>
      <c r="I17" s="196">
        <v>138.27838395379189</v>
      </c>
      <c r="J17" s="196">
        <v>117.50342084599842</v>
      </c>
      <c r="K17" s="196">
        <v>101.87556011564801</v>
      </c>
      <c r="L17" s="196">
        <v>91.157975802007329</v>
      </c>
      <c r="M17" s="53">
        <f>SUM(E17:L17)</f>
        <v>894.23407500752216</v>
      </c>
      <c r="O17" s="53">
        <f t="shared" si="5"/>
        <v>113.35364887385894</v>
      </c>
      <c r="P17" s="53">
        <f t="shared" si="5"/>
        <v>130.75685777061227</v>
      </c>
      <c r="Q17" s="53">
        <f t="shared" si="5"/>
        <v>137.55294510376623</v>
      </c>
      <c r="R17" s="53">
        <f t="shared" si="5"/>
        <v>152.23488638530964</v>
      </c>
      <c r="S17" s="53">
        <f t="shared" si="5"/>
        <v>176.16666115713087</v>
      </c>
      <c r="T17" s="53">
        <f t="shared" si="5"/>
        <v>154.63450183333393</v>
      </c>
      <c r="U17" s="53">
        <f t="shared" si="5"/>
        <v>138.24513507693436</v>
      </c>
      <c r="V17" s="53">
        <f t="shared" si="5"/>
        <v>127.43885017120624</v>
      </c>
      <c r="W17" s="53">
        <f>SUM(O17:V17)</f>
        <v>1130.3834863721527</v>
      </c>
    </row>
    <row r="18" spans="2:23">
      <c r="B18" t="s">
        <v>218</v>
      </c>
      <c r="C18" t="s">
        <v>204</v>
      </c>
      <c r="E18" s="196">
        <v>64.482672010544718</v>
      </c>
      <c r="F18" s="196">
        <v>65.237874215180156</v>
      </c>
      <c r="G18" s="196">
        <v>70.772894725011071</v>
      </c>
      <c r="H18" s="196">
        <v>79.368338266410362</v>
      </c>
      <c r="I18" s="196">
        <v>84.317479134504765</v>
      </c>
      <c r="J18" s="196">
        <v>84.641346358196444</v>
      </c>
      <c r="K18" s="196">
        <v>80.728014781566515</v>
      </c>
      <c r="L18" s="196">
        <v>77.490070123441129</v>
      </c>
      <c r="M18" s="53">
        <f>SUM(E18:L18)</f>
        <v>607.03868961485512</v>
      </c>
      <c r="O18" s="53">
        <f t="shared" si="5"/>
        <v>75.251278236305694</v>
      </c>
      <c r="P18" s="53">
        <f t="shared" si="5"/>
        <v>77.633070316064376</v>
      </c>
      <c r="Q18" s="53">
        <f t="shared" si="5"/>
        <v>85.069019459463306</v>
      </c>
      <c r="R18" s="53">
        <f t="shared" si="5"/>
        <v>97.464319391151918</v>
      </c>
      <c r="S18" s="53">
        <f t="shared" si="5"/>
        <v>107.42046841735907</v>
      </c>
      <c r="T18" s="53">
        <f t="shared" si="5"/>
        <v>111.38801180738652</v>
      </c>
      <c r="U18" s="53">
        <f t="shared" si="5"/>
        <v>109.54791605858576</v>
      </c>
      <c r="V18" s="53">
        <f t="shared" si="5"/>
        <v>108.33111803257069</v>
      </c>
      <c r="W18" s="53">
        <f>SUM(O18:V18)</f>
        <v>772.10520171888732</v>
      </c>
    </row>
    <row r="19" spans="2:23">
      <c r="O19" s="53"/>
      <c r="P19" s="53"/>
      <c r="Q19" s="53"/>
      <c r="R19" s="53"/>
      <c r="S19" s="53"/>
      <c r="T19" s="53"/>
      <c r="U19" s="53"/>
      <c r="V19" s="53"/>
      <c r="W19" s="53"/>
    </row>
    <row r="20" spans="2:23">
      <c r="C20" s="38" t="s">
        <v>219</v>
      </c>
      <c r="O20" s="53"/>
      <c r="P20" s="53"/>
      <c r="Q20" s="53"/>
      <c r="R20" s="53"/>
      <c r="S20" s="53"/>
      <c r="T20" s="53"/>
      <c r="U20" s="53"/>
      <c r="V20" s="53"/>
      <c r="W20" s="53"/>
    </row>
    <row r="21" spans="2:23">
      <c r="B21" t="s">
        <v>220</v>
      </c>
      <c r="C21" t="s">
        <v>206</v>
      </c>
      <c r="E21" s="196">
        <v>26.93604464906883</v>
      </c>
      <c r="F21" s="196">
        <v>19.510949672305049</v>
      </c>
      <c r="G21" s="196">
        <v>-3.895985875942312</v>
      </c>
      <c r="H21" s="196">
        <v>-15.83053713675862</v>
      </c>
      <c r="I21" s="196">
        <v>4.0808157869617645</v>
      </c>
      <c r="J21" s="196">
        <v>3.3617866266992991</v>
      </c>
      <c r="K21" s="196">
        <v>-22.618844944848529</v>
      </c>
      <c r="L21" s="196">
        <v>-27.683993902785797</v>
      </c>
      <c r="M21" s="53">
        <f>SUM(E21:L21)</f>
        <v>-16.139765125300322</v>
      </c>
      <c r="O21" s="53">
        <f t="shared" ref="O21:V22" si="6">E21*O$1</f>
        <v>31.434364105463324</v>
      </c>
      <c r="P21" s="53">
        <f t="shared" si="6"/>
        <v>23.218030110043006</v>
      </c>
      <c r="Q21" s="53">
        <f t="shared" si="6"/>
        <v>-4.6829750228826592</v>
      </c>
      <c r="R21" s="53">
        <f t="shared" si="6"/>
        <v>-19.439899603939587</v>
      </c>
      <c r="S21" s="53">
        <f t="shared" si="6"/>
        <v>5.1989593125892881</v>
      </c>
      <c r="T21" s="53">
        <f t="shared" si="6"/>
        <v>4.4241112007362782</v>
      </c>
      <c r="U21" s="53">
        <f t="shared" si="6"/>
        <v>-30.693772590159455</v>
      </c>
      <c r="V21" s="53">
        <f t="shared" si="6"/>
        <v>-38.702223476094545</v>
      </c>
      <c r="W21" s="53">
        <f>SUM(O21:V21)</f>
        <v>-29.243405964244346</v>
      </c>
    </row>
    <row r="22" spans="2:23">
      <c r="B22" t="s">
        <v>221</v>
      </c>
      <c r="C22" t="s">
        <v>204</v>
      </c>
      <c r="E22" s="196">
        <v>3.4860000000000002</v>
      </c>
      <c r="F22" s="196">
        <v>1.9990000000000001</v>
      </c>
      <c r="G22" s="196">
        <v>2.0979999999999999</v>
      </c>
      <c r="H22" s="196">
        <v>2.8820000000000001</v>
      </c>
      <c r="I22" s="196">
        <v>3.7022064285714298</v>
      </c>
      <c r="J22" s="196">
        <v>2.5631782312925169</v>
      </c>
      <c r="K22" s="196">
        <v>1.4961976478727097</v>
      </c>
      <c r="L22" s="196">
        <v>0.94824897959183674</v>
      </c>
      <c r="M22" s="53">
        <f>SUM(E22:L22)</f>
        <v>19.174831287328495</v>
      </c>
      <c r="O22" s="53">
        <f t="shared" si="6"/>
        <v>4.0681620000000001</v>
      </c>
      <c r="P22" s="53">
        <f t="shared" si="6"/>
        <v>2.3788100000000001</v>
      </c>
      <c r="Q22" s="53">
        <f t="shared" si="6"/>
        <v>2.5217959999999997</v>
      </c>
      <c r="R22" s="53">
        <f t="shared" si="6"/>
        <v>3.5390960000000002</v>
      </c>
      <c r="S22" s="53">
        <f t="shared" si="6"/>
        <v>4.7166109900000013</v>
      </c>
      <c r="T22" s="53">
        <f t="shared" si="6"/>
        <v>3.3731425523809522</v>
      </c>
      <c r="U22" s="53">
        <f t="shared" si="6"/>
        <v>2.0303402081632669</v>
      </c>
      <c r="V22" s="53">
        <f t="shared" si="6"/>
        <v>1.3256520734693877</v>
      </c>
      <c r="W22" s="53">
        <f>SUM(O22:V22)</f>
        <v>23.953609824013611</v>
      </c>
    </row>
    <row r="23" spans="2:23">
      <c r="O23" s="53"/>
      <c r="P23" s="53"/>
      <c r="Q23" s="53"/>
      <c r="R23" s="53"/>
      <c r="S23" s="53"/>
      <c r="T23" s="53"/>
      <c r="U23" s="53"/>
      <c r="V23" s="53"/>
      <c r="W23" s="53"/>
    </row>
    <row r="24" spans="2:23" ht="15.6">
      <c r="C24" s="59" t="s">
        <v>222</v>
      </c>
      <c r="D24" s="60"/>
      <c r="E24" s="61">
        <f t="shared" ref="E24:M24" si="7">SUM(E16:E22)</f>
        <v>207.15301238932079</v>
      </c>
      <c r="F24" s="61">
        <f t="shared" si="7"/>
        <v>202.78605461853027</v>
      </c>
      <c r="G24" s="61">
        <f t="shared" si="7"/>
        <v>184.63963446863198</v>
      </c>
      <c r="H24" s="61">
        <f t="shared" si="7"/>
        <v>191.44822778086595</v>
      </c>
      <c r="I24" s="61">
        <f t="shared" si="7"/>
        <v>236.32484169339162</v>
      </c>
      <c r="J24" s="61">
        <f t="shared" si="7"/>
        <v>213.12915207850057</v>
      </c>
      <c r="K24" s="61">
        <f t="shared" si="7"/>
        <v>161.71245638761323</v>
      </c>
      <c r="L24" s="61">
        <f t="shared" si="7"/>
        <v>141.91230100225448</v>
      </c>
      <c r="M24" s="61">
        <f t="shared" si="7"/>
        <v>1539.1056804191089</v>
      </c>
      <c r="O24" s="61">
        <f t="shared" ref="O24:W24" si="8">SUM(O16:O22)</f>
        <v>241.74756545833742</v>
      </c>
      <c r="P24" s="61">
        <f t="shared" si="8"/>
        <v>241.31540499605097</v>
      </c>
      <c r="Q24" s="61">
        <f t="shared" si="8"/>
        <v>221.93684063129561</v>
      </c>
      <c r="R24" s="61">
        <f t="shared" si="8"/>
        <v>235.09842371490336</v>
      </c>
      <c r="S24" s="61">
        <f t="shared" si="8"/>
        <v>301.07784831738093</v>
      </c>
      <c r="T24" s="61">
        <f t="shared" si="8"/>
        <v>280.47796413530676</v>
      </c>
      <c r="U24" s="61">
        <f t="shared" si="8"/>
        <v>219.44380331799113</v>
      </c>
      <c r="V24" s="61">
        <f t="shared" si="8"/>
        <v>198.39339680115179</v>
      </c>
      <c r="W24" s="61">
        <f t="shared" si="8"/>
        <v>1939.4912473724182</v>
      </c>
    </row>
    <row r="25" spans="2:23">
      <c r="O25" s="53"/>
      <c r="P25" s="53"/>
      <c r="Q25" s="53"/>
      <c r="R25" s="53"/>
      <c r="S25" s="53"/>
      <c r="T25" s="53"/>
      <c r="U25" s="53"/>
      <c r="V25" s="53"/>
      <c r="W25" s="53"/>
    </row>
    <row r="26" spans="2:23">
      <c r="C26" s="38" t="s">
        <v>224</v>
      </c>
      <c r="D26" s="38"/>
      <c r="O26" s="53"/>
      <c r="P26" s="53"/>
      <c r="Q26" s="53"/>
      <c r="R26" s="53"/>
      <c r="S26" s="53"/>
      <c r="T26" s="53"/>
      <c r="U26" s="53"/>
      <c r="V26" s="53"/>
      <c r="W26" s="53"/>
    </row>
    <row r="27" spans="2:23">
      <c r="B27" t="s">
        <v>225</v>
      </c>
      <c r="C27" t="s">
        <v>226</v>
      </c>
      <c r="E27" s="197">
        <v>110.11544616012048</v>
      </c>
      <c r="F27" s="197">
        <v>110.29121834911521</v>
      </c>
      <c r="G27" s="197">
        <v>110.32860169190292</v>
      </c>
      <c r="H27" s="197">
        <v>110.3596633646699</v>
      </c>
      <c r="I27" s="197">
        <v>110.27343835902431</v>
      </c>
      <c r="J27" s="197">
        <v>110.27662588032852</v>
      </c>
      <c r="K27" s="197">
        <v>110.30420904525512</v>
      </c>
      <c r="L27" s="197">
        <v>110.31067350058066</v>
      </c>
      <c r="M27" s="58">
        <f>SUM(E27:L27)</f>
        <v>882.25987635099727</v>
      </c>
      <c r="O27" s="58">
        <f t="shared" ref="O27:V27" si="9">E27*O$1</f>
        <v>128.5047256688606</v>
      </c>
      <c r="P27" s="58">
        <f t="shared" si="9"/>
        <v>131.2465498354471</v>
      </c>
      <c r="Q27" s="58">
        <f t="shared" si="9"/>
        <v>132.6149792336673</v>
      </c>
      <c r="R27" s="58">
        <f t="shared" si="9"/>
        <v>135.52166661181462</v>
      </c>
      <c r="S27" s="58">
        <f t="shared" si="9"/>
        <v>140.48836046939698</v>
      </c>
      <c r="T27" s="58">
        <f t="shared" si="9"/>
        <v>145.12403965851234</v>
      </c>
      <c r="U27" s="58">
        <f t="shared" si="9"/>
        <v>149.6828116744112</v>
      </c>
      <c r="V27" s="58">
        <f t="shared" si="9"/>
        <v>154.21432155381174</v>
      </c>
      <c r="W27" s="58">
        <f>SUM(O27:V27)</f>
        <v>1117.3974547059217</v>
      </c>
    </row>
    <row r="28" spans="2:23">
      <c r="O28" s="53"/>
      <c r="P28" s="53"/>
      <c r="Q28" s="53"/>
      <c r="R28" s="53"/>
      <c r="S28" s="53"/>
      <c r="T28" s="53"/>
      <c r="U28" s="53"/>
      <c r="V28" s="53"/>
      <c r="W28" s="53"/>
    </row>
    <row r="29" spans="2:23">
      <c r="O29" s="53"/>
      <c r="P29" s="53"/>
      <c r="Q29" s="53"/>
      <c r="R29" s="53"/>
      <c r="S29" s="53"/>
      <c r="T29" s="53"/>
      <c r="U29" s="53"/>
      <c r="V29" s="53"/>
      <c r="W29" s="53"/>
    </row>
    <row r="30" spans="2:23">
      <c r="C30" s="38" t="s">
        <v>227</v>
      </c>
    </row>
    <row r="31" spans="2:23">
      <c r="B31" t="s">
        <v>228</v>
      </c>
      <c r="C31" t="s">
        <v>204</v>
      </c>
      <c r="E31" s="223">
        <v>41.699866198630083</v>
      </c>
      <c r="F31" s="223">
        <v>46.51847835898819</v>
      </c>
      <c r="G31" s="223">
        <v>47.63954440588418</v>
      </c>
      <c r="H31" s="223">
        <v>48.004193757227398</v>
      </c>
      <c r="I31" s="223">
        <v>47.08448854248897</v>
      </c>
      <c r="J31" s="223">
        <v>50.321232654276216</v>
      </c>
      <c r="K31" s="223">
        <v>51.220621837579515</v>
      </c>
      <c r="L31" s="223">
        <v>50.605633409933802</v>
      </c>
      <c r="M31" s="53">
        <f>SUM(E31:L31)</f>
        <v>383.09405916500839</v>
      </c>
      <c r="O31" s="53">
        <f t="shared" ref="O31:V32" si="10">E31*O$1</f>
        <v>48.663743853801307</v>
      </c>
      <c r="P31" s="53">
        <f t="shared" si="10"/>
        <v>55.356989247195941</v>
      </c>
      <c r="Q31" s="53">
        <f t="shared" si="10"/>
        <v>57.26273237587278</v>
      </c>
      <c r="R31" s="53">
        <f t="shared" si="10"/>
        <v>58.94914993387524</v>
      </c>
      <c r="S31" s="53">
        <f t="shared" si="10"/>
        <v>59.985638403130949</v>
      </c>
      <c r="T31" s="53">
        <f t="shared" si="10"/>
        <v>66.222742173027498</v>
      </c>
      <c r="U31" s="53">
        <f t="shared" si="10"/>
        <v>69.506383833595407</v>
      </c>
      <c r="V31" s="53">
        <f t="shared" si="10"/>
        <v>70.746675507087446</v>
      </c>
      <c r="W31" s="53">
        <f>SUM(O31:V31)</f>
        <v>486.69405532758657</v>
      </c>
    </row>
    <row r="32" spans="2:23">
      <c r="B32" t="s">
        <v>229</v>
      </c>
      <c r="C32" t="s">
        <v>206</v>
      </c>
      <c r="E32" s="223">
        <v>17.708206798472986</v>
      </c>
      <c r="F32" s="223">
        <v>27.278753771610219</v>
      </c>
      <c r="G32" s="223">
        <v>35.75243758954386</v>
      </c>
      <c r="H32" s="223">
        <v>26.81232176716134</v>
      </c>
      <c r="I32" s="223">
        <v>20.750828623113414</v>
      </c>
      <c r="J32" s="223">
        <v>32.051125871392642</v>
      </c>
      <c r="K32" s="223">
        <v>32.094958211103815</v>
      </c>
      <c r="L32" s="223">
        <v>26.804437578569235</v>
      </c>
      <c r="M32" s="53">
        <f>SUM(E32:L32)</f>
        <v>219.25307021096748</v>
      </c>
      <c r="O32" s="53">
        <f t="shared" si="10"/>
        <v>20.665477333817975</v>
      </c>
      <c r="P32" s="53">
        <f t="shared" si="10"/>
        <v>32.46171698821616</v>
      </c>
      <c r="Q32" s="53">
        <f t="shared" si="10"/>
        <v>42.974429982631719</v>
      </c>
      <c r="R32" s="53">
        <f t="shared" si="10"/>
        <v>32.925531130074127</v>
      </c>
      <c r="S32" s="53">
        <f t="shared" si="10"/>
        <v>26.436555665846491</v>
      </c>
      <c r="T32" s="53">
        <f t="shared" si="10"/>
        <v>42.17928164675272</v>
      </c>
      <c r="U32" s="53">
        <f t="shared" si="10"/>
        <v>43.552858292467874</v>
      </c>
      <c r="V32" s="53">
        <f t="shared" si="10"/>
        <v>37.472603734839787</v>
      </c>
      <c r="W32" s="53">
        <f>SUM(O32:V32)</f>
        <v>278.66845477464682</v>
      </c>
    </row>
    <row r="33" spans="2:23">
      <c r="C33" s="38" t="s">
        <v>207</v>
      </c>
      <c r="E33" s="57">
        <f t="shared" ref="E33:M33" si="11">SUM(E31:E32)</f>
        <v>59.408072997103069</v>
      </c>
      <c r="F33" s="57">
        <f t="shared" si="11"/>
        <v>73.797232130598417</v>
      </c>
      <c r="G33" s="57">
        <f t="shared" si="11"/>
        <v>83.39198199542804</v>
      </c>
      <c r="H33" s="57">
        <f t="shared" si="11"/>
        <v>74.816515524388734</v>
      </c>
      <c r="I33" s="57">
        <f t="shared" si="11"/>
        <v>67.83531716560239</v>
      </c>
      <c r="J33" s="57">
        <f t="shared" si="11"/>
        <v>82.372358525668858</v>
      </c>
      <c r="K33" s="57">
        <f t="shared" si="11"/>
        <v>83.31558004868333</v>
      </c>
      <c r="L33" s="57">
        <f t="shared" si="11"/>
        <v>77.410070988503037</v>
      </c>
      <c r="M33" s="57">
        <f t="shared" si="11"/>
        <v>602.3471293759759</v>
      </c>
      <c r="O33" s="57">
        <f t="shared" ref="O33:W33" si="12">SUM(O31:O32)</f>
        <v>69.329221187619282</v>
      </c>
      <c r="P33" s="57">
        <f t="shared" si="12"/>
        <v>87.818706235412094</v>
      </c>
      <c r="Q33" s="57">
        <f t="shared" si="12"/>
        <v>100.23716235850449</v>
      </c>
      <c r="R33" s="57">
        <f t="shared" si="12"/>
        <v>91.874681063949367</v>
      </c>
      <c r="S33" s="57">
        <f t="shared" si="12"/>
        <v>86.422194068977433</v>
      </c>
      <c r="T33" s="57">
        <f t="shared" si="12"/>
        <v>108.40202381978023</v>
      </c>
      <c r="U33" s="57">
        <f t="shared" si="12"/>
        <v>113.05924212606328</v>
      </c>
      <c r="V33" s="57">
        <f t="shared" si="12"/>
        <v>108.21927924192724</v>
      </c>
      <c r="W33" s="57">
        <f t="shared" si="12"/>
        <v>765.36251010223339</v>
      </c>
    </row>
    <row r="34" spans="2:23">
      <c r="E34" s="53"/>
      <c r="F34" s="53"/>
      <c r="G34" s="53"/>
      <c r="H34" s="53"/>
      <c r="I34" s="53"/>
      <c r="J34" s="53"/>
      <c r="K34" s="53"/>
      <c r="L34" s="53"/>
      <c r="O34" s="53"/>
      <c r="P34" s="53"/>
      <c r="Q34" s="53"/>
      <c r="R34" s="53"/>
      <c r="S34" s="53"/>
      <c r="T34" s="53"/>
      <c r="U34" s="53"/>
      <c r="V34" s="53"/>
      <c r="W34" s="53"/>
    </row>
    <row r="35" spans="2:23">
      <c r="C35" s="38" t="s">
        <v>230</v>
      </c>
      <c r="E35" s="53"/>
      <c r="F35" s="53"/>
      <c r="G35" s="53"/>
      <c r="H35" s="53"/>
      <c r="I35" s="53"/>
      <c r="J35" s="53"/>
      <c r="K35" s="53"/>
      <c r="L35" s="53"/>
      <c r="O35" s="53"/>
      <c r="P35" s="53"/>
      <c r="Q35" s="53"/>
      <c r="R35" s="53"/>
      <c r="S35" s="53"/>
      <c r="T35" s="53"/>
      <c r="U35" s="53"/>
      <c r="V35" s="53"/>
      <c r="W35" s="53"/>
    </row>
    <row r="36" spans="2:23">
      <c r="B36" t="s">
        <v>29</v>
      </c>
      <c r="C36" t="s">
        <v>210</v>
      </c>
      <c r="E36" s="223">
        <v>0</v>
      </c>
      <c r="F36" s="223">
        <v>0</v>
      </c>
      <c r="G36" s="223">
        <v>0</v>
      </c>
      <c r="H36" s="223">
        <v>0</v>
      </c>
      <c r="I36" s="223">
        <v>0</v>
      </c>
      <c r="J36" s="223">
        <v>0</v>
      </c>
      <c r="K36" s="223">
        <v>0</v>
      </c>
      <c r="L36" s="223">
        <v>0</v>
      </c>
      <c r="M36" s="53">
        <f t="shared" ref="M36:M37" si="13">SUM(E36:L36)</f>
        <v>0</v>
      </c>
      <c r="O36" s="53">
        <f t="shared" ref="O36:V37" si="14">E36*O$1</f>
        <v>0</v>
      </c>
      <c r="P36" s="53">
        <f t="shared" si="14"/>
        <v>0</v>
      </c>
      <c r="Q36" s="53">
        <f t="shared" si="14"/>
        <v>0</v>
      </c>
      <c r="R36" s="53">
        <f t="shared" si="14"/>
        <v>0</v>
      </c>
      <c r="S36" s="53">
        <f t="shared" si="14"/>
        <v>0</v>
      </c>
      <c r="T36" s="53">
        <f t="shared" si="14"/>
        <v>0</v>
      </c>
      <c r="U36" s="53">
        <f t="shared" si="14"/>
        <v>0</v>
      </c>
      <c r="V36" s="53">
        <f t="shared" si="14"/>
        <v>0</v>
      </c>
      <c r="W36" s="53">
        <f>SUM(O36:V36)</f>
        <v>0</v>
      </c>
    </row>
    <row r="37" spans="2:23">
      <c r="B37" t="s">
        <v>29</v>
      </c>
      <c r="C37" t="s">
        <v>212</v>
      </c>
      <c r="E37" s="223">
        <v>0</v>
      </c>
      <c r="F37" s="223">
        <v>0</v>
      </c>
      <c r="G37" s="223">
        <v>0</v>
      </c>
      <c r="H37" s="223">
        <v>0</v>
      </c>
      <c r="I37" s="223">
        <v>0</v>
      </c>
      <c r="J37" s="223">
        <v>0</v>
      </c>
      <c r="K37" s="223">
        <v>0</v>
      </c>
      <c r="L37" s="223">
        <v>0</v>
      </c>
      <c r="M37" s="53">
        <f t="shared" si="13"/>
        <v>0</v>
      </c>
      <c r="O37" s="53">
        <f t="shared" si="14"/>
        <v>0</v>
      </c>
      <c r="P37" s="53">
        <f t="shared" si="14"/>
        <v>0</v>
      </c>
      <c r="Q37" s="53">
        <f t="shared" si="14"/>
        <v>0</v>
      </c>
      <c r="R37" s="53">
        <f t="shared" si="14"/>
        <v>0</v>
      </c>
      <c r="S37" s="53">
        <f t="shared" si="14"/>
        <v>0</v>
      </c>
      <c r="T37" s="53">
        <f t="shared" si="14"/>
        <v>0</v>
      </c>
      <c r="U37" s="53">
        <f t="shared" si="14"/>
        <v>0</v>
      </c>
      <c r="V37" s="53">
        <f t="shared" si="14"/>
        <v>0</v>
      </c>
      <c r="W37" s="53">
        <f>SUM(O37:V37)</f>
        <v>0</v>
      </c>
    </row>
    <row r="38" spans="2:23">
      <c r="E38" s="223"/>
      <c r="F38" s="223"/>
      <c r="G38" s="223"/>
      <c r="H38" s="223"/>
      <c r="I38" s="223"/>
      <c r="J38" s="223"/>
      <c r="K38" s="223"/>
      <c r="L38" s="223"/>
      <c r="M38" s="53"/>
      <c r="O38" s="53"/>
      <c r="P38" s="53"/>
      <c r="Q38" s="53"/>
      <c r="R38" s="53"/>
      <c r="S38" s="53"/>
      <c r="T38" s="53"/>
      <c r="U38" s="53"/>
      <c r="V38" s="53"/>
      <c r="W38" s="53"/>
    </row>
    <row r="39" spans="2:23">
      <c r="E39" s="53"/>
      <c r="F39" s="53"/>
      <c r="G39" s="53"/>
      <c r="H39" s="53"/>
      <c r="I39" s="53"/>
      <c r="J39" s="53"/>
      <c r="K39" s="53"/>
      <c r="L39" s="53"/>
      <c r="M39" s="53"/>
      <c r="O39" s="53"/>
      <c r="P39" s="53"/>
      <c r="Q39" s="53"/>
      <c r="R39" s="53"/>
      <c r="S39" s="53"/>
      <c r="T39" s="53"/>
      <c r="U39" s="53"/>
      <c r="V39" s="53"/>
      <c r="W39" s="53"/>
    </row>
    <row r="40" spans="2:23">
      <c r="C40" s="38" t="s">
        <v>231</v>
      </c>
      <c r="O40" s="53"/>
      <c r="P40" s="53"/>
      <c r="Q40" s="53"/>
      <c r="R40" s="53"/>
      <c r="S40" s="53"/>
      <c r="T40" s="53"/>
      <c r="U40" s="53"/>
      <c r="V40" s="53"/>
      <c r="W40" s="53"/>
    </row>
    <row r="41" spans="2:23">
      <c r="C41" t="s">
        <v>215</v>
      </c>
      <c r="E41" s="223">
        <v>2.9582169044297091</v>
      </c>
      <c r="F41" s="223">
        <v>1.2243087640771908</v>
      </c>
      <c r="G41" s="223">
        <v>1.1459862431889645</v>
      </c>
      <c r="H41" s="223">
        <v>1.3744988226661938</v>
      </c>
      <c r="I41" s="223">
        <v>2.087771093729021</v>
      </c>
      <c r="J41" s="223">
        <v>5.0594200163138892</v>
      </c>
      <c r="K41" s="223">
        <v>0.23152878737450566</v>
      </c>
      <c r="L41" s="223">
        <v>0</v>
      </c>
      <c r="M41" s="53">
        <f>SUM(E41:L41)</f>
        <v>14.081730631779473</v>
      </c>
      <c r="O41" s="53">
        <f t="shared" ref="O41:V43" si="15">E41*O$1</f>
        <v>3.4522391274694706</v>
      </c>
      <c r="P41" s="53">
        <f t="shared" si="15"/>
        <v>1.456927429251857</v>
      </c>
      <c r="Q41" s="53">
        <f t="shared" si="15"/>
        <v>1.3774754643131353</v>
      </c>
      <c r="R41" s="53">
        <f t="shared" si="15"/>
        <v>1.6878845542340859</v>
      </c>
      <c r="S41" s="53">
        <f t="shared" si="15"/>
        <v>2.6598203734107728</v>
      </c>
      <c r="T41" s="53">
        <f t="shared" si="15"/>
        <v>6.6581967414690784</v>
      </c>
      <c r="U41" s="53">
        <f t="shared" si="15"/>
        <v>0.31418456446720416</v>
      </c>
      <c r="V41" s="53">
        <f t="shared" si="15"/>
        <v>0</v>
      </c>
      <c r="W41" s="53">
        <f>SUM(O41:V41)</f>
        <v>17.606728254615604</v>
      </c>
    </row>
    <row r="42" spans="2:23">
      <c r="C42" t="s">
        <v>217</v>
      </c>
      <c r="E42" s="223">
        <v>84.412647460068129</v>
      </c>
      <c r="F42" s="223">
        <v>84.426118363020379</v>
      </c>
      <c r="G42" s="223">
        <v>96.668457165131684</v>
      </c>
      <c r="H42" s="223">
        <v>108.73278726876114</v>
      </c>
      <c r="I42" s="223">
        <v>148.82406083636715</v>
      </c>
      <c r="J42" s="223">
        <v>117.50342084599841</v>
      </c>
      <c r="K42" s="223">
        <v>101.87556011564801</v>
      </c>
      <c r="L42" s="223">
        <v>91.157975802007329</v>
      </c>
      <c r="M42" s="53">
        <f>SUM(E42:L42)</f>
        <v>833.60102785700224</v>
      </c>
      <c r="O42" s="53">
        <f t="shared" si="15"/>
        <v>98.50955958589951</v>
      </c>
      <c r="P42" s="53">
        <f t="shared" si="15"/>
        <v>100.46708085199424</v>
      </c>
      <c r="Q42" s="53">
        <f t="shared" si="15"/>
        <v>116.19548551248828</v>
      </c>
      <c r="R42" s="53">
        <f t="shared" si="15"/>
        <v>133.52386276603869</v>
      </c>
      <c r="S42" s="53">
        <f t="shared" si="15"/>
        <v>189.60185350553175</v>
      </c>
      <c r="T42" s="53">
        <f t="shared" si="15"/>
        <v>154.6345018333339</v>
      </c>
      <c r="U42" s="53">
        <f t="shared" si="15"/>
        <v>138.24513507693436</v>
      </c>
      <c r="V42" s="53">
        <f t="shared" si="15"/>
        <v>127.43885017120624</v>
      </c>
      <c r="W42" s="53">
        <f>SUM(O42:V42)</f>
        <v>1058.6163293034269</v>
      </c>
    </row>
    <row r="43" spans="2:23">
      <c r="C43" t="s">
        <v>204</v>
      </c>
      <c r="E43" s="223">
        <v>65.770492168050964</v>
      </c>
      <c r="F43" s="223">
        <v>69.562897994563102</v>
      </c>
      <c r="G43" s="223">
        <v>69.821628465241361</v>
      </c>
      <c r="H43" s="223">
        <v>78.837907674222691</v>
      </c>
      <c r="I43" s="223">
        <v>84.566652630838604</v>
      </c>
      <c r="J43" s="223">
        <v>84.641346358196444</v>
      </c>
      <c r="K43" s="223">
        <v>80.728014781566515</v>
      </c>
      <c r="L43" s="223">
        <v>77.490070123441129</v>
      </c>
      <c r="M43" s="53">
        <f>SUM(E43:L43)</f>
        <v>611.41901019612067</v>
      </c>
      <c r="O43" s="53">
        <f t="shared" si="15"/>
        <v>76.754164360115482</v>
      </c>
      <c r="P43" s="53">
        <f t="shared" si="15"/>
        <v>82.779848613530092</v>
      </c>
      <c r="Q43" s="53">
        <f t="shared" si="15"/>
        <v>83.925597415220111</v>
      </c>
      <c r="R43" s="53">
        <f t="shared" si="15"/>
        <v>96.812950623945468</v>
      </c>
      <c r="S43" s="53">
        <f t="shared" si="15"/>
        <v>107.73791545168838</v>
      </c>
      <c r="T43" s="53">
        <f t="shared" si="15"/>
        <v>111.38801180738652</v>
      </c>
      <c r="U43" s="53">
        <f t="shared" si="15"/>
        <v>109.54791605858576</v>
      </c>
      <c r="V43" s="53">
        <f t="shared" si="15"/>
        <v>108.33111803257069</v>
      </c>
      <c r="W43" s="53">
        <f>SUM(O43:V43)</f>
        <v>777.27752236304252</v>
      </c>
    </row>
    <row r="44" spans="2:23">
      <c r="O44" s="53"/>
      <c r="P44" s="53"/>
      <c r="Q44" s="53"/>
      <c r="R44" s="53"/>
      <c r="S44" s="53"/>
      <c r="T44" s="53"/>
      <c r="U44" s="53"/>
      <c r="V44" s="53"/>
      <c r="W44" s="53"/>
    </row>
    <row r="45" spans="2:23">
      <c r="C45" s="38" t="s">
        <v>232</v>
      </c>
      <c r="O45" s="53"/>
      <c r="P45" s="53"/>
      <c r="Q45" s="53"/>
      <c r="R45" s="53"/>
      <c r="S45" s="53"/>
      <c r="T45" s="53"/>
      <c r="U45" s="53"/>
      <c r="V45" s="53"/>
      <c r="W45" s="53"/>
    </row>
    <row r="46" spans="2:23">
      <c r="C46" t="s">
        <v>215</v>
      </c>
      <c r="E46" s="223">
        <v>0</v>
      </c>
      <c r="F46" s="223">
        <v>0</v>
      </c>
      <c r="G46" s="223">
        <v>0</v>
      </c>
      <c r="H46" s="223">
        <v>0</v>
      </c>
      <c r="I46" s="223">
        <v>0</v>
      </c>
      <c r="J46" s="223">
        <v>0</v>
      </c>
      <c r="K46" s="223">
        <v>0</v>
      </c>
      <c r="L46" s="223">
        <v>0</v>
      </c>
      <c r="M46" s="53">
        <f>SUM(E46:L46)</f>
        <v>0</v>
      </c>
      <c r="O46" s="53">
        <f t="shared" ref="O46:V48" si="16">E46*O$1</f>
        <v>0</v>
      </c>
      <c r="P46" s="53">
        <f t="shared" si="16"/>
        <v>0</v>
      </c>
      <c r="Q46" s="53">
        <f t="shared" si="16"/>
        <v>0</v>
      </c>
      <c r="R46" s="53">
        <f t="shared" si="16"/>
        <v>0</v>
      </c>
      <c r="S46" s="53">
        <f t="shared" si="16"/>
        <v>0</v>
      </c>
      <c r="T46" s="53">
        <f t="shared" si="16"/>
        <v>0</v>
      </c>
      <c r="U46" s="53">
        <f t="shared" si="16"/>
        <v>0</v>
      </c>
      <c r="V46" s="53">
        <f t="shared" si="16"/>
        <v>0</v>
      </c>
      <c r="W46" s="53">
        <f>SUM(O46:V46)</f>
        <v>0</v>
      </c>
    </row>
    <row r="47" spans="2:23">
      <c r="C47" t="s">
        <v>217</v>
      </c>
      <c r="E47" s="223">
        <v>30.596778486736145</v>
      </c>
      <c r="F47" s="223">
        <v>23.745902746828513</v>
      </c>
      <c r="G47" s="223">
        <v>14.533066995382825</v>
      </c>
      <c r="H47" s="223">
        <v>28.27216890418439</v>
      </c>
      <c r="I47" s="223">
        <v>60.68126151550959</v>
      </c>
      <c r="J47" s="223">
        <v>3.3617866266992991</v>
      </c>
      <c r="K47" s="223">
        <v>-22.618844944848529</v>
      </c>
      <c r="L47" s="223">
        <v>-27.683993902785797</v>
      </c>
      <c r="M47" s="53">
        <f>SUM(E47:L47)</f>
        <v>110.88812642770645</v>
      </c>
      <c r="O47" s="53">
        <f t="shared" si="16"/>
        <v>35.706440494021081</v>
      </c>
      <c r="P47" s="53">
        <f t="shared" si="16"/>
        <v>28.25762426872593</v>
      </c>
      <c r="Q47" s="53">
        <f t="shared" si="16"/>
        <v>17.468746528450154</v>
      </c>
      <c r="R47" s="53">
        <f t="shared" si="16"/>
        <v>34.718223414338432</v>
      </c>
      <c r="S47" s="53">
        <f t="shared" si="16"/>
        <v>77.307927170759214</v>
      </c>
      <c r="T47" s="53">
        <f t="shared" si="16"/>
        <v>4.4241112007362782</v>
      </c>
      <c r="U47" s="53">
        <f t="shared" si="16"/>
        <v>-30.693772590159455</v>
      </c>
      <c r="V47" s="53">
        <f t="shared" si="16"/>
        <v>-38.702223476094545</v>
      </c>
      <c r="W47" s="53">
        <f>SUM(O47:V47)</f>
        <v>128.48707701077711</v>
      </c>
    </row>
    <row r="48" spans="2:23">
      <c r="C48" t="s">
        <v>204</v>
      </c>
      <c r="E48" s="223">
        <v>5.1391669682040586</v>
      </c>
      <c r="F48" s="223">
        <v>3.6238570864328419</v>
      </c>
      <c r="G48" s="223">
        <v>5.1058779803852907</v>
      </c>
      <c r="H48" s="223">
        <v>6.4390097736229128</v>
      </c>
      <c r="I48" s="223">
        <v>8.313750805347766</v>
      </c>
      <c r="J48" s="223">
        <v>2.5631782312925169</v>
      </c>
      <c r="K48" s="223">
        <v>1.4961976478727097</v>
      </c>
      <c r="L48" s="223">
        <v>0.94824897959183674</v>
      </c>
      <c r="M48" s="53">
        <f>SUM(E48:L48)</f>
        <v>33.629287472749937</v>
      </c>
      <c r="O48" s="53">
        <f t="shared" si="16"/>
        <v>5.9974078518941365</v>
      </c>
      <c r="P48" s="53">
        <f t="shared" si="16"/>
        <v>4.3123899328550817</v>
      </c>
      <c r="Q48" s="53">
        <f t="shared" si="16"/>
        <v>6.1372653324231194</v>
      </c>
      <c r="R48" s="53">
        <f t="shared" si="16"/>
        <v>7.9071040020089365</v>
      </c>
      <c r="S48" s="53">
        <f t="shared" si="16"/>
        <v>10.591718526013054</v>
      </c>
      <c r="T48" s="53">
        <f t="shared" si="16"/>
        <v>3.3731425523809522</v>
      </c>
      <c r="U48" s="53">
        <f t="shared" si="16"/>
        <v>2.0303402081632669</v>
      </c>
      <c r="V48" s="53">
        <f t="shared" si="16"/>
        <v>1.3256520734693877</v>
      </c>
      <c r="W48" s="53">
        <f>SUM(O48:V48)</f>
        <v>41.67502047920793</v>
      </c>
    </row>
    <row r="49" spans="1:23">
      <c r="O49" s="53"/>
      <c r="P49" s="53"/>
      <c r="Q49" s="53"/>
      <c r="R49" s="53"/>
      <c r="S49" s="53"/>
      <c r="T49" s="53"/>
      <c r="U49" s="53"/>
      <c r="V49" s="53"/>
      <c r="W49" s="53"/>
    </row>
    <row r="50" spans="1:23" ht="15.6">
      <c r="C50" s="59" t="s">
        <v>345</v>
      </c>
      <c r="D50" s="60"/>
      <c r="E50" s="61">
        <f t="shared" ref="E50:M50" si="17">SUM(E41:E48)</f>
        <v>188.87730198748901</v>
      </c>
      <c r="F50" s="61">
        <f t="shared" si="17"/>
        <v>182.58308495492201</v>
      </c>
      <c r="G50" s="61">
        <f t="shared" si="17"/>
        <v>187.27501684933011</v>
      </c>
      <c r="H50" s="61">
        <f t="shared" si="17"/>
        <v>223.65637244345731</v>
      </c>
      <c r="I50" s="61">
        <f t="shared" si="17"/>
        <v>304.47349688179213</v>
      </c>
      <c r="J50" s="61">
        <f t="shared" si="17"/>
        <v>213.12915207850057</v>
      </c>
      <c r="K50" s="61">
        <f t="shared" si="17"/>
        <v>161.71245638761323</v>
      </c>
      <c r="L50" s="61">
        <f t="shared" si="17"/>
        <v>141.91230100225448</v>
      </c>
      <c r="M50" s="61">
        <f t="shared" si="17"/>
        <v>1603.6191825853587</v>
      </c>
      <c r="O50" s="61">
        <f t="shared" ref="O50:W50" si="18">SUM(O41:O48)</f>
        <v>220.41981141939968</v>
      </c>
      <c r="P50" s="61">
        <f t="shared" si="18"/>
        <v>217.2738710963572</v>
      </c>
      <c r="Q50" s="61">
        <f t="shared" si="18"/>
        <v>225.1045702528948</v>
      </c>
      <c r="R50" s="61">
        <f t="shared" si="18"/>
        <v>274.65002536056562</v>
      </c>
      <c r="S50" s="61">
        <f t="shared" si="18"/>
        <v>387.89923502740317</v>
      </c>
      <c r="T50" s="61">
        <f t="shared" si="18"/>
        <v>280.47796413530671</v>
      </c>
      <c r="U50" s="61">
        <f t="shared" si="18"/>
        <v>219.44380331799113</v>
      </c>
      <c r="V50" s="61">
        <f t="shared" si="18"/>
        <v>198.39339680115179</v>
      </c>
      <c r="W50" s="61">
        <f t="shared" si="18"/>
        <v>2023.6626774110698</v>
      </c>
    </row>
    <row r="51" spans="1:23" ht="15.6">
      <c r="C51" s="59"/>
      <c r="D51" s="60"/>
      <c r="E51" s="61"/>
      <c r="F51" s="61"/>
      <c r="G51" s="61"/>
      <c r="H51" s="61"/>
      <c r="I51" s="61"/>
      <c r="J51" s="61"/>
      <c r="K51" s="61"/>
      <c r="L51" s="61"/>
      <c r="M51" s="61"/>
      <c r="O51" s="61"/>
      <c r="P51" s="61"/>
      <c r="Q51" s="61"/>
      <c r="R51" s="61"/>
      <c r="S51" s="61"/>
      <c r="T51" s="61"/>
      <c r="U51" s="61"/>
      <c r="V51" s="61"/>
      <c r="W51" s="61"/>
    </row>
    <row r="52" spans="1:23" ht="15.6">
      <c r="A52" t="s">
        <v>233</v>
      </c>
      <c r="C52" s="59"/>
      <c r="D52" s="60"/>
      <c r="E52" s="61"/>
      <c r="F52" s="61"/>
      <c r="G52" s="61"/>
      <c r="H52" s="61"/>
      <c r="I52" s="61"/>
      <c r="J52" s="61"/>
      <c r="K52" s="61"/>
      <c r="L52" s="61"/>
      <c r="M52" s="61"/>
      <c r="O52" s="61"/>
      <c r="P52" s="61"/>
      <c r="Q52" s="61"/>
      <c r="R52" s="61"/>
      <c r="S52" s="61"/>
      <c r="T52" s="61"/>
      <c r="U52" s="61"/>
      <c r="V52" s="61"/>
      <c r="W52" s="61"/>
    </row>
    <row r="53" spans="1:23" ht="15.6">
      <c r="C53" s="59" t="s">
        <v>234</v>
      </c>
      <c r="D53" s="60"/>
      <c r="E53" s="61">
        <f>SUM(E16:E18)-(SUM(E16:E18)-SUM(E41:E43))*(1-'NGGT AIP 2018'!$D$14)</f>
        <v>163.52078546393818</v>
      </c>
      <c r="F53" s="61">
        <f>SUM(F16:F18)-(SUM(F16:F18)-SUM(F41:F43))*(1-'NGGT AIP 2018'!$D$14)</f>
        <v>166.68094824446905</v>
      </c>
      <c r="G53" s="61">
        <f>SUM(G16:G18)-(SUM(G16:G18)-SUM(G41:G43))*(1-'NGGT AIP 2018'!$D$14)</f>
        <v>175.90875320080741</v>
      </c>
      <c r="H53" s="61">
        <f>SUM(H16:H18)-(SUM(H16:H18)-SUM(H41:H43))*(1-'NGGT AIP 2018'!$D$14)</f>
        <v>195.74388507251882</v>
      </c>
      <c r="I53" s="61">
        <f>SUM(I16:I18)-(SUM(I16:I18)-SUM(I41:I43))*(1-'NGGT AIP 2018'!$D$14)</f>
        <v>232.42635192438118</v>
      </c>
      <c r="J53" s="61">
        <f>SUM(J16:J18)-(SUM(J16:J18)-SUM(J41:J43))*(1-'NGGT AIP 2018'!$D$14)</f>
        <v>207.20418722050874</v>
      </c>
      <c r="K53" s="61">
        <f>SUM(K16:K18)-(SUM(K16:K18)-SUM(K41:K43))*(1-'NGGT AIP 2018'!$D$14)</f>
        <v>182.83510368458903</v>
      </c>
      <c r="L53" s="61">
        <f>SUM(L16:L18)-(SUM(L16:L18)-SUM(L41:L43))*(1-'NGGT AIP 2018'!$D$14)</f>
        <v>168.64804592544846</v>
      </c>
      <c r="M53" s="61">
        <f>SUM(M16:M18)-(SUM(M16:M18)-SUM(M41:M43))*(1-'NGGT AIP 2018'!$D$14)</f>
        <v>1492.9680607366608</v>
      </c>
      <c r="O53" s="61"/>
      <c r="P53" s="61"/>
      <c r="Q53" s="61"/>
      <c r="R53" s="61"/>
      <c r="S53" s="61"/>
      <c r="T53" s="61"/>
      <c r="U53" s="61"/>
      <c r="V53" s="61"/>
      <c r="W53" s="61"/>
    </row>
    <row r="54" spans="1:23" ht="15.6">
      <c r="C54" s="60" t="s">
        <v>235</v>
      </c>
      <c r="D54" s="60"/>
      <c r="E54" s="471">
        <f>E53*(1-'NGGT AIP 2018'!$D$11)</f>
        <v>58.867482767017741</v>
      </c>
      <c r="F54" s="471">
        <f>F53*(1-'NGGT AIP 2018'!$D$11)</f>
        <v>60.005141368008857</v>
      </c>
      <c r="G54" s="471">
        <f>G53*(1-'NGGT AIP 2018'!$D$11)</f>
        <v>63.327151152290668</v>
      </c>
      <c r="H54" s="471">
        <f>H53*(1-'NGGT AIP 2018'!$D$11)</f>
        <v>70.46779862610677</v>
      </c>
      <c r="I54" s="471">
        <f>I53*(1-'NGGT AIP 2018'!$D$11)</f>
        <v>83.673486692777217</v>
      </c>
      <c r="J54" s="471">
        <f>J53*(1-'NGGT AIP 2018'!$D$11)</f>
        <v>74.593507399383142</v>
      </c>
      <c r="K54" s="471">
        <f>K53*(1-'NGGT AIP 2018'!$D$11)</f>
        <v>65.820637326452044</v>
      </c>
      <c r="L54" s="471">
        <f>L53*(1-'NGGT AIP 2018'!$D$11)</f>
        <v>60.71329653316144</v>
      </c>
      <c r="M54" s="471">
        <f>M53*(1-'NGGT AIP 2018'!$D$11)</f>
        <v>537.46850186519794</v>
      </c>
      <c r="O54" s="61"/>
      <c r="P54" s="61"/>
      <c r="Q54" s="61"/>
      <c r="R54" s="61"/>
      <c r="S54" s="61"/>
      <c r="T54" s="61"/>
      <c r="U54" s="61"/>
      <c r="V54" s="61"/>
      <c r="W54" s="61"/>
    </row>
    <row r="55" spans="1:23" ht="15.6">
      <c r="C55" s="60" t="s">
        <v>165</v>
      </c>
      <c r="D55" s="60"/>
      <c r="E55" s="471">
        <f>E53*('NGGT AIP 2018'!$D$11)</f>
        <v>104.65330269692043</v>
      </c>
      <c r="F55" s="471">
        <f>F53*('NGGT AIP 2018'!$D$11)</f>
        <v>106.6758068764602</v>
      </c>
      <c r="G55" s="471">
        <f>G53*('NGGT AIP 2018'!$D$11)</f>
        <v>112.58160204851674</v>
      </c>
      <c r="H55" s="471">
        <f>H53*('NGGT AIP 2018'!$D$11)</f>
        <v>125.27608644641205</v>
      </c>
      <c r="I55" s="471">
        <f>I53*('NGGT AIP 2018'!$D$11)</f>
        <v>148.75286523160395</v>
      </c>
      <c r="J55" s="471">
        <f>J53*('NGGT AIP 2018'!$D$11)</f>
        <v>132.61067982112559</v>
      </c>
      <c r="K55" s="471">
        <f>K53*('NGGT AIP 2018'!$D$11)</f>
        <v>117.01446635813699</v>
      </c>
      <c r="L55" s="471">
        <f>L53*('NGGT AIP 2018'!$D$11)</f>
        <v>107.93474939228702</v>
      </c>
      <c r="M55" s="471">
        <f>M53*('NGGT AIP 2018'!$D$11)</f>
        <v>955.49955887146291</v>
      </c>
      <c r="O55" s="61"/>
      <c r="P55" s="61"/>
      <c r="Q55" s="61"/>
      <c r="R55" s="61"/>
      <c r="S55" s="61"/>
      <c r="T55" s="61"/>
      <c r="U55" s="61"/>
      <c r="V55" s="61"/>
      <c r="W55" s="61"/>
    </row>
    <row r="56" spans="1:23" ht="15.6">
      <c r="C56" s="59"/>
      <c r="D56" s="60"/>
      <c r="E56" s="61"/>
      <c r="F56" s="61"/>
      <c r="G56" s="61"/>
      <c r="H56" s="61"/>
      <c r="I56" s="61"/>
      <c r="J56" s="61"/>
      <c r="K56" s="61"/>
      <c r="L56" s="61"/>
      <c r="M56" s="61"/>
      <c r="O56" s="61"/>
      <c r="P56" s="61"/>
      <c r="Q56" s="61"/>
      <c r="R56" s="61"/>
      <c r="S56" s="61"/>
      <c r="T56" s="61"/>
      <c r="U56" s="61"/>
      <c r="V56" s="61"/>
      <c r="W56" s="61"/>
    </row>
    <row r="57" spans="1:23" ht="15.6">
      <c r="C57" s="59" t="s">
        <v>236</v>
      </c>
      <c r="D57" s="60"/>
      <c r="E57" s="61">
        <f>SUM(E21:E22)-(SUM(E21:E22)-SUM(E46:E48))*(1-'NGGT AIP 2018'!$D$14)</f>
        <v>33.397829100356802</v>
      </c>
      <c r="F57" s="61">
        <f>SUM(F21:F22)-(SUM(F21:F22)-SUM(F46:F48))*(1-'NGGT AIP 2018'!$D$14)</f>
        <v>24.791443362440582</v>
      </c>
      <c r="G57" s="61">
        <f>SUM(G21:G22)-(SUM(G21:G22)-SUM(G46:G48))*(1-'NGGT AIP 2018'!$D$14)</f>
        <v>10.20669540101553</v>
      </c>
      <c r="H57" s="61">
        <f>SUM(H21:H22)-(SUM(H21:H22)-SUM(H46:H48))*(1-'NGGT AIP 2018'!$D$14)</f>
        <v>13.7409037193983</v>
      </c>
      <c r="I57" s="61">
        <f>SUM(I21:I22)-(SUM(I21:I22)-SUM(I46:I48))*(1-'NGGT AIP 2018'!$D$14)</f>
        <v>42.061736674514727</v>
      </c>
      <c r="J57" s="61">
        <f>SUM(J21:J22)-(SUM(J21:J22)-SUM(J46:J48))*(1-'NGGT AIP 2018'!$D$14)</f>
        <v>5.9249648579918155</v>
      </c>
      <c r="K57" s="61">
        <f>SUM(K21:K22)-(SUM(K21:K22)-SUM(K46:K48))*(1-'NGGT AIP 2018'!$D$14)</f>
        <v>-21.122647296975821</v>
      </c>
      <c r="L57" s="61">
        <f>SUM(L21:L22)-(SUM(L21:L22)-SUM(L46:L48))*(1-'NGGT AIP 2018'!$D$14)</f>
        <v>-26.735744923193959</v>
      </c>
      <c r="M57" s="61">
        <f>SUM(M21:M22)-(SUM(M21:M22)-SUM(M46:M48))*(1-'NGGT AIP 2018'!$D$14)</f>
        <v>82.265180895547999</v>
      </c>
      <c r="O57" s="61"/>
      <c r="P57" s="61"/>
      <c r="Q57" s="61"/>
      <c r="R57" s="61"/>
      <c r="S57" s="61"/>
      <c r="T57" s="61"/>
      <c r="U57" s="61"/>
      <c r="V57" s="61"/>
      <c r="W57" s="61"/>
    </row>
    <row r="58" spans="1:23" ht="15.6">
      <c r="C58" s="60" t="s">
        <v>235</v>
      </c>
      <c r="D58" s="60"/>
      <c r="E58" s="471">
        <f>E57*(1-'NGGT AIP 2018'!$D$12)</f>
        <v>3.3397829100356793</v>
      </c>
      <c r="F58" s="471">
        <f>F57*(1-'NGGT AIP 2018'!$D$12)</f>
        <v>2.4791443362440577</v>
      </c>
      <c r="G58" s="471">
        <f>G57*(1-'NGGT AIP 2018'!$D$12)</f>
        <v>1.0206695401015529</v>
      </c>
      <c r="H58" s="471">
        <f>H57*(1-'NGGT AIP 2018'!$D$12)</f>
        <v>1.3740903719398296</v>
      </c>
      <c r="I58" s="471">
        <f>I57*(1-'NGGT AIP 2018'!$D$12)</f>
        <v>4.2061736674514716</v>
      </c>
      <c r="J58" s="471">
        <f>J57*(1-'NGGT AIP 2018'!$D$12)</f>
        <v>0.59249648579918146</v>
      </c>
      <c r="K58" s="471">
        <f>K57*(1-'NGGT AIP 2018'!$D$12)</f>
        <v>-2.1122647296975816</v>
      </c>
      <c r="L58" s="471">
        <f>L57*(1-'NGGT AIP 2018'!$D$12)</f>
        <v>-2.6735744923193954</v>
      </c>
      <c r="M58" s="471">
        <f>M57*(1-'NGGT AIP 2018'!$D$12)</f>
        <v>8.2265180895547978</v>
      </c>
      <c r="O58" s="61"/>
      <c r="P58" s="61"/>
      <c r="Q58" s="61"/>
      <c r="R58" s="61"/>
      <c r="S58" s="61"/>
      <c r="T58" s="61"/>
      <c r="U58" s="61"/>
      <c r="V58" s="61"/>
      <c r="W58" s="61"/>
    </row>
    <row r="59" spans="1:23" ht="15.6">
      <c r="C59" s="60" t="s">
        <v>165</v>
      </c>
      <c r="D59" s="60"/>
      <c r="E59" s="471">
        <f>E57*'NGGT AIP 2018'!$D$12</f>
        <v>30.058046190321122</v>
      </c>
      <c r="F59" s="471">
        <f>F57*'NGGT AIP 2018'!$D$12</f>
        <v>22.312299026196523</v>
      </c>
      <c r="G59" s="471">
        <f>G57*'NGGT AIP 2018'!$D$12</f>
        <v>9.1860258609139773</v>
      </c>
      <c r="H59" s="471">
        <f>H57*'NGGT AIP 2018'!$D$12</f>
        <v>12.366813347458471</v>
      </c>
      <c r="I59" s="471">
        <f>I57*'NGGT AIP 2018'!$D$12</f>
        <v>37.855563007063253</v>
      </c>
      <c r="J59" s="471">
        <f>J57*'NGGT AIP 2018'!$D$12</f>
        <v>5.3324683721926345</v>
      </c>
      <c r="K59" s="471">
        <f>K57*'NGGT AIP 2018'!$D$12</f>
        <v>-19.010382567278238</v>
      </c>
      <c r="L59" s="471">
        <f>L57*'NGGT AIP 2018'!$D$12</f>
        <v>-24.062170430874563</v>
      </c>
      <c r="M59" s="471">
        <f>M57*'NGGT AIP 2018'!$D$12</f>
        <v>74.038662805993198</v>
      </c>
      <c r="O59" s="61"/>
      <c r="P59" s="61"/>
      <c r="Q59" s="61"/>
      <c r="R59" s="61"/>
      <c r="S59" s="61"/>
      <c r="T59" s="61"/>
      <c r="U59" s="61"/>
      <c r="V59" s="61"/>
      <c r="W59" s="61"/>
    </row>
    <row r="60" spans="1:23" ht="15.6">
      <c r="C60" s="59"/>
      <c r="D60" s="60"/>
      <c r="E60" s="61"/>
      <c r="F60" s="61"/>
      <c r="G60" s="61"/>
      <c r="H60" s="61"/>
      <c r="I60" s="61"/>
      <c r="J60" s="61"/>
      <c r="K60" s="61"/>
      <c r="L60" s="61"/>
      <c r="M60" s="61"/>
      <c r="O60" s="61"/>
      <c r="P60" s="61"/>
      <c r="Q60" s="61"/>
      <c r="R60" s="61"/>
      <c r="S60" s="61"/>
      <c r="T60" s="61"/>
      <c r="U60" s="61"/>
      <c r="V60" s="61"/>
      <c r="W60" s="61"/>
    </row>
    <row r="61" spans="1:23" ht="15.6">
      <c r="C61" s="59"/>
      <c r="D61" s="60"/>
      <c r="E61" s="61"/>
      <c r="F61" s="61"/>
      <c r="G61" s="61"/>
      <c r="H61" s="61"/>
      <c r="I61" s="61"/>
      <c r="J61" s="61"/>
      <c r="K61" s="61"/>
      <c r="L61" s="61"/>
      <c r="M61" s="61"/>
      <c r="O61" s="61"/>
      <c r="P61" s="61"/>
      <c r="Q61" s="61"/>
      <c r="R61" s="61"/>
      <c r="S61" s="61"/>
      <c r="T61" s="61"/>
      <c r="U61" s="61"/>
      <c r="V61" s="61"/>
      <c r="W61" s="61"/>
    </row>
    <row r="62" spans="1:23" ht="15.6">
      <c r="C62" s="59"/>
      <c r="D62" s="60"/>
      <c r="E62" s="61"/>
      <c r="F62" s="61"/>
      <c r="G62" s="61"/>
      <c r="H62" s="61"/>
      <c r="I62" s="61"/>
      <c r="J62" s="61"/>
      <c r="K62" s="61"/>
      <c r="L62" s="61"/>
      <c r="M62" s="61"/>
      <c r="O62" s="61"/>
      <c r="P62" s="61"/>
      <c r="Q62" s="61"/>
      <c r="R62" s="61"/>
      <c r="S62" s="61"/>
      <c r="T62" s="61"/>
      <c r="U62" s="61"/>
      <c r="V62" s="61"/>
      <c r="W62" s="61"/>
    </row>
    <row r="63" spans="1:23" ht="15.6">
      <c r="C63" s="59"/>
      <c r="D63" s="60"/>
      <c r="E63" s="61"/>
      <c r="F63" s="61"/>
      <c r="G63" s="61"/>
      <c r="H63" s="61"/>
      <c r="I63" s="61"/>
      <c r="J63" s="61"/>
      <c r="K63" s="61"/>
      <c r="L63" s="61"/>
      <c r="M63" s="61"/>
      <c r="O63" s="61"/>
      <c r="P63" s="61"/>
      <c r="Q63" s="61"/>
      <c r="R63" s="61"/>
      <c r="S63" s="61"/>
      <c r="T63" s="61"/>
      <c r="U63" s="61"/>
      <c r="V63" s="61"/>
      <c r="W63" s="61"/>
    </row>
    <row r="64" spans="1:23" ht="15.6">
      <c r="C64" s="59"/>
      <c r="D64" s="60"/>
      <c r="E64" s="61"/>
      <c r="F64" s="61"/>
      <c r="G64" s="61"/>
      <c r="H64" s="61"/>
      <c r="I64" s="61"/>
      <c r="J64" s="61"/>
      <c r="K64" s="61"/>
      <c r="L64" s="61"/>
      <c r="M64" s="61"/>
      <c r="O64" s="61"/>
      <c r="P64" s="61"/>
      <c r="Q64" s="61"/>
      <c r="R64" s="61"/>
      <c r="S64" s="61"/>
      <c r="T64" s="61"/>
      <c r="U64" s="61"/>
      <c r="V64" s="61"/>
      <c r="W64" s="61"/>
    </row>
    <row r="65" spans="1:23" ht="15.6">
      <c r="C65" s="59"/>
      <c r="D65" s="60"/>
      <c r="E65" s="61"/>
      <c r="F65" s="61"/>
      <c r="G65" s="61"/>
      <c r="H65" s="61"/>
      <c r="I65" s="61"/>
      <c r="J65" s="61"/>
      <c r="K65" s="61"/>
      <c r="L65" s="61"/>
      <c r="M65" s="61"/>
      <c r="O65" s="61"/>
      <c r="P65" s="61"/>
      <c r="Q65" s="61"/>
      <c r="R65" s="61"/>
      <c r="S65" s="61"/>
      <c r="T65" s="61"/>
      <c r="U65" s="61"/>
      <c r="V65" s="61"/>
      <c r="W65" s="61"/>
    </row>
    <row r="66" spans="1:23" ht="15.6">
      <c r="C66" s="59"/>
      <c r="D66" s="60"/>
      <c r="E66" s="61"/>
      <c r="F66" s="61"/>
      <c r="G66" s="61"/>
      <c r="H66" s="61"/>
      <c r="I66" s="61"/>
      <c r="J66" s="61"/>
      <c r="K66" s="61"/>
      <c r="L66" s="61"/>
      <c r="M66" s="61"/>
      <c r="O66" s="61"/>
      <c r="P66" s="61"/>
      <c r="Q66" s="61"/>
      <c r="R66" s="61"/>
      <c r="S66" s="61"/>
      <c r="T66" s="61"/>
      <c r="U66" s="61"/>
      <c r="V66" s="61"/>
      <c r="W66" s="61"/>
    </row>
    <row r="67" spans="1:23" ht="15.6">
      <c r="C67" s="59"/>
      <c r="D67" s="60"/>
      <c r="E67" s="61"/>
      <c r="F67" s="61"/>
      <c r="G67" s="61"/>
      <c r="H67" s="61"/>
      <c r="I67" s="61"/>
      <c r="J67" s="61"/>
      <c r="K67" s="61"/>
      <c r="L67" s="61"/>
      <c r="M67" s="61"/>
      <c r="O67" s="61"/>
      <c r="P67" s="61"/>
      <c r="Q67" s="61"/>
      <c r="R67" s="61"/>
      <c r="S67" s="61"/>
      <c r="T67" s="61"/>
      <c r="U67" s="61"/>
      <c r="V67" s="61"/>
      <c r="W67" s="61"/>
    </row>
    <row r="68" spans="1:23">
      <c r="O68" s="53"/>
      <c r="P68" s="53"/>
      <c r="Q68" s="53"/>
      <c r="R68" s="53"/>
      <c r="S68" s="53"/>
      <c r="T68" s="53"/>
      <c r="U68" s="53"/>
      <c r="V68" s="53"/>
      <c r="W68" s="53"/>
    </row>
    <row r="69" spans="1:23">
      <c r="E69" s="53"/>
      <c r="F69" s="53"/>
      <c r="G69" s="53"/>
      <c r="H69" s="53"/>
      <c r="I69" s="53"/>
      <c r="J69" s="53"/>
      <c r="K69" s="53"/>
      <c r="L69" s="53"/>
      <c r="M69" s="53"/>
    </row>
    <row r="70" spans="1:23" s="195" customFormat="1">
      <c r="E70" s="196"/>
      <c r="F70" s="196"/>
      <c r="G70" s="196"/>
      <c r="H70" s="196"/>
      <c r="I70" s="196"/>
      <c r="J70" s="196"/>
      <c r="K70" s="196"/>
      <c r="L70" s="196"/>
      <c r="M70" s="196"/>
    </row>
    <row r="71" spans="1:23" ht="13.8" thickBot="1"/>
    <row r="72" spans="1:23" ht="16.8">
      <c r="A72" s="68"/>
      <c r="B72" s="440"/>
      <c r="C72" s="69" t="s">
        <v>237</v>
      </c>
      <c r="D72" s="445"/>
      <c r="E72" s="70">
        <v>41729</v>
      </c>
      <c r="F72" s="71">
        <v>42094</v>
      </c>
      <c r="G72" s="71">
        <v>42460</v>
      </c>
      <c r="H72" s="71">
        <v>42825</v>
      </c>
      <c r="I72" s="71">
        <v>43190</v>
      </c>
      <c r="J72" s="71">
        <v>43555</v>
      </c>
      <c r="K72" s="71">
        <v>43921</v>
      </c>
      <c r="L72" s="72">
        <v>44286</v>
      </c>
      <c r="M72" s="73" t="s">
        <v>238</v>
      </c>
    </row>
    <row r="73" spans="1:23" ht="16.8">
      <c r="A73" s="74"/>
      <c r="B73" s="441"/>
      <c r="C73" s="75" t="s">
        <v>239</v>
      </c>
      <c r="E73" s="76" t="s">
        <v>240</v>
      </c>
      <c r="F73" s="77" t="s">
        <v>240</v>
      </c>
      <c r="G73" s="77" t="s">
        <v>240</v>
      </c>
      <c r="H73" s="77" t="s">
        <v>240</v>
      </c>
      <c r="I73" s="77" t="s">
        <v>240</v>
      </c>
      <c r="J73" s="77" t="s">
        <v>240</v>
      </c>
      <c r="K73" s="77" t="s">
        <v>240</v>
      </c>
      <c r="L73" s="78" t="s">
        <v>240</v>
      </c>
      <c r="M73" s="79" t="s">
        <v>240</v>
      </c>
    </row>
    <row r="74" spans="1:23" ht="16.8">
      <c r="A74" s="80"/>
      <c r="B74" s="442"/>
      <c r="C74" s="81" t="s">
        <v>207</v>
      </c>
      <c r="E74" s="82"/>
      <c r="F74" s="83"/>
      <c r="G74" s="83"/>
      <c r="H74" s="83"/>
      <c r="I74" s="83"/>
      <c r="J74" s="83"/>
      <c r="K74" s="83"/>
      <c r="L74" s="84"/>
      <c r="M74" s="85"/>
    </row>
    <row r="75" spans="1:23" ht="16.8">
      <c r="A75" s="86">
        <v>1</v>
      </c>
      <c r="B75" s="443"/>
      <c r="C75" s="75" t="s">
        <v>241</v>
      </c>
      <c r="E75" s="87">
        <v>135.40290514511022</v>
      </c>
      <c r="F75" s="88">
        <v>129.69626785945837</v>
      </c>
      <c r="G75" s="88">
        <v>122.44539677624959</v>
      </c>
      <c r="H75" s="88">
        <v>138.30728077748014</v>
      </c>
      <c r="I75" s="88">
        <v>187.32372483409489</v>
      </c>
      <c r="J75" s="88">
        <v>138.77196494220027</v>
      </c>
      <c r="K75" s="88">
        <v>98.735424205597113</v>
      </c>
      <c r="L75" s="89">
        <v>84.547171145114234</v>
      </c>
      <c r="M75" s="90">
        <v>1035.230135685305</v>
      </c>
    </row>
    <row r="76" spans="1:23" ht="16.8">
      <c r="A76" s="86">
        <v>2</v>
      </c>
      <c r="B76" s="443"/>
      <c r="C76" s="75" t="s">
        <v>242</v>
      </c>
      <c r="E76" s="87">
        <v>61.581501976631344</v>
      </c>
      <c r="F76" s="88">
        <v>61.848854438240252</v>
      </c>
      <c r="G76" s="88">
        <v>63.66056444900282</v>
      </c>
      <c r="H76" s="88">
        <v>71.061558693651662</v>
      </c>
      <c r="I76" s="88">
        <v>86.919028606122794</v>
      </c>
      <c r="J76" s="88">
        <v>74.357187136300297</v>
      </c>
      <c r="K76" s="88">
        <v>62.977032182016117</v>
      </c>
      <c r="L76" s="89">
        <v>57.365129857140253</v>
      </c>
      <c r="M76" s="90">
        <v>539.77085733910553</v>
      </c>
    </row>
    <row r="77" spans="1:23" ht="16.8">
      <c r="A77" s="86">
        <v>3</v>
      </c>
      <c r="B77" s="443"/>
      <c r="C77" s="75" t="s">
        <v>243</v>
      </c>
      <c r="E77" s="87">
        <v>196.98440712174158</v>
      </c>
      <c r="F77" s="88">
        <v>191.54512229769864</v>
      </c>
      <c r="G77" s="88">
        <v>186.10596122525243</v>
      </c>
      <c r="H77" s="88">
        <v>209.36883947113182</v>
      </c>
      <c r="I77" s="88">
        <v>274.24275344021765</v>
      </c>
      <c r="J77" s="88">
        <v>213.12915207850057</v>
      </c>
      <c r="K77" s="88">
        <v>161.71245638761323</v>
      </c>
      <c r="L77" s="89">
        <v>141.91230100225448</v>
      </c>
      <c r="M77" s="90">
        <v>1575.0009930244105</v>
      </c>
      <c r="Q77" s="118"/>
    </row>
    <row r="78" spans="1:23" ht="16.8">
      <c r="A78" s="80"/>
      <c r="B78" s="442"/>
      <c r="C78" s="81" t="s">
        <v>244</v>
      </c>
      <c r="E78" s="82"/>
      <c r="F78" s="83"/>
      <c r="G78" s="83"/>
      <c r="H78" s="83"/>
      <c r="I78" s="83"/>
      <c r="J78" s="83"/>
      <c r="K78" s="83"/>
      <c r="L78" s="84"/>
      <c r="M78" s="85"/>
    </row>
    <row r="79" spans="1:23" ht="16.8">
      <c r="A79" s="86">
        <v>4</v>
      </c>
      <c r="B79" s="443"/>
      <c r="C79" s="75" t="s">
        <v>245</v>
      </c>
      <c r="E79" s="87">
        <v>4014.3985484751774</v>
      </c>
      <c r="F79" s="88">
        <v>4276.4049861842705</v>
      </c>
      <c r="G79" s="88">
        <v>4266.9440584723898</v>
      </c>
      <c r="H79" s="88">
        <v>4249.3281809886448</v>
      </c>
      <c r="I79" s="88">
        <v>4258.8864410723863</v>
      </c>
      <c r="J79" s="88">
        <v>4554.6845752923846</v>
      </c>
      <c r="K79" s="88">
        <v>4552.8262962167646</v>
      </c>
      <c r="L79" s="89">
        <v>4513.6546170875736</v>
      </c>
      <c r="M79" s="90">
        <v>0</v>
      </c>
    </row>
    <row r="80" spans="1:23" ht="16.8">
      <c r="A80" s="86">
        <v>5</v>
      </c>
      <c r="B80" s="443"/>
      <c r="C80" s="75" t="s">
        <v>246</v>
      </c>
      <c r="E80" s="87">
        <v>238.90848777994489</v>
      </c>
      <c r="F80" s="88">
        <v>1.5889649604528906</v>
      </c>
      <c r="G80" s="88">
        <v>1.9371656435515117</v>
      </c>
      <c r="H80" s="88">
        <v>14.654700839030934</v>
      </c>
      <c r="I80" s="88">
        <v>260.23741664922477</v>
      </c>
      <c r="J80" s="88">
        <v>13.932209297896886</v>
      </c>
      <c r="K80" s="88">
        <v>18.476860279771643</v>
      </c>
      <c r="L80" s="89">
        <v>0.81062265305823133</v>
      </c>
      <c r="M80" s="90">
        <v>550.54642810293183</v>
      </c>
    </row>
    <row r="81" spans="1:13" ht="16.8">
      <c r="A81" s="86">
        <v>6</v>
      </c>
      <c r="B81" s="443"/>
      <c r="C81" s="75" t="s">
        <v>247</v>
      </c>
      <c r="E81" s="87">
        <v>4253.3070362551225</v>
      </c>
      <c r="F81" s="88">
        <v>4277.9939511447237</v>
      </c>
      <c r="G81" s="88">
        <v>4268.8812241159412</v>
      </c>
      <c r="H81" s="88">
        <v>4263.9828818276756</v>
      </c>
      <c r="I81" s="88">
        <v>4519.1238577216109</v>
      </c>
      <c r="J81" s="88">
        <v>4568.6167845902819</v>
      </c>
      <c r="K81" s="88">
        <v>4571.3031564965358</v>
      </c>
      <c r="L81" s="89">
        <v>4514.4652397406317</v>
      </c>
      <c r="M81" s="90">
        <v>0</v>
      </c>
    </row>
    <row r="82" spans="1:13" ht="16.8">
      <c r="A82" s="86">
        <v>7</v>
      </c>
      <c r="B82" s="443"/>
      <c r="C82" s="75" t="s">
        <v>248</v>
      </c>
      <c r="E82" s="87">
        <v>161.87652174937244</v>
      </c>
      <c r="F82" s="88">
        <v>129.68850987935372</v>
      </c>
      <c r="G82" s="88">
        <v>122.43763879614492</v>
      </c>
      <c r="H82" s="88">
        <v>138.29952279737549</v>
      </c>
      <c r="I82" s="88">
        <v>187.31596685399023</v>
      </c>
      <c r="J82" s="88">
        <v>138.76420696209561</v>
      </c>
      <c r="K82" s="88">
        <v>98.727666225492442</v>
      </c>
      <c r="L82" s="89">
        <v>84.539413165009563</v>
      </c>
      <c r="M82" s="90">
        <v>1061.6494464288344</v>
      </c>
    </row>
    <row r="83" spans="1:13" ht="16.8">
      <c r="A83" s="86">
        <v>8</v>
      </c>
      <c r="B83" s="443"/>
      <c r="C83" s="75" t="s">
        <v>249</v>
      </c>
      <c r="E83" s="87">
        <v>-138.77857182022461</v>
      </c>
      <c r="F83" s="88">
        <v>-140.7384025516873</v>
      </c>
      <c r="G83" s="88">
        <v>-141.99068192344066</v>
      </c>
      <c r="H83" s="88">
        <v>-143.39596355266457</v>
      </c>
      <c r="I83" s="88">
        <v>-151.75524928321607</v>
      </c>
      <c r="J83" s="88">
        <v>-154.55469533561347</v>
      </c>
      <c r="K83" s="88">
        <v>-156.37620563445489</v>
      </c>
      <c r="L83" s="89">
        <v>-156.91543196966703</v>
      </c>
      <c r="M83" s="90">
        <v>-1184.5052020709684</v>
      </c>
    </row>
    <row r="84" spans="1:13" ht="16.8">
      <c r="A84" s="86">
        <v>9</v>
      </c>
      <c r="B84" s="443"/>
      <c r="C84" s="75" t="s">
        <v>250</v>
      </c>
      <c r="E84" s="87">
        <v>4276.4049861842705</v>
      </c>
      <c r="F84" s="88">
        <v>4266.9440584723898</v>
      </c>
      <c r="G84" s="88">
        <v>4249.3281809886448</v>
      </c>
      <c r="H84" s="88">
        <v>4258.8864410723863</v>
      </c>
      <c r="I84" s="88">
        <v>4554.6845752923846</v>
      </c>
      <c r="J84" s="88">
        <v>4552.8262962167646</v>
      </c>
      <c r="K84" s="88">
        <v>4513.6546170875736</v>
      </c>
      <c r="L84" s="89">
        <v>4442.0892209359736</v>
      </c>
      <c r="M84" s="90">
        <v>0</v>
      </c>
    </row>
    <row r="85" spans="1:13" ht="16.8">
      <c r="A85" s="80"/>
      <c r="B85" s="442"/>
      <c r="C85" s="81" t="s">
        <v>251</v>
      </c>
      <c r="E85" s="91"/>
      <c r="F85" s="92"/>
      <c r="G85" s="92"/>
      <c r="H85" s="92"/>
      <c r="I85" s="92"/>
      <c r="J85" s="92"/>
      <c r="K85" s="92"/>
      <c r="L85" s="93"/>
      <c r="M85" s="94"/>
    </row>
    <row r="86" spans="1:13" ht="16.8">
      <c r="A86" s="86">
        <v>10</v>
      </c>
      <c r="B86" s="443"/>
      <c r="C86" s="75" t="s">
        <v>252</v>
      </c>
      <c r="E86" s="87">
        <v>66.598521331123962</v>
      </c>
      <c r="F86" s="88">
        <v>67.472820316867796</v>
      </c>
      <c r="G86" s="88">
        <v>69.358391105946623</v>
      </c>
      <c r="H86" s="88">
        <v>93.907421891247139</v>
      </c>
      <c r="I86" s="88">
        <v>109.4614779355966</v>
      </c>
      <c r="J86" s="88">
        <v>74.998413516027682</v>
      </c>
      <c r="K86" s="88">
        <v>65.089296911713689</v>
      </c>
      <c r="L86" s="89">
        <v>60.03870434945965</v>
      </c>
      <c r="M86" s="90">
        <v>606.92504735798309</v>
      </c>
    </row>
    <row r="87" spans="1:13" ht="16.8">
      <c r="A87" s="86">
        <v>11</v>
      </c>
      <c r="B87" s="443"/>
      <c r="C87" s="75" t="s">
        <v>253</v>
      </c>
      <c r="E87" s="87">
        <v>110.11544616012048</v>
      </c>
      <c r="F87" s="88">
        <v>110.29121834911521</v>
      </c>
      <c r="G87" s="88">
        <v>110.32860169190292</v>
      </c>
      <c r="H87" s="88">
        <v>110.3596633646699</v>
      </c>
      <c r="I87" s="88">
        <v>110.27343835902431</v>
      </c>
      <c r="J87" s="88">
        <v>110.27662588032852</v>
      </c>
      <c r="K87" s="88">
        <v>110.30420904525512</v>
      </c>
      <c r="L87" s="89">
        <v>110.31067350058066</v>
      </c>
      <c r="M87" s="90">
        <v>882.25987635099727</v>
      </c>
    </row>
    <row r="88" spans="1:13" ht="16.8">
      <c r="A88" s="86">
        <v>12</v>
      </c>
      <c r="B88" s="443"/>
      <c r="C88" s="75" t="s">
        <v>254</v>
      </c>
      <c r="E88" s="87">
        <v>138.77857182022461</v>
      </c>
      <c r="F88" s="88">
        <v>139.81821804192137</v>
      </c>
      <c r="G88" s="88">
        <v>140.90074865750091</v>
      </c>
      <c r="H88" s="88">
        <v>142.37321147398359</v>
      </c>
      <c r="I88" s="88">
        <v>156.31873392963638</v>
      </c>
      <c r="J88" s="88">
        <v>160.58725672131885</v>
      </c>
      <c r="K88" s="88">
        <v>162.39103157252816</v>
      </c>
      <c r="L88" s="89">
        <v>163.35271085367981</v>
      </c>
      <c r="M88" s="90">
        <v>1204.5204830707937</v>
      </c>
    </row>
    <row r="89" spans="1:13" ht="16.8">
      <c r="A89" s="86">
        <v>13</v>
      </c>
      <c r="B89" s="443"/>
      <c r="C89" s="75" t="s">
        <v>255</v>
      </c>
      <c r="E89" s="87">
        <v>181.79850693518748</v>
      </c>
      <c r="F89" s="88">
        <v>181.09363656977166</v>
      </c>
      <c r="G89" s="88">
        <v>180.46433564893792</v>
      </c>
      <c r="H89" s="88">
        <v>181.33056661729273</v>
      </c>
      <c r="I89" s="88">
        <v>203.18668474337215</v>
      </c>
      <c r="J89" s="88">
        <v>206.54672414051672</v>
      </c>
      <c r="K89" s="88">
        <v>205.9557242601679</v>
      </c>
      <c r="L89" s="89">
        <v>203.86618301493181</v>
      </c>
      <c r="M89" s="90">
        <v>1544.2423619301783</v>
      </c>
    </row>
    <row r="90" spans="1:13" ht="16.8">
      <c r="A90" s="86">
        <v>14</v>
      </c>
      <c r="B90" s="443"/>
      <c r="C90" s="75" t="s">
        <v>256</v>
      </c>
      <c r="E90" s="87">
        <v>0</v>
      </c>
      <c r="F90" s="88">
        <v>0</v>
      </c>
      <c r="G90" s="88">
        <v>0</v>
      </c>
      <c r="H90" s="88">
        <v>0</v>
      </c>
      <c r="I90" s="88">
        <v>0</v>
      </c>
      <c r="J90" s="88">
        <v>0</v>
      </c>
      <c r="K90" s="88">
        <v>0</v>
      </c>
      <c r="L90" s="89">
        <v>0</v>
      </c>
      <c r="M90" s="90">
        <v>0</v>
      </c>
    </row>
    <row r="91" spans="1:13" ht="16.8">
      <c r="A91" s="86">
        <v>15</v>
      </c>
      <c r="B91" s="443"/>
      <c r="C91" s="75" t="s">
        <v>257</v>
      </c>
      <c r="E91" s="87">
        <v>-1.1295718210052885</v>
      </c>
      <c r="F91" s="88">
        <v>-1.1444007312827333</v>
      </c>
      <c r="G91" s="88">
        <v>-1.1763817360750841</v>
      </c>
      <c r="H91" s="88">
        <v>-1.5927557463957547</v>
      </c>
      <c r="I91" s="88">
        <v>-1.8565667598967899</v>
      </c>
      <c r="J91" s="88">
        <v>-1.2720416735170972</v>
      </c>
      <c r="K91" s="88">
        <v>-1.1039739947823479</v>
      </c>
      <c r="L91" s="89">
        <v>-1.018311326547777</v>
      </c>
      <c r="M91" s="90">
        <v>-10.294003789502874</v>
      </c>
    </row>
    <row r="92" spans="1:13" ht="16.8">
      <c r="A92" s="86">
        <v>16</v>
      </c>
      <c r="B92" s="443"/>
      <c r="C92" s="75" t="s">
        <v>258</v>
      </c>
      <c r="E92" s="87">
        <v>29.880398309084342</v>
      </c>
      <c r="F92" s="88">
        <v>30.94598462072333</v>
      </c>
      <c r="G92" s="88">
        <v>31.653815333496517</v>
      </c>
      <c r="H92" s="88">
        <v>32.605738639953522</v>
      </c>
      <c r="I92" s="88">
        <v>52.203683591068042</v>
      </c>
      <c r="J92" s="88">
        <v>53.34966363379381</v>
      </c>
      <c r="K92" s="88">
        <v>54.645780303388818</v>
      </c>
      <c r="L92" s="89">
        <v>55.794227077278627</v>
      </c>
      <c r="M92" s="90">
        <v>341.07929150878692</v>
      </c>
    </row>
    <row r="93" spans="1:13" ht="16.8">
      <c r="A93" s="86">
        <v>17</v>
      </c>
      <c r="B93" s="443"/>
      <c r="C93" s="75" t="s">
        <v>259</v>
      </c>
      <c r="E93" s="87">
        <v>12.644268657591024</v>
      </c>
      <c r="F93" s="88">
        <v>14.449255534190641</v>
      </c>
      <c r="G93" s="88">
        <v>16.435572510903615</v>
      </c>
      <c r="H93" s="88">
        <v>21.586082980434373</v>
      </c>
      <c r="I93" s="88">
        <v>29.031743034658568</v>
      </c>
      <c r="J93" s="88">
        <v>22.383317417943779</v>
      </c>
      <c r="K93" s="88">
        <v>24.442401135955986</v>
      </c>
      <c r="L93" s="89">
        <v>27.993942375584766</v>
      </c>
      <c r="M93" s="90">
        <v>168.96658364726272</v>
      </c>
    </row>
    <row r="94" spans="1:13" ht="16.8">
      <c r="A94" s="80"/>
      <c r="B94" s="442"/>
      <c r="C94" s="81" t="s">
        <v>260</v>
      </c>
      <c r="E94" s="91"/>
      <c r="F94" s="92"/>
      <c r="G94" s="92"/>
      <c r="H94" s="92"/>
      <c r="I94" s="92"/>
      <c r="J94" s="92"/>
      <c r="K94" s="92"/>
      <c r="L94" s="93"/>
      <c r="M94" s="94"/>
    </row>
    <row r="95" spans="1:13" ht="16.8">
      <c r="A95" s="86">
        <v>18</v>
      </c>
      <c r="B95" s="443"/>
      <c r="C95" s="75" t="s">
        <v>252</v>
      </c>
      <c r="E95" s="87">
        <v>61.581501976631344</v>
      </c>
      <c r="F95" s="88">
        <v>61.848854438240252</v>
      </c>
      <c r="G95" s="88">
        <v>63.66056444900282</v>
      </c>
      <c r="H95" s="88">
        <v>71.061558693651662</v>
      </c>
      <c r="I95" s="88">
        <v>86.919028606122794</v>
      </c>
      <c r="J95" s="88">
        <v>74.357187136300297</v>
      </c>
      <c r="K95" s="88">
        <v>62.977032182016117</v>
      </c>
      <c r="L95" s="89">
        <v>57.365129857140253</v>
      </c>
      <c r="M95" s="90">
        <v>539.77085733910553</v>
      </c>
    </row>
    <row r="96" spans="1:13" ht="16.8">
      <c r="A96" s="86">
        <v>19</v>
      </c>
      <c r="B96" s="443"/>
      <c r="C96" s="75" t="s">
        <v>253</v>
      </c>
      <c r="E96" s="87">
        <v>110.11544616012048</v>
      </c>
      <c r="F96" s="88">
        <v>110.29121834911521</v>
      </c>
      <c r="G96" s="88">
        <v>110.32860169190292</v>
      </c>
      <c r="H96" s="88">
        <v>110.3596633646699</v>
      </c>
      <c r="I96" s="88">
        <v>110.27343835902431</v>
      </c>
      <c r="J96" s="88">
        <v>110.27662588032852</v>
      </c>
      <c r="K96" s="88">
        <v>110.30420904525512</v>
      </c>
      <c r="L96" s="89">
        <v>110.31067350058066</v>
      </c>
      <c r="M96" s="90">
        <v>882.25987635099727</v>
      </c>
    </row>
    <row r="97" spans="1:13" ht="16.8">
      <c r="A97" s="86">
        <v>20</v>
      </c>
      <c r="B97" s="443"/>
      <c r="C97" s="75" t="s">
        <v>254</v>
      </c>
      <c r="E97" s="87">
        <v>138.77857182022461</v>
      </c>
      <c r="F97" s="88">
        <v>140.7384025516873</v>
      </c>
      <c r="G97" s="88">
        <v>141.99068192344066</v>
      </c>
      <c r="H97" s="88">
        <v>143.39596355266457</v>
      </c>
      <c r="I97" s="88">
        <v>151.75524928321607</v>
      </c>
      <c r="J97" s="88">
        <v>154.55469533561347</v>
      </c>
      <c r="K97" s="88">
        <v>156.37620563445489</v>
      </c>
      <c r="L97" s="89">
        <v>156.91543196966703</v>
      </c>
      <c r="M97" s="90">
        <v>1184.5052020709684</v>
      </c>
    </row>
    <row r="98" spans="1:13" ht="16.8">
      <c r="A98" s="86">
        <v>21</v>
      </c>
      <c r="B98" s="443"/>
      <c r="C98" s="75" t="s">
        <v>255</v>
      </c>
      <c r="E98" s="87">
        <v>182.66634561954751</v>
      </c>
      <c r="F98" s="88">
        <v>177.88344939231771</v>
      </c>
      <c r="G98" s="88">
        <v>172.98361868389711</v>
      </c>
      <c r="H98" s="88">
        <v>168.71884687351289</v>
      </c>
      <c r="I98" s="88">
        <v>175.24359076952567</v>
      </c>
      <c r="J98" s="88">
        <v>167.66660408266785</v>
      </c>
      <c r="K98" s="88">
        <v>157.962509793365</v>
      </c>
      <c r="L98" s="89">
        <v>155.73462442319681</v>
      </c>
      <c r="M98" s="90">
        <v>1358.8595896380302</v>
      </c>
    </row>
    <row r="99" spans="1:13" ht="16.8">
      <c r="A99" s="86">
        <v>22</v>
      </c>
      <c r="B99" s="443"/>
      <c r="C99" s="75" t="s">
        <v>256</v>
      </c>
      <c r="E99" s="87">
        <v>0</v>
      </c>
      <c r="F99" s="88">
        <v>0</v>
      </c>
      <c r="G99" s="88">
        <v>0</v>
      </c>
      <c r="H99" s="88">
        <v>0</v>
      </c>
      <c r="I99" s="88">
        <v>0</v>
      </c>
      <c r="J99" s="88">
        <v>0</v>
      </c>
      <c r="K99" s="88">
        <v>0</v>
      </c>
      <c r="L99" s="89">
        <v>0</v>
      </c>
      <c r="M99" s="90">
        <v>0</v>
      </c>
    </row>
    <row r="100" spans="1:13" ht="16.8">
      <c r="A100" s="86">
        <v>23</v>
      </c>
      <c r="B100" s="443"/>
      <c r="C100" s="75" t="s">
        <v>257</v>
      </c>
      <c r="E100" s="87">
        <v>-1.1295718210052881</v>
      </c>
      <c r="F100" s="88">
        <v>-1.1444007312827327</v>
      </c>
      <c r="G100" s="88">
        <v>-1.1763817360750837</v>
      </c>
      <c r="H100" s="88">
        <v>-1.5927557463957538</v>
      </c>
      <c r="I100" s="88">
        <v>-1.8565667598967892</v>
      </c>
      <c r="J100" s="88">
        <v>-1.2720416735170967</v>
      </c>
      <c r="K100" s="88">
        <v>-1.1039739947823475</v>
      </c>
      <c r="L100" s="89">
        <v>-1.0183113265477766</v>
      </c>
      <c r="M100" s="90">
        <v>-10.294003789502867</v>
      </c>
    </row>
    <row r="101" spans="1:13" ht="16.8">
      <c r="A101" s="86">
        <v>24</v>
      </c>
      <c r="B101" s="443"/>
      <c r="C101" s="75" t="s">
        <v>258</v>
      </c>
      <c r="E101" s="87">
        <v>30.704953974592989</v>
      </c>
      <c r="F101" s="88">
        <v>31.777995721683602</v>
      </c>
      <c r="G101" s="88">
        <v>55.434680839706168</v>
      </c>
      <c r="H101" s="88">
        <v>56.338289393358622</v>
      </c>
      <c r="I101" s="88">
        <v>75.85655785601169</v>
      </c>
      <c r="J101" s="88">
        <v>52.043984174041327</v>
      </c>
      <c r="K101" s="88">
        <v>53.030428056392132</v>
      </c>
      <c r="L101" s="89">
        <v>54.051767391081093</v>
      </c>
      <c r="M101" s="90">
        <v>409.23865740686762</v>
      </c>
    </row>
    <row r="102" spans="1:13" ht="16.8">
      <c r="A102" s="86">
        <v>25</v>
      </c>
      <c r="B102" s="443"/>
      <c r="C102" s="75" t="s">
        <v>259</v>
      </c>
      <c r="E102" s="87">
        <v>8.7831945558188433</v>
      </c>
      <c r="F102" s="88">
        <v>10.91043461366379</v>
      </c>
      <c r="G102" s="88">
        <v>13.964540721505402</v>
      </c>
      <c r="H102" s="88">
        <v>15.07612609600179</v>
      </c>
      <c r="I102" s="88">
        <v>22.924107928921607</v>
      </c>
      <c r="J102" s="88">
        <v>23.228493653659907</v>
      </c>
      <c r="K102" s="88">
        <v>24.370669282527388</v>
      </c>
      <c r="L102" s="89">
        <v>28.231181690126071</v>
      </c>
      <c r="M102" s="90">
        <v>147.48874854222481</v>
      </c>
    </row>
    <row r="103" spans="1:13" ht="16.8">
      <c r="A103" s="80"/>
      <c r="B103" s="442"/>
      <c r="C103" s="81" t="s">
        <v>261</v>
      </c>
      <c r="E103" s="91"/>
      <c r="F103" s="92"/>
      <c r="G103" s="92"/>
      <c r="H103" s="92"/>
      <c r="I103" s="92"/>
      <c r="J103" s="92"/>
      <c r="K103" s="92"/>
      <c r="L103" s="93"/>
      <c r="M103" s="94"/>
    </row>
    <row r="104" spans="1:13" ht="16.8">
      <c r="A104" s="86">
        <v>26</v>
      </c>
      <c r="B104" s="443"/>
      <c r="C104" s="75" t="s">
        <v>262</v>
      </c>
      <c r="E104" s="87">
        <v>538.68614139232659</v>
      </c>
      <c r="F104" s="88">
        <v>542.92673270130729</v>
      </c>
      <c r="G104" s="88">
        <v>547.96508321261342</v>
      </c>
      <c r="H104" s="88">
        <v>580.56992922118559</v>
      </c>
      <c r="I104" s="88">
        <v>658.61919483345935</v>
      </c>
      <c r="J104" s="88">
        <v>626.8699596364122</v>
      </c>
      <c r="K104" s="88">
        <v>621.72446923422729</v>
      </c>
      <c r="L104" s="89">
        <v>620.33812984496751</v>
      </c>
      <c r="M104" s="90">
        <v>4737.6996400764992</v>
      </c>
    </row>
    <row r="105" spans="1:13" ht="16.8">
      <c r="A105" s="86">
        <v>27</v>
      </c>
      <c r="B105" s="443"/>
      <c r="C105" s="75" t="s">
        <v>263</v>
      </c>
      <c r="E105" s="87">
        <v>0</v>
      </c>
      <c r="F105" s="88">
        <v>7.660590030135495</v>
      </c>
      <c r="G105" s="88">
        <v>9.903155913025671</v>
      </c>
      <c r="H105" s="88">
        <v>10.462384566159812</v>
      </c>
      <c r="I105" s="88">
        <v>5.9179485259908233</v>
      </c>
      <c r="J105" s="88">
        <v>-100.20929972541376</v>
      </c>
      <c r="K105" s="88">
        <v>-111.6481665929054</v>
      </c>
      <c r="L105" s="89">
        <v>0</v>
      </c>
      <c r="M105" s="90">
        <v>-177.91338728300735</v>
      </c>
    </row>
    <row r="106" spans="1:13" ht="16.8">
      <c r="A106" s="86">
        <v>28</v>
      </c>
      <c r="B106" s="443"/>
      <c r="C106" s="75" t="s">
        <v>264</v>
      </c>
      <c r="E106" s="96">
        <v>538.68614139232659</v>
      </c>
      <c r="F106" s="88">
        <v>550.58732273144278</v>
      </c>
      <c r="G106" s="88">
        <v>557.86823912563909</v>
      </c>
      <c r="H106" s="88">
        <v>591.0323137873454</v>
      </c>
      <c r="I106" s="88">
        <v>664.53714335945017</v>
      </c>
      <c r="J106" s="88">
        <v>526.66065991099845</v>
      </c>
      <c r="K106" s="88">
        <v>510.07630264132189</v>
      </c>
      <c r="L106" s="89">
        <v>620.33812984496751</v>
      </c>
      <c r="M106" s="90">
        <v>4559.7862527934913</v>
      </c>
    </row>
    <row r="107" spans="1:13" ht="16.8">
      <c r="A107" s="86">
        <v>29</v>
      </c>
      <c r="B107" s="443"/>
      <c r="C107" s="75" t="s">
        <v>168</v>
      </c>
      <c r="E107" s="96">
        <v>0</v>
      </c>
      <c r="F107" s="88">
        <v>0</v>
      </c>
      <c r="G107" s="88">
        <v>0</v>
      </c>
      <c r="H107" s="88">
        <v>0</v>
      </c>
      <c r="I107" s="88">
        <v>0</v>
      </c>
      <c r="J107" s="88">
        <v>0</v>
      </c>
      <c r="K107" s="88">
        <v>0</v>
      </c>
      <c r="L107" s="89">
        <v>0</v>
      </c>
      <c r="M107" s="90">
        <v>0</v>
      </c>
    </row>
    <row r="108" spans="1:13" ht="16.8">
      <c r="A108" s="86">
        <v>30</v>
      </c>
      <c r="B108" s="443"/>
      <c r="C108" s="75" t="s">
        <v>265</v>
      </c>
      <c r="E108" s="96">
        <v>0</v>
      </c>
      <c r="F108" s="88">
        <v>0</v>
      </c>
      <c r="G108" s="88">
        <v>0</v>
      </c>
      <c r="H108" s="88">
        <v>0</v>
      </c>
      <c r="I108" s="88">
        <v>0</v>
      </c>
      <c r="J108" s="88">
        <v>0</v>
      </c>
      <c r="K108" s="88">
        <v>0</v>
      </c>
      <c r="L108" s="89">
        <v>0</v>
      </c>
      <c r="M108" s="90">
        <v>0</v>
      </c>
    </row>
    <row r="109" spans="1:13" ht="16.8">
      <c r="A109" s="86">
        <v>31</v>
      </c>
      <c r="B109" s="443"/>
      <c r="C109" s="75" t="s">
        <v>266</v>
      </c>
      <c r="E109" s="96">
        <v>3.5</v>
      </c>
      <c r="F109" s="88">
        <v>2.9</v>
      </c>
      <c r="G109" s="88">
        <v>3</v>
      </c>
      <c r="H109" s="88">
        <v>3.1</v>
      </c>
      <c r="I109" s="88">
        <v>3</v>
      </c>
      <c r="J109" s="88">
        <v>3</v>
      </c>
      <c r="K109" s="88">
        <v>3</v>
      </c>
      <c r="L109" s="89">
        <v>3</v>
      </c>
      <c r="M109" s="90">
        <v>24.5</v>
      </c>
    </row>
    <row r="110" spans="1:13" ht="16.8">
      <c r="A110" s="86">
        <v>32</v>
      </c>
      <c r="B110" s="443"/>
      <c r="C110" s="75" t="s">
        <v>267</v>
      </c>
      <c r="E110" s="96">
        <v>542.18614139232659</v>
      </c>
      <c r="F110" s="88">
        <v>553.48732273144276</v>
      </c>
      <c r="G110" s="88">
        <v>560.86823912563909</v>
      </c>
      <c r="H110" s="88">
        <v>594.13231378734542</v>
      </c>
      <c r="I110" s="88">
        <v>667.53714335945017</v>
      </c>
      <c r="J110" s="88">
        <v>529.66065991099845</v>
      </c>
      <c r="K110" s="88">
        <v>513.07630264132194</v>
      </c>
      <c r="L110" s="89">
        <v>623.33812984496751</v>
      </c>
      <c r="M110" s="90">
        <v>4584.2862527934913</v>
      </c>
    </row>
    <row r="111" spans="1:13" ht="16.8">
      <c r="A111" s="80"/>
      <c r="B111" s="442"/>
      <c r="C111" s="81" t="s">
        <v>268</v>
      </c>
      <c r="E111" s="91">
        <v>0</v>
      </c>
      <c r="F111" s="92">
        <v>0</v>
      </c>
      <c r="G111" s="92">
        <v>0</v>
      </c>
      <c r="H111" s="92">
        <v>0</v>
      </c>
      <c r="I111" s="92">
        <v>0</v>
      </c>
      <c r="J111" s="97">
        <v>0</v>
      </c>
      <c r="K111" s="92">
        <v>0</v>
      </c>
      <c r="L111" s="93">
        <v>0</v>
      </c>
      <c r="M111" s="94">
        <v>0</v>
      </c>
    </row>
    <row r="112" spans="1:13" ht="16.8">
      <c r="A112" s="86">
        <v>33</v>
      </c>
      <c r="B112" s="443"/>
      <c r="C112" s="75" t="s">
        <v>268</v>
      </c>
      <c r="E112" s="87">
        <v>531.50044228593049</v>
      </c>
      <c r="F112" s="88">
        <v>532.30595433542521</v>
      </c>
      <c r="G112" s="88">
        <v>557.18630657337997</v>
      </c>
      <c r="H112" s="88">
        <v>563.35769222746364</v>
      </c>
      <c r="I112" s="88">
        <v>621.11540604292543</v>
      </c>
      <c r="J112" s="88">
        <v>580.85554858909438</v>
      </c>
      <c r="K112" s="88">
        <v>563.91707999922835</v>
      </c>
      <c r="L112" s="89">
        <v>561.59049750524412</v>
      </c>
      <c r="M112" s="90">
        <v>4511.8289275586922</v>
      </c>
    </row>
    <row r="113" spans="1:13" ht="16.8">
      <c r="A113" s="86">
        <v>34</v>
      </c>
      <c r="B113" s="443"/>
      <c r="C113" s="75" t="s">
        <v>269</v>
      </c>
      <c r="E113" s="87">
        <v>532.27297258717056</v>
      </c>
      <c r="F113" s="88">
        <v>535.37318766088151</v>
      </c>
      <c r="G113" s="88">
        <v>560.63199301036127</v>
      </c>
      <c r="H113" s="88">
        <v>567.46061713204779</v>
      </c>
      <c r="I113" s="88">
        <v>635.37758730007874</v>
      </c>
      <c r="J113" s="88">
        <v>605.06504080098887</v>
      </c>
      <c r="K113" s="88">
        <v>601.02123357044024</v>
      </c>
      <c r="L113" s="89">
        <v>598.74304882953993</v>
      </c>
      <c r="M113" s="90">
        <v>4635.9456808915093</v>
      </c>
    </row>
    <row r="114" spans="1:13" ht="16.8">
      <c r="A114" s="80"/>
      <c r="B114" s="442"/>
      <c r="C114" s="81" t="s">
        <v>270</v>
      </c>
      <c r="E114" s="91">
        <v>0</v>
      </c>
      <c r="F114" s="92">
        <v>0</v>
      </c>
      <c r="G114" s="92">
        <v>0</v>
      </c>
      <c r="H114" s="92">
        <v>0</v>
      </c>
      <c r="I114" s="92">
        <v>0</v>
      </c>
      <c r="J114" s="97">
        <v>0</v>
      </c>
      <c r="K114" s="92">
        <v>0</v>
      </c>
      <c r="L114" s="93">
        <v>0</v>
      </c>
      <c r="M114" s="94">
        <v>0</v>
      </c>
    </row>
    <row r="115" spans="1:13" ht="16.8">
      <c r="A115" s="86">
        <v>35</v>
      </c>
      <c r="B115" s="443"/>
      <c r="C115" s="98">
        <v>41729</v>
      </c>
      <c r="E115" s="96">
        <v>538.68614139232659</v>
      </c>
      <c r="F115" s="88">
        <v>542.92673270130729</v>
      </c>
      <c r="G115" s="88">
        <v>547.96508321261342</v>
      </c>
      <c r="H115" s="88">
        <v>580.56992922118559</v>
      </c>
      <c r="I115" s="88">
        <v>658.61919483345935</v>
      </c>
      <c r="J115" s="88">
        <v>626.8699596364122</v>
      </c>
      <c r="K115" s="88">
        <v>621.72446923422729</v>
      </c>
      <c r="L115" s="89">
        <v>620.33812984496751</v>
      </c>
      <c r="M115" s="90">
        <v>4737.6996400764992</v>
      </c>
    </row>
    <row r="116" spans="1:13" ht="16.8">
      <c r="A116" s="86">
        <v>36</v>
      </c>
      <c r="B116" s="443"/>
      <c r="C116" s="98">
        <v>42094</v>
      </c>
      <c r="E116" s="96">
        <v>542.83406992244852</v>
      </c>
      <c r="F116" s="88">
        <v>546.25792232812796</v>
      </c>
      <c r="G116" s="88">
        <v>551.32081925355271</v>
      </c>
      <c r="H116" s="88">
        <v>583.93183212884287</v>
      </c>
      <c r="I116" s="88">
        <v>661.40742227557109</v>
      </c>
      <c r="J116" s="88">
        <v>629.60070703274187</v>
      </c>
      <c r="K116" s="88">
        <v>624.49362045500914</v>
      </c>
      <c r="L116" s="89">
        <v>623.18302697186687</v>
      </c>
      <c r="M116" s="90">
        <v>4763.0294203681606</v>
      </c>
    </row>
    <row r="117" spans="1:13" ht="16.8">
      <c r="A117" s="86">
        <v>37</v>
      </c>
      <c r="B117" s="443"/>
      <c r="C117" s="98">
        <v>42460</v>
      </c>
      <c r="E117" s="96">
        <v>533.21780050947348</v>
      </c>
      <c r="F117" s="88">
        <v>545.59934143510225</v>
      </c>
      <c r="G117" s="88">
        <v>569.01836260740231</v>
      </c>
      <c r="H117" s="88">
        <v>601.54260576120225</v>
      </c>
      <c r="I117" s="88">
        <v>678.42432194190053</v>
      </c>
      <c r="J117" s="88">
        <v>646.41394359043636</v>
      </c>
      <c r="K117" s="88">
        <v>641.15737199261594</v>
      </c>
      <c r="L117" s="89">
        <v>639.70344022835093</v>
      </c>
      <c r="M117" s="90">
        <v>4855.0771880664834</v>
      </c>
    </row>
    <row r="118" spans="1:13" ht="16.8">
      <c r="A118" s="86">
        <v>38</v>
      </c>
      <c r="B118" s="443"/>
      <c r="C118" s="98">
        <v>42825</v>
      </c>
      <c r="E118" s="96">
        <v>534.38954985320231</v>
      </c>
      <c r="F118" s="88">
        <v>537.0283375200413</v>
      </c>
      <c r="G118" s="88">
        <v>569.78290301742379</v>
      </c>
      <c r="H118" s="88">
        <v>598.21379572758349</v>
      </c>
      <c r="I118" s="88">
        <v>677.06754779224821</v>
      </c>
      <c r="J118" s="88">
        <v>646.08535887106859</v>
      </c>
      <c r="K118" s="88">
        <v>640.65821830959851</v>
      </c>
      <c r="L118" s="89">
        <v>638.53235279274963</v>
      </c>
      <c r="M118" s="90">
        <v>4841.7580638839163</v>
      </c>
    </row>
    <row r="119" spans="1:13" ht="16.8">
      <c r="A119" s="86">
        <v>39</v>
      </c>
      <c r="B119" s="443"/>
      <c r="C119" s="98">
        <v>43190</v>
      </c>
      <c r="E119" s="96">
        <v>534.52623699283572</v>
      </c>
      <c r="F119" s="88">
        <v>537.34995175431573</v>
      </c>
      <c r="G119" s="88">
        <v>562.82798303640618</v>
      </c>
      <c r="H119" s="88">
        <v>598.41476544245256</v>
      </c>
      <c r="I119" s="88">
        <v>671.33919320041684</v>
      </c>
      <c r="J119" s="88">
        <v>641.24263371374821</v>
      </c>
      <c r="K119" s="88">
        <v>635.73505589999684</v>
      </c>
      <c r="L119" s="89">
        <v>633.56047708964866</v>
      </c>
      <c r="M119" s="90">
        <v>4814.996297129821</v>
      </c>
    </row>
    <row r="120" spans="1:13" ht="16.8">
      <c r="A120" s="86">
        <v>40</v>
      </c>
      <c r="B120" s="443"/>
      <c r="C120" s="98">
        <v>43555</v>
      </c>
      <c r="E120" s="96">
        <v>532.27297258717056</v>
      </c>
      <c r="F120" s="88">
        <v>535.37318766088151</v>
      </c>
      <c r="G120" s="88">
        <v>560.63199301036127</v>
      </c>
      <c r="H120" s="88">
        <v>567.46061713204779</v>
      </c>
      <c r="I120" s="88">
        <v>635.37758730007874</v>
      </c>
      <c r="J120" s="88">
        <v>605.06504080098887</v>
      </c>
      <c r="K120" s="88">
        <v>601.02123357044024</v>
      </c>
      <c r="L120" s="89">
        <v>598.74304882953993</v>
      </c>
      <c r="M120" s="90">
        <v>4635.9456808915093</v>
      </c>
    </row>
    <row r="121" spans="1:13" ht="16.8">
      <c r="A121" s="86">
        <v>41</v>
      </c>
      <c r="B121" s="443"/>
      <c r="C121" s="98">
        <v>43921</v>
      </c>
      <c r="E121" s="96">
        <v>531.50044228593049</v>
      </c>
      <c r="F121" s="88">
        <v>532.30595433542521</v>
      </c>
      <c r="G121" s="88">
        <v>557.18630657337997</v>
      </c>
      <c r="H121" s="88">
        <v>563.35769222746364</v>
      </c>
      <c r="I121" s="88">
        <v>621.11540604292543</v>
      </c>
      <c r="J121" s="88">
        <v>580.85554858909438</v>
      </c>
      <c r="K121" s="88">
        <v>563.91707999922835</v>
      </c>
      <c r="L121" s="89">
        <v>561.59049750524412</v>
      </c>
      <c r="M121" s="90">
        <v>4511.8289275586922</v>
      </c>
    </row>
    <row r="122" spans="1:13" ht="16.8">
      <c r="A122" s="86">
        <v>42</v>
      </c>
      <c r="B122" s="443"/>
      <c r="C122" s="98">
        <v>44286</v>
      </c>
      <c r="E122" s="96" t="s">
        <v>455</v>
      </c>
      <c r="F122" s="88" t="s">
        <v>455</v>
      </c>
      <c r="G122" s="88" t="s">
        <v>455</v>
      </c>
      <c r="H122" s="88" t="s">
        <v>455</v>
      </c>
      <c r="I122" s="88" t="s">
        <v>455</v>
      </c>
      <c r="J122" s="88" t="s">
        <v>455</v>
      </c>
      <c r="K122" s="88" t="s">
        <v>455</v>
      </c>
      <c r="L122" s="89" t="s">
        <v>455</v>
      </c>
      <c r="M122" s="90">
        <v>0</v>
      </c>
    </row>
    <row r="123" spans="1:13" ht="16.8">
      <c r="A123" s="80"/>
      <c r="B123" s="442"/>
      <c r="C123" s="81" t="s">
        <v>271</v>
      </c>
      <c r="E123" s="91">
        <v>0</v>
      </c>
      <c r="F123" s="92">
        <v>0</v>
      </c>
      <c r="G123" s="92">
        <v>0</v>
      </c>
      <c r="H123" s="92">
        <v>0</v>
      </c>
      <c r="I123" s="92">
        <v>0</v>
      </c>
      <c r="J123" s="97">
        <v>0</v>
      </c>
      <c r="K123" s="92">
        <v>0</v>
      </c>
      <c r="L123" s="93">
        <v>0</v>
      </c>
      <c r="M123" s="94">
        <v>0</v>
      </c>
    </row>
    <row r="124" spans="1:13" ht="16.8">
      <c r="A124" s="86">
        <v>43</v>
      </c>
      <c r="B124" s="443"/>
      <c r="C124" s="98">
        <v>41729</v>
      </c>
      <c r="E124" s="96">
        <v>0</v>
      </c>
      <c r="F124" s="88">
        <v>0</v>
      </c>
      <c r="G124" s="88">
        <v>0</v>
      </c>
      <c r="H124" s="88">
        <v>0</v>
      </c>
      <c r="I124" s="88">
        <v>0</v>
      </c>
      <c r="J124" s="88">
        <v>0</v>
      </c>
      <c r="K124" s="88">
        <v>0</v>
      </c>
      <c r="L124" s="89">
        <v>0</v>
      </c>
      <c r="M124" s="90">
        <v>0</v>
      </c>
    </row>
    <row r="125" spans="1:13" ht="16.8">
      <c r="A125" s="86">
        <v>44</v>
      </c>
      <c r="B125" s="443"/>
      <c r="C125" s="98">
        <v>42094</v>
      </c>
      <c r="E125" s="96">
        <v>0</v>
      </c>
      <c r="F125" s="88">
        <v>7.660590030135495</v>
      </c>
      <c r="G125" s="88">
        <v>0</v>
      </c>
      <c r="H125" s="88">
        <v>0</v>
      </c>
      <c r="I125" s="88">
        <v>0</v>
      </c>
      <c r="J125" s="88">
        <v>0</v>
      </c>
      <c r="K125" s="88">
        <v>0</v>
      </c>
      <c r="L125" s="89">
        <v>0</v>
      </c>
      <c r="M125" s="90">
        <v>7.660590030135495</v>
      </c>
    </row>
    <row r="126" spans="1:13" ht="16.8">
      <c r="A126" s="86">
        <v>45</v>
      </c>
      <c r="B126" s="443"/>
      <c r="C126" s="98">
        <v>42460</v>
      </c>
      <c r="E126" s="96">
        <v>0</v>
      </c>
      <c r="F126" s="88">
        <v>7.660590030135495</v>
      </c>
      <c r="G126" s="88">
        <v>9.903155913025671</v>
      </c>
      <c r="H126" s="88">
        <v>0</v>
      </c>
      <c r="I126" s="88">
        <v>0</v>
      </c>
      <c r="J126" s="88">
        <v>0</v>
      </c>
      <c r="K126" s="88">
        <v>0</v>
      </c>
      <c r="L126" s="89">
        <v>0</v>
      </c>
      <c r="M126" s="90">
        <v>17.563745943161166</v>
      </c>
    </row>
    <row r="127" spans="1:13" ht="16.8">
      <c r="A127" s="86">
        <v>46</v>
      </c>
      <c r="B127" s="443"/>
      <c r="C127" s="98">
        <v>42825</v>
      </c>
      <c r="E127" s="96">
        <v>0</v>
      </c>
      <c r="F127" s="88">
        <v>7.660590030135495</v>
      </c>
      <c r="G127" s="88">
        <v>9.903155913025671</v>
      </c>
      <c r="H127" s="88">
        <v>10.462384566159812</v>
      </c>
      <c r="I127" s="88">
        <v>0</v>
      </c>
      <c r="J127" s="88">
        <v>0</v>
      </c>
      <c r="K127" s="88">
        <v>0</v>
      </c>
      <c r="L127" s="89">
        <v>0</v>
      </c>
      <c r="M127" s="90">
        <v>28.026130509320978</v>
      </c>
    </row>
    <row r="128" spans="1:13" ht="16.8">
      <c r="A128" s="86">
        <v>47</v>
      </c>
      <c r="B128" s="443"/>
      <c r="C128" s="98">
        <v>43190</v>
      </c>
      <c r="E128" s="96">
        <v>0</v>
      </c>
      <c r="F128" s="88">
        <v>7.660590030135495</v>
      </c>
      <c r="G128" s="88">
        <v>9.903155913025671</v>
      </c>
      <c r="H128" s="88">
        <v>10.462384566159812</v>
      </c>
      <c r="I128" s="88">
        <v>5.9179485259908233</v>
      </c>
      <c r="J128" s="88">
        <v>0</v>
      </c>
      <c r="K128" s="88">
        <v>0</v>
      </c>
      <c r="L128" s="89">
        <v>0</v>
      </c>
      <c r="M128" s="90">
        <v>33.944079035311802</v>
      </c>
    </row>
    <row r="129" spans="1:13" ht="16.8">
      <c r="A129" s="86">
        <v>48</v>
      </c>
      <c r="B129" s="443"/>
      <c r="C129" s="98">
        <v>43555</v>
      </c>
      <c r="E129" s="96">
        <v>0</v>
      </c>
      <c r="F129" s="88">
        <v>7.660590030135495</v>
      </c>
      <c r="G129" s="88">
        <v>9.903155913025671</v>
      </c>
      <c r="H129" s="88">
        <v>10.462384566159812</v>
      </c>
      <c r="I129" s="88">
        <v>5.9179485259908233</v>
      </c>
      <c r="J129" s="88">
        <v>-100.20929972541376</v>
      </c>
      <c r="K129" s="88">
        <v>0</v>
      </c>
      <c r="L129" s="89">
        <v>0</v>
      </c>
      <c r="M129" s="90">
        <v>-66.265220690101955</v>
      </c>
    </row>
    <row r="130" spans="1:13" ht="16.8">
      <c r="A130" s="86">
        <v>49</v>
      </c>
      <c r="B130" s="443"/>
      <c r="C130" s="98">
        <v>43921</v>
      </c>
      <c r="E130" s="96">
        <v>0</v>
      </c>
      <c r="F130" s="88">
        <v>7.660590030135495</v>
      </c>
      <c r="G130" s="88">
        <v>9.903155913025671</v>
      </c>
      <c r="H130" s="88">
        <v>10.462384566159812</v>
      </c>
      <c r="I130" s="88">
        <v>5.9179485259908233</v>
      </c>
      <c r="J130" s="88">
        <v>-100.20929972541376</v>
      </c>
      <c r="K130" s="88">
        <v>-111.6481665929054</v>
      </c>
      <c r="L130" s="89">
        <v>0</v>
      </c>
      <c r="M130" s="90">
        <v>-177.91338728300735</v>
      </c>
    </row>
    <row r="131" spans="1:13" ht="16.8">
      <c r="A131" s="86">
        <v>50</v>
      </c>
      <c r="B131" s="443"/>
      <c r="C131" s="98">
        <v>44286</v>
      </c>
      <c r="E131" s="96" t="s">
        <v>455</v>
      </c>
      <c r="F131" s="88" t="s">
        <v>455</v>
      </c>
      <c r="G131" s="88" t="s">
        <v>455</v>
      </c>
      <c r="H131" s="88" t="s">
        <v>455</v>
      </c>
      <c r="I131" s="88" t="s">
        <v>455</v>
      </c>
      <c r="J131" s="88" t="s">
        <v>455</v>
      </c>
      <c r="K131" s="88" t="s">
        <v>455</v>
      </c>
      <c r="L131" s="89" t="s">
        <v>455</v>
      </c>
      <c r="M131" s="90">
        <v>0</v>
      </c>
    </row>
    <row r="132" spans="1:13" ht="16.8">
      <c r="A132" s="80"/>
      <c r="B132" s="442"/>
      <c r="C132" s="81" t="s">
        <v>272</v>
      </c>
      <c r="E132" s="91">
        <v>0</v>
      </c>
      <c r="F132" s="92">
        <v>0</v>
      </c>
      <c r="G132" s="92">
        <v>0</v>
      </c>
      <c r="H132" s="92">
        <v>0</v>
      </c>
      <c r="I132" s="92">
        <v>0</v>
      </c>
      <c r="J132" s="97">
        <v>0</v>
      </c>
      <c r="K132" s="92">
        <v>0</v>
      </c>
      <c r="L132" s="93">
        <v>0</v>
      </c>
      <c r="M132" s="94">
        <v>0</v>
      </c>
    </row>
    <row r="133" spans="1:13" ht="16.8">
      <c r="A133" s="86">
        <v>51</v>
      </c>
      <c r="B133" s="443"/>
      <c r="C133" s="75" t="s">
        <v>273</v>
      </c>
      <c r="E133" s="87">
        <v>4175.2307570182293</v>
      </c>
      <c r="F133" s="88">
        <v>4185.4929268780643</v>
      </c>
      <c r="G133" s="88">
        <v>4174.5669667305483</v>
      </c>
      <c r="H133" s="88">
        <v>4178.7949690034147</v>
      </c>
      <c r="I133" s="88">
        <v>4450.6308766863658</v>
      </c>
      <c r="J133" s="88">
        <v>4478.5737317574049</v>
      </c>
      <c r="K133" s="88">
        <v>4465.3713015792218</v>
      </c>
      <c r="L133" s="89">
        <v>4402.3922098430185</v>
      </c>
      <c r="M133" s="90">
        <v>34511.053739496267</v>
      </c>
    </row>
    <row r="134" spans="1:13" ht="16.8">
      <c r="A134" s="86">
        <v>52</v>
      </c>
      <c r="B134" s="443"/>
      <c r="C134" s="75" t="s">
        <v>26</v>
      </c>
      <c r="E134" s="99">
        <v>0.625</v>
      </c>
      <c r="F134" s="100">
        <v>0.625</v>
      </c>
      <c r="G134" s="100">
        <v>0.625</v>
      </c>
      <c r="H134" s="100">
        <v>0.625</v>
      </c>
      <c r="I134" s="100">
        <v>0.625</v>
      </c>
      <c r="J134" s="100">
        <v>0.625</v>
      </c>
      <c r="K134" s="100">
        <v>0.625</v>
      </c>
      <c r="L134" s="101">
        <v>0.625</v>
      </c>
      <c r="M134" s="102">
        <v>0.625</v>
      </c>
    </row>
    <row r="135" spans="1:13" ht="16.8">
      <c r="A135" s="86">
        <v>53</v>
      </c>
      <c r="B135" s="443"/>
      <c r="C135" s="75" t="s">
        <v>274</v>
      </c>
      <c r="E135" s="87">
        <v>1565.711533881836</v>
      </c>
      <c r="F135" s="88">
        <v>1569.559847579274</v>
      </c>
      <c r="G135" s="88">
        <v>1565.4626125239556</v>
      </c>
      <c r="H135" s="88">
        <v>1567.0481133762805</v>
      </c>
      <c r="I135" s="88">
        <v>1668.9865787573872</v>
      </c>
      <c r="J135" s="88">
        <v>1679.4651494090267</v>
      </c>
      <c r="K135" s="88">
        <v>1674.5142380922082</v>
      </c>
      <c r="L135" s="89">
        <v>1650.8970786911318</v>
      </c>
      <c r="M135" s="90">
        <v>12941.645152311101</v>
      </c>
    </row>
    <row r="136" spans="1:13" ht="16.8">
      <c r="A136" s="86">
        <v>54</v>
      </c>
      <c r="B136" s="443"/>
      <c r="C136" s="75" t="s">
        <v>275</v>
      </c>
      <c r="E136" s="87">
        <v>76.197961315582688</v>
      </c>
      <c r="F136" s="88">
        <v>71.153379756927094</v>
      </c>
      <c r="G136" s="88">
        <v>66.532161032268107</v>
      </c>
      <c r="H136" s="88">
        <v>62.159575163925801</v>
      </c>
      <c r="I136" s="88">
        <v>61.75250341402333</v>
      </c>
      <c r="J136" s="88">
        <v>53.462973922854019</v>
      </c>
      <c r="K136" s="88">
        <v>44.095541603094823</v>
      </c>
      <c r="L136" s="89">
        <v>43.473623072199814</v>
      </c>
      <c r="M136" s="90">
        <v>478.82771928087573</v>
      </c>
    </row>
    <row r="137" spans="1:13" ht="17.399999999999999" thickBot="1">
      <c r="A137" s="103">
        <v>55</v>
      </c>
      <c r="B137" s="444"/>
      <c r="C137" s="104" t="s">
        <v>276</v>
      </c>
      <c r="D137" s="446"/>
      <c r="E137" s="105">
        <v>106.46838430396483</v>
      </c>
      <c r="F137" s="106">
        <v>106.73006963539062</v>
      </c>
      <c r="G137" s="106">
        <v>106.451457651629</v>
      </c>
      <c r="H137" s="106">
        <v>106.55927170958708</v>
      </c>
      <c r="I137" s="106">
        <v>113.49108735550234</v>
      </c>
      <c r="J137" s="106">
        <v>114.20363015981383</v>
      </c>
      <c r="K137" s="106">
        <v>113.86696819027017</v>
      </c>
      <c r="L137" s="107">
        <v>112.26100135099699</v>
      </c>
      <c r="M137" s="108">
        <v>880.03187035715496</v>
      </c>
    </row>
    <row r="138" spans="1:13">
      <c r="E138" s="53"/>
      <c r="F138" s="53"/>
      <c r="G138" s="53"/>
      <c r="H138" s="53"/>
      <c r="I138" s="53"/>
      <c r="J138" s="53"/>
      <c r="K138" s="53"/>
      <c r="L138" s="53"/>
    </row>
    <row r="139" spans="1:13" ht="16.8">
      <c r="C139" s="75" t="s">
        <v>277</v>
      </c>
      <c r="E139" s="96">
        <v>94.224999999999994</v>
      </c>
      <c r="F139" s="88">
        <v>87.484999999999999</v>
      </c>
      <c r="G139" s="88">
        <v>79.322999999999993</v>
      </c>
      <c r="H139" s="88">
        <v>58.722999999999999</v>
      </c>
      <c r="I139" s="88">
        <v>3.3000000000000002E-2</v>
      </c>
      <c r="J139" s="88">
        <v>3.3000000000000002E-2</v>
      </c>
      <c r="K139" s="88">
        <v>0</v>
      </c>
      <c r="L139" s="88">
        <v>0</v>
      </c>
      <c r="M139" s="172">
        <f>SUM(E139:L139)</f>
        <v>319.822</v>
      </c>
    </row>
    <row r="140" spans="1:13">
      <c r="E140" s="53"/>
      <c r="F140" s="53"/>
      <c r="G140" s="53"/>
      <c r="H140" s="53"/>
      <c r="I140" s="53"/>
      <c r="J140" s="53"/>
      <c r="K140" s="53"/>
      <c r="L140" s="53"/>
    </row>
    <row r="141" spans="1:13" ht="16.8">
      <c r="C141" s="213" t="s">
        <v>278</v>
      </c>
      <c r="E141" s="53">
        <v>58.243632070885781</v>
      </c>
      <c r="F141" s="53">
        <v>59.371819633654141</v>
      </c>
      <c r="G141" s="53">
        <v>62.647612204007885</v>
      </c>
      <c r="H141" s="53">
        <v>69.704625819405081</v>
      </c>
      <c r="I141" s="53">
        <v>82.734891255109233</v>
      </c>
      <c r="J141" s="53">
        <v>73.764690650501109</v>
      </c>
      <c r="K141" s="53">
        <v>65.089296911713703</v>
      </c>
      <c r="L141" s="53">
        <v>60.03870434945965</v>
      </c>
    </row>
    <row r="142" spans="1:13">
      <c r="C142" t="s">
        <v>279</v>
      </c>
      <c r="E142" s="53">
        <v>105.36207599340014</v>
      </c>
      <c r="F142" s="53">
        <v>107.40295461818336</v>
      </c>
      <c r="G142" s="53">
        <v>113.32882657129517</v>
      </c>
      <c r="H142" s="53">
        <v>126.09488490926087</v>
      </c>
      <c r="I142" s="53">
        <v>149.66648867497287</v>
      </c>
      <c r="J142" s="53">
        <v>133.43949657000763</v>
      </c>
      <c r="K142" s="53">
        <v>117.74580677287535</v>
      </c>
      <c r="L142" s="53">
        <v>108.60934157598881</v>
      </c>
    </row>
    <row r="143" spans="1:13" ht="16.8">
      <c r="C143" s="213" t="s">
        <v>280</v>
      </c>
      <c r="E143" s="53">
        <v>3.337869905745567</v>
      </c>
      <c r="F143" s="53">
        <v>2.4770348045861148</v>
      </c>
      <c r="G143" s="53">
        <v>1.0129522449949366</v>
      </c>
      <c r="H143" s="53">
        <v>1.3569328742465867</v>
      </c>
      <c r="I143" s="53">
        <v>4.184137351013554</v>
      </c>
      <c r="J143" s="53">
        <v>0.5924964857991819</v>
      </c>
      <c r="K143" s="53">
        <v>-2.1122647296975821</v>
      </c>
      <c r="L143" s="53">
        <v>-2.6735744923193963</v>
      </c>
    </row>
    <row r="144" spans="1:13">
      <c r="C144" t="s">
        <v>281</v>
      </c>
      <c r="E144" s="53">
        <v>30.040829151710096</v>
      </c>
      <c r="F144" s="53">
        <v>22.293313241275023</v>
      </c>
      <c r="G144" s="53">
        <v>9.116570204954435</v>
      </c>
      <c r="H144" s="53">
        <v>12.212395868219277</v>
      </c>
      <c r="I144" s="53">
        <v>37.657236159122007</v>
      </c>
      <c r="J144" s="53">
        <v>5.3324683721926354</v>
      </c>
      <c r="K144" s="53">
        <v>-19.010382567278238</v>
      </c>
      <c r="L144" s="53">
        <v>-24.06217043087457</v>
      </c>
    </row>
    <row r="145" spans="2:26">
      <c r="E145" s="53"/>
      <c r="F145" s="53"/>
      <c r="G145" s="53"/>
      <c r="H145" s="53"/>
      <c r="I145" s="53"/>
      <c r="J145" s="53"/>
      <c r="K145" s="53"/>
      <c r="L145" s="53"/>
    </row>
    <row r="146" spans="2:26">
      <c r="B146" s="447"/>
      <c r="C146" t="s">
        <v>282</v>
      </c>
      <c r="E146" s="53">
        <v>0</v>
      </c>
      <c r="F146" s="53">
        <v>0</v>
      </c>
      <c r="G146" s="53">
        <v>0</v>
      </c>
      <c r="H146" s="53">
        <v>0</v>
      </c>
      <c r="I146" s="53">
        <v>138.27838395379189</v>
      </c>
      <c r="J146" s="53">
        <v>117.50342084599842</v>
      </c>
      <c r="K146" s="53">
        <v>101.87556011564801</v>
      </c>
      <c r="L146" s="53">
        <v>91.157975802007329</v>
      </c>
    </row>
    <row r="147" spans="2:26">
      <c r="B147" s="447"/>
      <c r="C147" t="s">
        <v>283</v>
      </c>
      <c r="E147" s="53">
        <v>0</v>
      </c>
      <c r="F147" s="53">
        <v>0</v>
      </c>
      <c r="G147" s="53">
        <v>0</v>
      </c>
      <c r="H147" s="53">
        <v>0</v>
      </c>
      <c r="I147" s="53">
        <v>49.227104687549911</v>
      </c>
      <c r="J147" s="53">
        <v>41.831217821175436</v>
      </c>
      <c r="K147" s="53">
        <v>36.267699401170688</v>
      </c>
      <c r="L147" s="53">
        <v>32.452239385514609</v>
      </c>
    </row>
    <row r="148" spans="2:26">
      <c r="B148" s="447"/>
      <c r="C148" t="s">
        <v>284</v>
      </c>
      <c r="E148" s="53">
        <f t="shared" ref="E148:L148" si="19">E146-E147</f>
        <v>0</v>
      </c>
      <c r="F148" s="53">
        <f t="shared" si="19"/>
        <v>0</v>
      </c>
      <c r="G148" s="53">
        <f t="shared" si="19"/>
        <v>0</v>
      </c>
      <c r="H148" s="53">
        <f t="shared" si="19"/>
        <v>0</v>
      </c>
      <c r="I148" s="53">
        <f t="shared" si="19"/>
        <v>89.051279266241977</v>
      </c>
      <c r="J148" s="53">
        <f t="shared" si="19"/>
        <v>75.672203024822977</v>
      </c>
      <c r="K148" s="53">
        <f t="shared" si="19"/>
        <v>65.607860714477326</v>
      </c>
      <c r="L148" s="53">
        <f t="shared" si="19"/>
        <v>58.705736416492719</v>
      </c>
    </row>
    <row r="149" spans="2:26">
      <c r="E149" s="53"/>
      <c r="F149" s="53"/>
      <c r="G149" s="53"/>
      <c r="H149" s="53"/>
      <c r="I149" s="53"/>
      <c r="J149" s="53"/>
      <c r="K149" s="53"/>
      <c r="L149" s="53"/>
    </row>
    <row r="150" spans="2:26">
      <c r="C150" t="s">
        <v>285</v>
      </c>
      <c r="E150" s="196">
        <v>299.56565029594907</v>
      </c>
      <c r="F150" s="196">
        <v>292.33704106000306</v>
      </c>
      <c r="G150" s="196">
        <v>285.10843182405705</v>
      </c>
      <c r="H150" s="196">
        <v>265.17984444444454</v>
      </c>
      <c r="I150" s="196">
        <v>0</v>
      </c>
      <c r="J150" s="196">
        <v>0</v>
      </c>
      <c r="K150" s="196">
        <v>0</v>
      </c>
      <c r="L150" s="196">
        <v>0</v>
      </c>
    </row>
    <row r="151" spans="2:26">
      <c r="C151" t="s">
        <v>286</v>
      </c>
      <c r="E151" s="196">
        <v>1.5889649604528906</v>
      </c>
      <c r="F151" s="196">
        <v>1.9371656435515117</v>
      </c>
      <c r="G151" s="196">
        <v>1.9547226953643968</v>
      </c>
      <c r="H151" s="196">
        <v>1.9724388714470038</v>
      </c>
      <c r="I151" s="196">
        <v>13.932209297896886</v>
      </c>
      <c r="J151" s="196">
        <v>18.476860279771643</v>
      </c>
      <c r="K151" s="196">
        <v>0.81062265305823133</v>
      </c>
      <c r="L151" s="196">
        <v>0</v>
      </c>
    </row>
    <row r="152" spans="2:26" ht="16.8">
      <c r="C152" s="110" t="s">
        <v>287</v>
      </c>
      <c r="E152" s="196">
        <v>7.2286092359460277</v>
      </c>
      <c r="F152" s="196">
        <v>7.2286092359460277</v>
      </c>
      <c r="G152" s="196">
        <v>7.2286092359460277</v>
      </c>
      <c r="H152" s="196">
        <v>6.9148666666666667</v>
      </c>
      <c r="I152" s="196">
        <v>0</v>
      </c>
      <c r="J152" s="196">
        <v>0</v>
      </c>
      <c r="K152" s="196">
        <v>0</v>
      </c>
      <c r="L152" s="196">
        <v>0</v>
      </c>
    </row>
    <row r="153" spans="2:26" ht="16.8">
      <c r="C153" s="110" t="s">
        <v>288</v>
      </c>
      <c r="E153" s="53">
        <f>SUM(E150:E151)-E152</f>
        <v>293.92600602045593</v>
      </c>
      <c r="F153" s="53">
        <f t="shared" ref="F153:L153" si="20">SUM(F150:F151)-F152</f>
        <v>287.04559746760856</v>
      </c>
      <c r="G153" s="53">
        <f t="shared" si="20"/>
        <v>279.83454528347545</v>
      </c>
      <c r="H153" s="53">
        <f t="shared" si="20"/>
        <v>260.23741664922488</v>
      </c>
      <c r="I153" s="53">
        <f t="shared" si="20"/>
        <v>13.932209297896886</v>
      </c>
      <c r="J153" s="53">
        <f t="shared" si="20"/>
        <v>18.476860279771643</v>
      </c>
      <c r="K153" s="53">
        <f t="shared" si="20"/>
        <v>0.81062265305823133</v>
      </c>
      <c r="L153" s="53">
        <f t="shared" si="20"/>
        <v>0</v>
      </c>
    </row>
    <row r="154" spans="2:26">
      <c r="E154" s="53"/>
      <c r="F154" s="53"/>
      <c r="G154" s="53"/>
      <c r="H154" s="53"/>
      <c r="I154" s="53"/>
      <c r="J154" s="53"/>
      <c r="K154" s="53"/>
      <c r="L154" s="53"/>
    </row>
    <row r="155" spans="2:26">
      <c r="C155" t="s">
        <v>289</v>
      </c>
      <c r="E155" s="53">
        <f>E81+E150</f>
        <v>4552.8726865510716</v>
      </c>
      <c r="F155" s="53">
        <f>E158</f>
        <v>4570.3309922047265</v>
      </c>
      <c r="G155" s="53">
        <f t="shared" ref="G155:L155" si="21">F158</f>
        <v>4553.9896559399986</v>
      </c>
      <c r="H155" s="53">
        <f t="shared" si="21"/>
        <v>4529.1627262721213</v>
      </c>
      <c r="I155" s="53">
        <f t="shared" si="21"/>
        <v>4519.1238577216127</v>
      </c>
      <c r="J155" s="53">
        <f t="shared" si="21"/>
        <v>4568.6167845902837</v>
      </c>
      <c r="K155" s="53">
        <f t="shared" si="21"/>
        <v>4571.3031564965377</v>
      </c>
      <c r="L155" s="520">
        <f t="shared" si="21"/>
        <v>4514.4652397406335</v>
      </c>
      <c r="M155" s="53"/>
      <c r="O155" s="53">
        <f t="shared" ref="O155:V155" si="22">E155*O$1</f>
        <v>5313.2024252051006</v>
      </c>
      <c r="P155" s="53">
        <f t="shared" si="22"/>
        <v>5438.6938807236247</v>
      </c>
      <c r="Q155" s="53">
        <f t="shared" si="22"/>
        <v>5473.8955664398782</v>
      </c>
      <c r="R155" s="53">
        <f t="shared" si="22"/>
        <v>5561.811827862165</v>
      </c>
      <c r="S155" s="53">
        <f t="shared" si="22"/>
        <v>5757.3637947373345</v>
      </c>
      <c r="T155" s="53">
        <f t="shared" si="22"/>
        <v>6012.299688520814</v>
      </c>
      <c r="U155" s="53">
        <f t="shared" si="22"/>
        <v>6203.2583833658018</v>
      </c>
      <c r="V155" s="53">
        <f t="shared" si="22"/>
        <v>6311.2224051574049</v>
      </c>
    </row>
    <row r="156" spans="2:26">
      <c r="C156" t="str">
        <f>C82</f>
        <v>RAV additions (after disposals)</v>
      </c>
      <c r="E156" s="53">
        <f>E82+E151</f>
        <v>163.46548670982534</v>
      </c>
      <c r="F156" s="53">
        <f t="shared" ref="F156:L156" si="23">F82+F151</f>
        <v>131.62567552290523</v>
      </c>
      <c r="G156" s="53">
        <f t="shared" si="23"/>
        <v>124.39236149150932</v>
      </c>
      <c r="H156" s="53">
        <f t="shared" si="23"/>
        <v>140.27196166882248</v>
      </c>
      <c r="I156" s="53">
        <f t="shared" si="23"/>
        <v>201.24817615188712</v>
      </c>
      <c r="J156" s="53">
        <f t="shared" si="23"/>
        <v>157.24106724186726</v>
      </c>
      <c r="K156" s="53">
        <f t="shared" si="23"/>
        <v>99.538288878550674</v>
      </c>
      <c r="L156" s="53">
        <f t="shared" si="23"/>
        <v>84.539413165009563</v>
      </c>
    </row>
    <row r="157" spans="2:26">
      <c r="C157" t="str">
        <f>C83</f>
        <v>Depreciation</v>
      </c>
      <c r="E157" s="53">
        <f>E83-E152</f>
        <v>-146.00718105617065</v>
      </c>
      <c r="F157" s="53">
        <f t="shared" ref="F157:L157" si="24">F83-F152</f>
        <v>-147.96701178763334</v>
      </c>
      <c r="G157" s="53">
        <f t="shared" si="24"/>
        <v>-149.2192911593867</v>
      </c>
      <c r="H157" s="53">
        <f t="shared" si="24"/>
        <v>-150.31083021933122</v>
      </c>
      <c r="I157" s="53">
        <f t="shared" si="24"/>
        <v>-151.75524928321607</v>
      </c>
      <c r="J157" s="53">
        <f t="shared" si="24"/>
        <v>-154.55469533561347</v>
      </c>
      <c r="K157" s="53">
        <f t="shared" si="24"/>
        <v>-156.37620563445489</v>
      </c>
      <c r="L157" s="53">
        <f t="shared" si="24"/>
        <v>-156.91543196966703</v>
      </c>
    </row>
    <row r="158" spans="2:26">
      <c r="C158" t="str">
        <f>C84</f>
        <v>Closing asset value</v>
      </c>
      <c r="E158" s="53">
        <f>SUM(E155:E157)</f>
        <v>4570.3309922047265</v>
      </c>
      <c r="F158" s="53">
        <f t="shared" ref="F158:L158" si="25">SUM(F155:F157)</f>
        <v>4553.9896559399986</v>
      </c>
      <c r="G158" s="53">
        <f t="shared" si="25"/>
        <v>4529.1627262721213</v>
      </c>
      <c r="H158" s="53">
        <f t="shared" si="25"/>
        <v>4519.1238577216127</v>
      </c>
      <c r="I158" s="53">
        <f t="shared" si="25"/>
        <v>4568.6167845902837</v>
      </c>
      <c r="J158" s="53">
        <f t="shared" si="25"/>
        <v>4571.3031564965377</v>
      </c>
      <c r="K158" s="53">
        <f t="shared" si="25"/>
        <v>4514.4652397406335</v>
      </c>
      <c r="L158" s="53">
        <f t="shared" si="25"/>
        <v>4442.0892209359754</v>
      </c>
      <c r="O158" s="53">
        <f t="shared" ref="O158:V158" si="26">E158*O$1</f>
        <v>5333.5762679029158</v>
      </c>
      <c r="P158" s="53">
        <f t="shared" si="26"/>
        <v>5419.247690568598</v>
      </c>
      <c r="Q158" s="53">
        <f t="shared" si="26"/>
        <v>5444.0535969790899</v>
      </c>
      <c r="R158" s="53">
        <f t="shared" si="26"/>
        <v>5549.4840972821403</v>
      </c>
      <c r="S158" s="53">
        <f t="shared" si="26"/>
        <v>5820.4177835680212</v>
      </c>
      <c r="T158" s="53">
        <f t="shared" si="26"/>
        <v>6015.8349539494438</v>
      </c>
      <c r="U158" s="53">
        <f t="shared" si="26"/>
        <v>6126.1293303280399</v>
      </c>
      <c r="V158" s="53">
        <f t="shared" si="26"/>
        <v>6210.0407308684935</v>
      </c>
      <c r="W158" s="53"/>
      <c r="X158" s="53"/>
      <c r="Y158" s="53"/>
      <c r="Z158" s="53"/>
    </row>
    <row r="159" spans="2:26">
      <c r="C159" t="s">
        <v>201</v>
      </c>
      <c r="E159" s="53">
        <f>E84+E153-E158</f>
        <v>0</v>
      </c>
      <c r="F159" s="53">
        <f t="shared" ref="F159:L159" si="27">F84+F153-F158</f>
        <v>0</v>
      </c>
      <c r="G159" s="53">
        <f t="shared" si="27"/>
        <v>0</v>
      </c>
      <c r="H159" s="53">
        <f t="shared" si="27"/>
        <v>0</v>
      </c>
      <c r="I159" s="53">
        <f t="shared" si="27"/>
        <v>0</v>
      </c>
      <c r="J159" s="53">
        <f t="shared" si="27"/>
        <v>0</v>
      </c>
      <c r="K159" s="53">
        <f t="shared" si="27"/>
        <v>0</v>
      </c>
      <c r="L159" s="53">
        <f t="shared" si="27"/>
        <v>0</v>
      </c>
    </row>
    <row r="160" spans="2:26">
      <c r="E160" s="53"/>
      <c r="F160" s="53"/>
      <c r="G160" s="53"/>
      <c r="H160" s="53"/>
      <c r="I160" s="53"/>
      <c r="J160" s="53"/>
      <c r="K160" s="53"/>
      <c r="L160" s="53"/>
    </row>
    <row r="161" spans="3:14">
      <c r="C161" t="s">
        <v>290</v>
      </c>
      <c r="E161" s="196">
        <v>2.6999999999999997</v>
      </c>
      <c r="F161" s="196">
        <v>2.6</v>
      </c>
      <c r="G161" s="196">
        <v>2.6</v>
      </c>
      <c r="H161" s="196">
        <v>2.6999999999999997</v>
      </c>
      <c r="I161" s="196">
        <v>2.6</v>
      </c>
      <c r="J161" s="196">
        <v>1.5036030565639953</v>
      </c>
      <c r="K161" s="196">
        <v>1.5036030565639953</v>
      </c>
      <c r="L161" s="196">
        <v>1.5036030565639953</v>
      </c>
    </row>
    <row r="162" spans="3:14">
      <c r="C162" t="s">
        <v>291</v>
      </c>
      <c r="E162" s="196">
        <v>26.409854043050455</v>
      </c>
      <c r="F162" s="196">
        <v>26.409854043050501</v>
      </c>
      <c r="G162" s="196">
        <v>49.377503040264713</v>
      </c>
      <c r="H162" s="196">
        <v>49.377503040264713</v>
      </c>
      <c r="I162" s="196">
        <v>49.377503040264713</v>
      </c>
      <c r="J162" s="196">
        <v>25.655041687065825</v>
      </c>
      <c r="K162" s="196">
        <v>25.655041687065825</v>
      </c>
      <c r="L162" s="196">
        <v>25.655041687065825</v>
      </c>
      <c r="N162" s="472">
        <f>E158+'NGGT AIP 2018'!D81</f>
        <v>4596.8123667890932</v>
      </c>
    </row>
    <row r="163" spans="3:14">
      <c r="C163" t="s">
        <v>292</v>
      </c>
      <c r="E163" s="53">
        <f t="shared" ref="E163:L163" si="28">E161+E162</f>
        <v>29.109854043050454</v>
      </c>
      <c r="F163" s="53">
        <f t="shared" si="28"/>
        <v>29.009854043050503</v>
      </c>
      <c r="G163" s="53">
        <f t="shared" si="28"/>
        <v>51.977503040264715</v>
      </c>
      <c r="H163" s="53">
        <f t="shared" si="28"/>
        <v>52.077503040264716</v>
      </c>
      <c r="I163" s="53">
        <f t="shared" si="28"/>
        <v>51.977503040264715</v>
      </c>
      <c r="J163" s="53">
        <f t="shared" si="28"/>
        <v>27.158644743629822</v>
      </c>
      <c r="K163" s="53">
        <f t="shared" si="28"/>
        <v>27.158644743629822</v>
      </c>
      <c r="L163" s="53">
        <f t="shared" si="28"/>
        <v>27.158644743629822</v>
      </c>
    </row>
    <row r="164" spans="3:14">
      <c r="C164" t="s">
        <v>293</v>
      </c>
      <c r="E164" s="196">
        <v>11.622445302613123</v>
      </c>
      <c r="F164" s="196">
        <v>12.116399227974181</v>
      </c>
      <c r="G164" s="196">
        <v>12.618472520983362</v>
      </c>
      <c r="H164" s="196">
        <v>13.127943349018066</v>
      </c>
      <c r="I164" s="196">
        <v>13.644856118385652</v>
      </c>
      <c r="J164" s="196">
        <v>14.155685419317715</v>
      </c>
      <c r="K164" s="196">
        <v>14.656442791026079</v>
      </c>
      <c r="L164" s="196">
        <v>15.174914454758625</v>
      </c>
    </row>
    <row r="165" spans="3:14">
      <c r="C165" s="38" t="s">
        <v>294</v>
      </c>
      <c r="D165" s="38"/>
      <c r="E165" s="58">
        <f t="shared" ref="E165:L165" si="29">E163+E164</f>
        <v>40.732299345663577</v>
      </c>
      <c r="F165" s="58">
        <f t="shared" si="29"/>
        <v>41.12625327102468</v>
      </c>
      <c r="G165" s="58">
        <f t="shared" si="29"/>
        <v>64.595975561248082</v>
      </c>
      <c r="H165" s="58">
        <f t="shared" si="29"/>
        <v>65.205446389282784</v>
      </c>
      <c r="I165" s="58">
        <f t="shared" si="29"/>
        <v>65.622359158650369</v>
      </c>
      <c r="J165" s="58">
        <f t="shared" si="29"/>
        <v>41.314330162947535</v>
      </c>
      <c r="K165" s="58">
        <f t="shared" si="29"/>
        <v>41.815087534655902</v>
      </c>
      <c r="L165" s="58">
        <f t="shared" si="29"/>
        <v>42.333559198388443</v>
      </c>
    </row>
    <row r="166" spans="3:14">
      <c r="E166" s="53"/>
      <c r="F166" s="53"/>
      <c r="G166" s="53"/>
      <c r="H166" s="53"/>
      <c r="I166" s="53"/>
      <c r="J166" s="53"/>
      <c r="K166" s="53"/>
      <c r="L166" s="53"/>
    </row>
    <row r="167" spans="3:14">
      <c r="C167" t="s">
        <v>295</v>
      </c>
      <c r="E167" s="196">
        <v>-17.8</v>
      </c>
      <c r="F167" s="196">
        <v>-18.2</v>
      </c>
      <c r="G167" s="196">
        <v>-18.399999999999999</v>
      </c>
      <c r="H167" s="196">
        <v>-18.5</v>
      </c>
      <c r="I167" s="196">
        <v>0</v>
      </c>
      <c r="J167" s="196">
        <v>0</v>
      </c>
      <c r="K167" s="196">
        <v>0</v>
      </c>
      <c r="L167" s="196">
        <v>0</v>
      </c>
    </row>
    <row r="168" spans="3:14">
      <c r="C168" t="s">
        <v>296</v>
      </c>
      <c r="E168" s="196">
        <v>11.272654628929414</v>
      </c>
      <c r="F168" s="196">
        <v>11.751742450658913</v>
      </c>
      <c r="G168" s="196">
        <v>12.238705278458092</v>
      </c>
      <c r="H168" s="196">
        <v>12.732843004075839</v>
      </c>
      <c r="I168" s="196">
        <v>13.234198697361323</v>
      </c>
      <c r="J168" s="196">
        <v>13.729654011093789</v>
      </c>
      <c r="K168" s="196">
        <v>14.215340521736231</v>
      </c>
      <c r="L168" s="196">
        <v>14.71820819269265</v>
      </c>
    </row>
    <row r="169" spans="3:14">
      <c r="C169" t="s">
        <v>297</v>
      </c>
      <c r="E169" s="53">
        <v>-3.5</v>
      </c>
      <c r="F169" s="53">
        <v>-2.9</v>
      </c>
      <c r="G169" s="53">
        <v>-3</v>
      </c>
      <c r="H169" s="53">
        <v>-3.1</v>
      </c>
      <c r="I169" s="53">
        <v>-3</v>
      </c>
      <c r="J169" s="53">
        <v>-3</v>
      </c>
      <c r="K169" s="53">
        <v>-3</v>
      </c>
      <c r="L169" s="53">
        <v>-3</v>
      </c>
    </row>
    <row r="170" spans="3:14">
      <c r="C170" s="38" t="s">
        <v>298</v>
      </c>
      <c r="E170" s="58">
        <f>SUM(E165:E169)</f>
        <v>30.704953974592989</v>
      </c>
      <c r="F170" s="58">
        <f t="shared" ref="F170:L170" si="30">SUM(F165:F169)</f>
        <v>31.777995721683595</v>
      </c>
      <c r="G170" s="58">
        <f t="shared" si="30"/>
        <v>55.434680839706175</v>
      </c>
      <c r="H170" s="58">
        <f t="shared" si="30"/>
        <v>56.338289393358622</v>
      </c>
      <c r="I170" s="58">
        <f t="shared" si="30"/>
        <v>75.85655785601169</v>
      </c>
      <c r="J170" s="58">
        <f t="shared" si="30"/>
        <v>52.043984174041327</v>
      </c>
      <c r="K170" s="58">
        <f t="shared" si="30"/>
        <v>53.030428056392132</v>
      </c>
      <c r="L170" s="58">
        <f t="shared" si="30"/>
        <v>54.051767391081093</v>
      </c>
    </row>
    <row r="171" spans="3:14">
      <c r="C171" t="s">
        <v>299</v>
      </c>
      <c r="E171" s="53">
        <v>0</v>
      </c>
      <c r="F171" s="53">
        <v>0</v>
      </c>
      <c r="G171" s="53">
        <v>0</v>
      </c>
      <c r="H171" s="53">
        <v>0</v>
      </c>
      <c r="I171" s="53">
        <v>0</v>
      </c>
      <c r="J171" s="53">
        <v>0</v>
      </c>
      <c r="K171" s="53">
        <v>0</v>
      </c>
      <c r="L171" s="53">
        <v>0</v>
      </c>
    </row>
    <row r="172" spans="3:14">
      <c r="E172" s="53"/>
      <c r="F172" s="53"/>
      <c r="G172" s="53"/>
      <c r="H172" s="53"/>
      <c r="I172" s="53"/>
      <c r="J172" s="53"/>
      <c r="K172" s="53"/>
      <c r="L172" s="53"/>
    </row>
    <row r="173" spans="3:14">
      <c r="C173" t="s">
        <v>300</v>
      </c>
      <c r="E173" s="53">
        <f>SUM(E167:E169,E171)</f>
        <v>-10.027345371070586</v>
      </c>
      <c r="F173" s="53">
        <f t="shared" ref="F173:L173" si="31">SUM(F167:F169,F171)</f>
        <v>-9.3482575493410867</v>
      </c>
      <c r="G173" s="53">
        <f t="shared" si="31"/>
        <v>-9.1612947215419069</v>
      </c>
      <c r="H173" s="53">
        <f t="shared" si="31"/>
        <v>-8.8671569959241605</v>
      </c>
      <c r="I173" s="53">
        <f t="shared" si="31"/>
        <v>10.234198697361323</v>
      </c>
      <c r="J173" s="53">
        <f t="shared" si="31"/>
        <v>10.729654011093789</v>
      </c>
      <c r="K173" s="53">
        <f t="shared" si="31"/>
        <v>11.215340521736231</v>
      </c>
      <c r="L173" s="53">
        <f t="shared" si="31"/>
        <v>11.71820819269265</v>
      </c>
    </row>
    <row r="176" spans="3:14" ht="16.8">
      <c r="C176" s="75" t="s">
        <v>247</v>
      </c>
      <c r="E176" s="198">
        <v>53.000554975302876</v>
      </c>
      <c r="F176" s="198">
        <v>68.053208429157323</v>
      </c>
      <c r="G176" s="198">
        <v>82.254234605796668</v>
      </c>
      <c r="H176" s="198">
        <v>95.891001342750144</v>
      </c>
      <c r="I176" s="198">
        <v>104.78509285934528</v>
      </c>
      <c r="J176" s="198">
        <v>108.77780866232766</v>
      </c>
      <c r="K176" s="198">
        <v>114.49175151746932</v>
      </c>
      <c r="L176" s="198">
        <v>117.81067223114771</v>
      </c>
    </row>
    <row r="177" spans="3:22" ht="16.8">
      <c r="C177" s="75" t="s">
        <v>248</v>
      </c>
      <c r="E177" s="198">
        <v>25.597687944697277</v>
      </c>
      <c r="F177" s="198">
        <v>28.402873231010378</v>
      </c>
      <c r="G177" s="198">
        <v>30.327281876301544</v>
      </c>
      <c r="H177" s="198">
        <v>28.830408843528669</v>
      </c>
      <c r="I177" s="198">
        <v>26.600805821848581</v>
      </c>
      <c r="J177" s="198">
        <v>30.807262088600154</v>
      </c>
      <c r="K177" s="198">
        <v>31.160026938207565</v>
      </c>
      <c r="L177" s="198">
        <v>28.95136654970014</v>
      </c>
    </row>
    <row r="178" spans="3:22" ht="16.8">
      <c r="C178" s="75" t="s">
        <v>249</v>
      </c>
      <c r="E178" s="198">
        <v>-10.545034490842841</v>
      </c>
      <c r="F178" s="198">
        <v>-14.201847054371024</v>
      </c>
      <c r="G178" s="198">
        <v>-16.690515139348058</v>
      </c>
      <c r="H178" s="198">
        <v>-19.93631732693353</v>
      </c>
      <c r="I178" s="198">
        <v>-22.6080900188662</v>
      </c>
      <c r="J178" s="198">
        <v>-25.093319233458473</v>
      </c>
      <c r="K178" s="198">
        <v>-27.841106224529184</v>
      </c>
      <c r="L178" s="198">
        <v>-28.818049534884878</v>
      </c>
    </row>
    <row r="179" spans="3:22" ht="16.8">
      <c r="C179" s="75" t="s">
        <v>250</v>
      </c>
      <c r="E179" s="198">
        <v>68.053208429157323</v>
      </c>
      <c r="F179" s="198">
        <v>82.254234605796668</v>
      </c>
      <c r="G179" s="198">
        <v>95.891001342750144</v>
      </c>
      <c r="H179" s="198">
        <v>104.78509285934528</v>
      </c>
      <c r="I179" s="198">
        <v>108.77780866232766</v>
      </c>
      <c r="J179" s="198">
        <v>114.49175151746932</v>
      </c>
      <c r="K179" s="198">
        <v>117.81067223114771</v>
      </c>
      <c r="L179" s="198">
        <v>117.94398924596295</v>
      </c>
    </row>
    <row r="180" spans="3:22" ht="15.6">
      <c r="M180" s="119" t="s">
        <v>301</v>
      </c>
    </row>
    <row r="181" spans="3:22" ht="15.6">
      <c r="C181" t="s">
        <v>289</v>
      </c>
      <c r="E181" s="53">
        <f t="shared" ref="E181:L181" si="32">E155+E176</f>
        <v>4605.8732415263748</v>
      </c>
      <c r="F181" s="53">
        <f t="shared" si="32"/>
        <v>4638.3842006338837</v>
      </c>
      <c r="G181" s="53">
        <f t="shared" si="32"/>
        <v>4636.2438905457948</v>
      </c>
      <c r="H181" s="53">
        <f t="shared" si="32"/>
        <v>4625.0537276148716</v>
      </c>
      <c r="I181" s="53">
        <f t="shared" si="32"/>
        <v>4623.9089505809579</v>
      </c>
      <c r="J181" s="53">
        <f t="shared" si="32"/>
        <v>4677.3945932526112</v>
      </c>
      <c r="K181" s="53">
        <f t="shared" si="32"/>
        <v>4685.794908014007</v>
      </c>
      <c r="L181" s="53">
        <f t="shared" si="32"/>
        <v>4632.2759119717812</v>
      </c>
      <c r="M181" s="120">
        <f>(L181/E181)^(1/7)-1</f>
        <v>8.169083821345513E-4</v>
      </c>
      <c r="N181" t="s">
        <v>302</v>
      </c>
      <c r="O181" s="114">
        <f t="shared" ref="O181:V182" si="33">E181*O$1</f>
        <v>5375.0540728612796</v>
      </c>
      <c r="P181" s="109">
        <f t="shared" si="33"/>
        <v>5519.6771987543216</v>
      </c>
      <c r="Q181" s="109">
        <f t="shared" si="33"/>
        <v>5572.7651564360449</v>
      </c>
      <c r="R181" s="109">
        <f t="shared" si="33"/>
        <v>5679.5659775110626</v>
      </c>
      <c r="S181" s="109">
        <f t="shared" si="33"/>
        <v>5890.8600030401403</v>
      </c>
      <c r="T181" s="109">
        <f t="shared" si="33"/>
        <v>6155.4512847204369</v>
      </c>
      <c r="U181" s="109">
        <f t="shared" si="33"/>
        <v>6358.6236901750071</v>
      </c>
      <c r="V181" s="109">
        <f t="shared" si="33"/>
        <v>6475.9217249365493</v>
      </c>
    </row>
    <row r="182" spans="3:22" ht="15.6">
      <c r="C182" t="s">
        <v>250</v>
      </c>
      <c r="E182" s="53">
        <f t="shared" ref="E182:L182" si="34">E158+E179</f>
        <v>4638.3842006338837</v>
      </c>
      <c r="F182" s="53">
        <f t="shared" si="34"/>
        <v>4636.2438905457948</v>
      </c>
      <c r="G182" s="53">
        <f t="shared" si="34"/>
        <v>4625.0537276148716</v>
      </c>
      <c r="H182" s="53">
        <f t="shared" si="34"/>
        <v>4623.9089505809579</v>
      </c>
      <c r="I182" s="53">
        <f t="shared" si="34"/>
        <v>4677.3945932526112</v>
      </c>
      <c r="J182" s="53">
        <f t="shared" si="34"/>
        <v>4685.794908014007</v>
      </c>
      <c r="K182" s="53">
        <f t="shared" si="34"/>
        <v>4632.2759119717812</v>
      </c>
      <c r="L182" s="53">
        <f t="shared" si="34"/>
        <v>4560.0332101819386</v>
      </c>
      <c r="M182" s="121">
        <f>(L182/E182)^(1/7)-1</f>
        <v>-2.4307789369485411E-3</v>
      </c>
      <c r="O182" s="109">
        <f t="shared" si="33"/>
        <v>5412.9943621397424</v>
      </c>
      <c r="P182" s="109">
        <f t="shared" si="33"/>
        <v>5517.1302297494958</v>
      </c>
      <c r="Q182" s="109">
        <f t="shared" si="33"/>
        <v>5559.3145805930753</v>
      </c>
      <c r="R182" s="109">
        <f t="shared" si="33"/>
        <v>5678.1601913134164</v>
      </c>
      <c r="S182" s="109">
        <f t="shared" si="33"/>
        <v>5959.0007118038266</v>
      </c>
      <c r="T182" s="109">
        <f t="shared" si="33"/>
        <v>6166.5060989464337</v>
      </c>
      <c r="U182" s="109">
        <f t="shared" si="33"/>
        <v>6285.9984125457067</v>
      </c>
      <c r="V182" s="114">
        <f t="shared" si="33"/>
        <v>6374.9264278343499</v>
      </c>
    </row>
    <row r="183" spans="3:22">
      <c r="O183" s="109"/>
      <c r="P183" s="109"/>
      <c r="Q183" s="109"/>
      <c r="R183" s="109"/>
      <c r="S183" s="109"/>
      <c r="T183" s="109"/>
      <c r="U183" s="109"/>
      <c r="V183" s="109"/>
    </row>
    <row r="184" spans="3:22">
      <c r="C184" t="s">
        <v>289</v>
      </c>
      <c r="N184" t="s">
        <v>303</v>
      </c>
      <c r="O184" s="115">
        <f>E181*O$3</f>
        <v>5294.4559162197029</v>
      </c>
      <c r="P184" s="109">
        <f t="shared" ref="O184:V185" si="35">F181*P$2</f>
        <v>5526.9360944676591</v>
      </c>
      <c r="Q184" s="109">
        <f t="shared" si="35"/>
        <v>5610.3349906759177</v>
      </c>
      <c r="R184" s="109">
        <f t="shared" si="35"/>
        <v>5772.5643543025726</v>
      </c>
      <c r="S184" s="109">
        <f t="shared" si="35"/>
        <v>5964.0067709563464</v>
      </c>
      <c r="T184" s="109">
        <f t="shared" si="35"/>
        <v>6213.9833899023697</v>
      </c>
      <c r="U184" s="109">
        <f t="shared" si="35"/>
        <v>6411.8976239375552</v>
      </c>
      <c r="V184" s="109">
        <f t="shared" si="35"/>
        <v>6528.8237921968894</v>
      </c>
    </row>
    <row r="185" spans="3:22">
      <c r="C185" t="s">
        <v>250</v>
      </c>
      <c r="O185" s="109">
        <f t="shared" si="35"/>
        <v>5477.4924810204566</v>
      </c>
      <c r="P185" s="109">
        <f t="shared" si="35"/>
        <v>5524.3857759585553</v>
      </c>
      <c r="Q185" s="109">
        <f t="shared" si="35"/>
        <v>5596.7937352707086</v>
      </c>
      <c r="R185" s="109">
        <f t="shared" si="35"/>
        <v>5771.1355494737472</v>
      </c>
      <c r="S185" s="109">
        <f t="shared" si="35"/>
        <v>6032.9935824294862</v>
      </c>
      <c r="T185" s="109">
        <f t="shared" si="35"/>
        <v>6225.1433242112189</v>
      </c>
      <c r="U185" s="109">
        <f t="shared" si="35"/>
        <v>6338.6638759193102</v>
      </c>
      <c r="V185" s="115">
        <f t="shared" si="35"/>
        <v>6427.0034604158882</v>
      </c>
    </row>
    <row r="186" spans="3:22">
      <c r="E186" s="53"/>
    </row>
    <row r="187" spans="3:22">
      <c r="C187" t="s">
        <v>304</v>
      </c>
      <c r="E187" s="190">
        <f>E83-E152-E188</f>
        <v>-146.00718105617065</v>
      </c>
      <c r="F187" s="190">
        <f t="shared" ref="F187:L187" si="36">F83-F152-F188</f>
        <v>-144.36975574875839</v>
      </c>
      <c r="G187" s="190">
        <f t="shared" si="36"/>
        <v>-142.74006823430389</v>
      </c>
      <c r="H187" s="190">
        <f t="shared" si="36"/>
        <v>-141.1107708765563</v>
      </c>
      <c r="I187" s="190">
        <f t="shared" si="36"/>
        <v>-139.48186721161059</v>
      </c>
      <c r="J187" s="190">
        <f t="shared" si="36"/>
        <v>-138.1187362228082</v>
      </c>
      <c r="K187" s="190">
        <f t="shared" si="36"/>
        <v>-136.85659747804749</v>
      </c>
      <c r="L187" s="190">
        <f t="shared" si="36"/>
        <v>-135.20187567491536</v>
      </c>
    </row>
    <row r="188" spans="3:22">
      <c r="C188" t="s">
        <v>305</v>
      </c>
      <c r="E188" s="190">
        <v>0</v>
      </c>
      <c r="F188" s="190">
        <v>-3.5972560388749431</v>
      </c>
      <c r="G188" s="190">
        <v>-6.4792229250828033</v>
      </c>
      <c r="H188" s="190">
        <v>-9.2000593427749138</v>
      </c>
      <c r="I188" s="190">
        <v>-12.27338207160548</v>
      </c>
      <c r="J188" s="190">
        <v>-16.435959112805264</v>
      </c>
      <c r="K188" s="190">
        <v>-19.51960815640739</v>
      </c>
      <c r="L188" s="190">
        <v>-21.713556294751665</v>
      </c>
    </row>
    <row r="191" spans="3:22" ht="16.8">
      <c r="C191" t="s">
        <v>306</v>
      </c>
      <c r="E191" s="201">
        <v>0</v>
      </c>
      <c r="F191" s="201">
        <v>0</v>
      </c>
      <c r="G191" s="201">
        <v>0</v>
      </c>
      <c r="H191" s="201">
        <v>0</v>
      </c>
      <c r="I191" s="201">
        <v>0</v>
      </c>
      <c r="J191" s="201">
        <v>0</v>
      </c>
      <c r="K191" s="201">
        <v>0</v>
      </c>
      <c r="L191" s="201">
        <v>0</v>
      </c>
    </row>
    <row r="192" spans="3:22" ht="16.8">
      <c r="C192" t="s">
        <v>307</v>
      </c>
      <c r="E192" s="201">
        <v>0.82105844574251929</v>
      </c>
      <c r="F192" s="201">
        <v>0</v>
      </c>
      <c r="G192" s="201">
        <v>0</v>
      </c>
      <c r="H192" s="201">
        <v>0</v>
      </c>
      <c r="I192" s="201">
        <v>0</v>
      </c>
      <c r="J192" s="201">
        <v>0</v>
      </c>
      <c r="K192" s="201">
        <v>0</v>
      </c>
      <c r="L192" s="201">
        <v>0</v>
      </c>
    </row>
    <row r="193" spans="1:14" ht="16.8">
      <c r="C193" t="s">
        <v>308</v>
      </c>
      <c r="E193" s="201">
        <v>0.7679065147103713</v>
      </c>
      <c r="F193" s="201">
        <v>1.9371656435515117</v>
      </c>
      <c r="G193" s="201">
        <v>1.9547226953643968</v>
      </c>
      <c r="H193" s="201">
        <v>1.9724388714470038</v>
      </c>
      <c r="I193" s="201">
        <v>13.932209297896886</v>
      </c>
      <c r="J193" s="201">
        <v>18.476860279771643</v>
      </c>
      <c r="K193" s="201">
        <v>0.81062265305823133</v>
      </c>
      <c r="L193" s="201">
        <v>0</v>
      </c>
    </row>
    <row r="194" spans="1:14">
      <c r="E194" s="173">
        <f>SUM(E191:E193)</f>
        <v>1.5889649604528906</v>
      </c>
      <c r="F194" s="173">
        <f t="shared" ref="F194:L194" si="37">SUM(F191:F193)</f>
        <v>1.9371656435515117</v>
      </c>
      <c r="G194" s="173">
        <f t="shared" si="37"/>
        <v>1.9547226953643968</v>
      </c>
      <c r="H194" s="173">
        <f t="shared" si="37"/>
        <v>1.9724388714470038</v>
      </c>
      <c r="I194" s="173">
        <f t="shared" si="37"/>
        <v>13.932209297896886</v>
      </c>
      <c r="J194" s="173">
        <f t="shared" si="37"/>
        <v>18.476860279771643</v>
      </c>
      <c r="K194" s="173">
        <f t="shared" si="37"/>
        <v>0.81062265305823133</v>
      </c>
      <c r="L194" s="173">
        <f t="shared" si="37"/>
        <v>0</v>
      </c>
    </row>
    <row r="195" spans="1:14">
      <c r="E195" s="173"/>
      <c r="F195" s="173"/>
      <c r="G195" s="173"/>
      <c r="H195" s="173"/>
      <c r="I195" s="173"/>
      <c r="J195" s="173"/>
      <c r="K195" s="173"/>
      <c r="L195" s="173"/>
    </row>
    <row r="196" spans="1:14" s="195" customFormat="1">
      <c r="E196" s="202"/>
      <c r="F196" s="202"/>
      <c r="G196" s="202"/>
      <c r="H196" s="202"/>
      <c r="I196" s="202"/>
      <c r="J196" s="202"/>
      <c r="K196" s="202"/>
      <c r="L196" s="202"/>
    </row>
    <row r="197" spans="1:14">
      <c r="E197" s="173"/>
      <c r="F197" s="173"/>
      <c r="G197" s="173"/>
      <c r="H197" s="173"/>
      <c r="I197" s="173"/>
      <c r="J197" s="173"/>
      <c r="K197" s="173"/>
      <c r="L197" s="173"/>
    </row>
    <row r="198" spans="1:14" ht="16.8">
      <c r="A198" s="86">
        <v>1</v>
      </c>
      <c r="B198" s="443"/>
      <c r="C198" s="75" t="s">
        <v>241</v>
      </c>
      <c r="E198" s="87">
        <f>E207</f>
        <v>28.552742984679846</v>
      </c>
      <c r="F198" s="88">
        <f t="shared" ref="F198:L198" si="38">F207</f>
        <v>28.402873231010378</v>
      </c>
      <c r="G198" s="88">
        <f t="shared" si="38"/>
        <v>30.327281876301544</v>
      </c>
      <c r="H198" s="88">
        <f t="shared" si="38"/>
        <v>28.830408843528669</v>
      </c>
      <c r="I198" s="88">
        <f t="shared" si="38"/>
        <v>26.600805821848581</v>
      </c>
      <c r="J198" s="88">
        <f t="shared" si="38"/>
        <v>30.807262088600154</v>
      </c>
      <c r="K198" s="88">
        <f t="shared" si="38"/>
        <v>31.160026938207565</v>
      </c>
      <c r="L198" s="89">
        <f t="shared" si="38"/>
        <v>28.95136654970014</v>
      </c>
    </row>
    <row r="199" spans="1:14" ht="16.8">
      <c r="A199" s="86">
        <f>+A198+1</f>
        <v>2</v>
      </c>
      <c r="B199" s="443"/>
      <c r="C199" s="75" t="s">
        <v>242</v>
      </c>
      <c r="E199" s="87">
        <f t="shared" ref="E199:L200" si="39">E208</f>
        <v>47.791489594678033</v>
      </c>
      <c r="F199" s="88">
        <f t="shared" si="39"/>
        <v>47.540638081851597</v>
      </c>
      <c r="G199" s="88">
        <f t="shared" si="39"/>
        <v>50.761707097766759</v>
      </c>
      <c r="H199" s="88">
        <f t="shared" si="39"/>
        <v>48.256245818312692</v>
      </c>
      <c r="I199" s="88">
        <f t="shared" si="39"/>
        <v>44.524343434431046</v>
      </c>
      <c r="J199" s="88">
        <f t="shared" si="39"/>
        <v>51.565096437068703</v>
      </c>
      <c r="K199" s="88">
        <f t="shared" si="39"/>
        <v>52.155553110475765</v>
      </c>
      <c r="L199" s="89">
        <f t="shared" si="39"/>
        <v>48.458704438802911</v>
      </c>
    </row>
    <row r="200" spans="1:14" ht="16.8">
      <c r="A200" s="86">
        <f>+A199+1</f>
        <v>3</v>
      </c>
      <c r="B200" s="443"/>
      <c r="C200" s="75" t="s">
        <v>243</v>
      </c>
      <c r="E200" s="87">
        <f t="shared" si="39"/>
        <v>76.344232579357879</v>
      </c>
      <c r="F200" s="88">
        <f t="shared" si="39"/>
        <v>75.943511312861972</v>
      </c>
      <c r="G200" s="88">
        <f t="shared" si="39"/>
        <v>81.0889889740683</v>
      </c>
      <c r="H200" s="88">
        <f t="shared" si="39"/>
        <v>77.086654661841365</v>
      </c>
      <c r="I200" s="88">
        <f t="shared" si="39"/>
        <v>71.125149256279627</v>
      </c>
      <c r="J200" s="88">
        <f t="shared" si="39"/>
        <v>82.372358525668858</v>
      </c>
      <c r="K200" s="88">
        <f t="shared" si="39"/>
        <v>83.31558004868333</v>
      </c>
      <c r="L200" s="89">
        <f t="shared" si="39"/>
        <v>77.410070988503051</v>
      </c>
    </row>
    <row r="203" spans="1:14" ht="13.8" thickBot="1"/>
    <row r="204" spans="1:14" ht="16.8">
      <c r="A204" s="68"/>
      <c r="B204" s="440"/>
      <c r="C204" s="69" t="s">
        <v>237</v>
      </c>
      <c r="E204" s="70">
        <v>41729</v>
      </c>
      <c r="F204" s="71">
        <v>42094</v>
      </c>
      <c r="G204" s="71">
        <v>42460</v>
      </c>
      <c r="H204" s="71">
        <v>42825</v>
      </c>
      <c r="I204" s="71">
        <v>43190</v>
      </c>
      <c r="J204" s="71">
        <v>43555</v>
      </c>
      <c r="K204" s="71">
        <v>43921</v>
      </c>
      <c r="L204" s="72">
        <v>44286</v>
      </c>
      <c r="M204" s="180" t="s">
        <v>238</v>
      </c>
      <c r="N204" s="181" t="s">
        <v>310</v>
      </c>
    </row>
    <row r="205" spans="1:14" ht="16.8">
      <c r="A205" s="74"/>
      <c r="B205" s="441"/>
      <c r="C205" s="75" t="s">
        <v>239</v>
      </c>
      <c r="E205" s="76" t="s">
        <v>240</v>
      </c>
      <c r="F205" s="77" t="s">
        <v>240</v>
      </c>
      <c r="G205" s="77" t="s">
        <v>240</v>
      </c>
      <c r="H205" s="77" t="s">
        <v>240</v>
      </c>
      <c r="I205" s="77" t="s">
        <v>240</v>
      </c>
      <c r="J205" s="77" t="s">
        <v>240</v>
      </c>
      <c r="K205" s="77" t="s">
        <v>240</v>
      </c>
      <c r="L205" s="78" t="s">
        <v>240</v>
      </c>
      <c r="M205" s="182" t="s">
        <v>240</v>
      </c>
      <c r="N205" s="79" t="s">
        <v>240</v>
      </c>
    </row>
    <row r="206" spans="1:14" ht="16.8">
      <c r="A206" s="80"/>
      <c r="B206" s="442"/>
      <c r="C206" s="81" t="s">
        <v>207</v>
      </c>
      <c r="E206" s="82"/>
      <c r="F206" s="83"/>
      <c r="G206" s="83"/>
      <c r="H206" s="83"/>
      <c r="I206" s="83"/>
      <c r="J206" s="83"/>
      <c r="K206" s="83"/>
      <c r="L206" s="84"/>
      <c r="M206" s="183"/>
      <c r="N206" s="85"/>
    </row>
    <row r="207" spans="1:14" ht="16.8">
      <c r="A207" s="86">
        <v>1</v>
      </c>
      <c r="B207" s="443"/>
      <c r="C207" s="75" t="s">
        <v>241</v>
      </c>
      <c r="E207" s="87">
        <v>28.552742984679846</v>
      </c>
      <c r="F207" s="88">
        <v>28.402873231010378</v>
      </c>
      <c r="G207" s="88">
        <v>30.327281876301544</v>
      </c>
      <c r="H207" s="88">
        <v>28.830408843528669</v>
      </c>
      <c r="I207" s="88">
        <v>26.600805821848581</v>
      </c>
      <c r="J207" s="88">
        <v>30.807262088600154</v>
      </c>
      <c r="K207" s="88">
        <v>31.160026938207565</v>
      </c>
      <c r="L207" s="89">
        <v>28.95136654970014</v>
      </c>
      <c r="M207" s="172">
        <v>233.63276833387692</v>
      </c>
      <c r="N207" s="90">
        <v>29.204096041734616</v>
      </c>
    </row>
    <row r="208" spans="1:14" ht="16.8">
      <c r="A208" s="86">
        <v>2</v>
      </c>
      <c r="B208" s="443"/>
      <c r="C208" s="75" t="s">
        <v>242</v>
      </c>
      <c r="E208" s="87">
        <v>47.791489594678033</v>
      </c>
      <c r="F208" s="88">
        <v>47.540638081851597</v>
      </c>
      <c r="G208" s="88">
        <v>50.761707097766759</v>
      </c>
      <c r="H208" s="88">
        <v>48.256245818312692</v>
      </c>
      <c r="I208" s="88">
        <v>44.524343434431046</v>
      </c>
      <c r="J208" s="88">
        <v>51.565096437068703</v>
      </c>
      <c r="K208" s="88">
        <v>52.155553110475765</v>
      </c>
      <c r="L208" s="89">
        <v>48.458704438802911</v>
      </c>
      <c r="M208" s="172">
        <v>391.0537780133875</v>
      </c>
      <c r="N208" s="90">
        <v>48.881722251673438</v>
      </c>
    </row>
    <row r="209" spans="1:14" ht="16.8">
      <c r="A209" s="86">
        <v>3</v>
      </c>
      <c r="B209" s="443"/>
      <c r="C209" s="75" t="s">
        <v>243</v>
      </c>
      <c r="E209" s="87">
        <v>76.344232579357879</v>
      </c>
      <c r="F209" s="88">
        <v>75.943511312861972</v>
      </c>
      <c r="G209" s="88">
        <v>81.0889889740683</v>
      </c>
      <c r="H209" s="88">
        <v>77.086654661841365</v>
      </c>
      <c r="I209" s="88">
        <v>71.125149256279627</v>
      </c>
      <c r="J209" s="88">
        <v>82.372358525668858</v>
      </c>
      <c r="K209" s="88">
        <v>83.31558004868333</v>
      </c>
      <c r="L209" s="89">
        <v>77.410070988503051</v>
      </c>
      <c r="M209" s="172">
        <v>624.68654634726443</v>
      </c>
      <c r="N209" s="90">
        <v>78.085818293408053</v>
      </c>
    </row>
    <row r="210" spans="1:14" ht="16.8">
      <c r="A210" s="80"/>
      <c r="B210" s="442"/>
      <c r="C210" s="81" t="s">
        <v>244</v>
      </c>
      <c r="E210" s="82"/>
      <c r="F210" s="83"/>
      <c r="G210" s="83"/>
      <c r="H210" s="83"/>
      <c r="I210" s="83"/>
      <c r="J210" s="83"/>
      <c r="K210" s="83"/>
      <c r="L210" s="84"/>
      <c r="M210" s="183"/>
      <c r="N210" s="85"/>
    </row>
    <row r="211" spans="1:14" ht="16.8">
      <c r="A211" s="86">
        <v>4</v>
      </c>
      <c r="B211" s="443"/>
      <c r="C211" s="75" t="s">
        <v>311</v>
      </c>
      <c r="E211" s="87">
        <v>53.000554975302876</v>
      </c>
      <c r="F211" s="88">
        <v>68.053208429157323</v>
      </c>
      <c r="G211" s="88">
        <v>82.254234605796668</v>
      </c>
      <c r="H211" s="88">
        <v>95.891001342750144</v>
      </c>
      <c r="I211" s="88">
        <v>104.78509285934528</v>
      </c>
      <c r="J211" s="88">
        <v>108.77780866232766</v>
      </c>
      <c r="K211" s="88">
        <v>114.49175151746932</v>
      </c>
      <c r="L211" s="89">
        <v>117.81067223114771</v>
      </c>
      <c r="M211" s="172">
        <v>0</v>
      </c>
      <c r="N211" s="90">
        <v>93.133040577912126</v>
      </c>
    </row>
    <row r="212" spans="1:14" ht="16.8">
      <c r="A212" s="86">
        <v>5</v>
      </c>
      <c r="B212" s="443"/>
      <c r="C212" s="75" t="s">
        <v>246</v>
      </c>
      <c r="E212" s="87">
        <v>0</v>
      </c>
      <c r="F212" s="88">
        <v>0</v>
      </c>
      <c r="G212" s="88">
        <v>0</v>
      </c>
      <c r="H212" s="88">
        <v>0</v>
      </c>
      <c r="I212" s="88">
        <v>0</v>
      </c>
      <c r="J212" s="88">
        <v>0</v>
      </c>
      <c r="K212" s="88">
        <v>0</v>
      </c>
      <c r="L212" s="89">
        <v>0</v>
      </c>
      <c r="M212" s="172">
        <v>0</v>
      </c>
      <c r="N212" s="90">
        <v>0</v>
      </c>
    </row>
    <row r="213" spans="1:14" ht="16.8">
      <c r="A213" s="86">
        <v>6</v>
      </c>
      <c r="B213" s="443"/>
      <c r="C213" s="75" t="s">
        <v>247</v>
      </c>
      <c r="E213" s="87">
        <v>53.000554975302876</v>
      </c>
      <c r="F213" s="88">
        <v>68.053208429157323</v>
      </c>
      <c r="G213" s="88">
        <v>82.254234605796668</v>
      </c>
      <c r="H213" s="88">
        <v>95.891001342750144</v>
      </c>
      <c r="I213" s="88">
        <v>104.78509285934528</v>
      </c>
      <c r="J213" s="88">
        <v>108.77780866232766</v>
      </c>
      <c r="K213" s="88">
        <v>114.49175151746932</v>
      </c>
      <c r="L213" s="89">
        <v>117.81067223114771</v>
      </c>
      <c r="M213" s="172">
        <v>0</v>
      </c>
      <c r="N213" s="90">
        <v>93.133040577912126</v>
      </c>
    </row>
    <row r="214" spans="1:14" ht="16.8">
      <c r="A214" s="86">
        <v>7</v>
      </c>
      <c r="B214" s="443"/>
      <c r="C214" s="75" t="s">
        <v>248</v>
      </c>
      <c r="E214" s="87">
        <v>25.597687944697277</v>
      </c>
      <c r="F214" s="88">
        <v>28.402873231010378</v>
      </c>
      <c r="G214" s="88">
        <v>30.327281876301544</v>
      </c>
      <c r="H214" s="88">
        <v>28.830408843528669</v>
      </c>
      <c r="I214" s="88">
        <v>26.600805821848581</v>
      </c>
      <c r="J214" s="88">
        <v>30.807262088600154</v>
      </c>
      <c r="K214" s="88">
        <v>31.160026938207565</v>
      </c>
      <c r="L214" s="89">
        <v>28.95136654970014</v>
      </c>
      <c r="M214" s="172">
        <v>230.67771329389433</v>
      </c>
      <c r="N214" s="90">
        <v>28.834714161736791</v>
      </c>
    </row>
    <row r="215" spans="1:14" ht="16.8">
      <c r="A215" s="86">
        <v>8</v>
      </c>
      <c r="B215" s="443"/>
      <c r="C215" s="75" t="s">
        <v>249</v>
      </c>
      <c r="E215" s="87">
        <v>-10.545034490842841</v>
      </c>
      <c r="F215" s="88">
        <v>-14.201847054371024</v>
      </c>
      <c r="G215" s="88">
        <v>-16.690515139348058</v>
      </c>
      <c r="H215" s="88">
        <v>-19.93631732693353</v>
      </c>
      <c r="I215" s="88">
        <v>-22.6080900188662</v>
      </c>
      <c r="J215" s="88">
        <v>-25.093319233458473</v>
      </c>
      <c r="K215" s="88">
        <v>-27.841106224529184</v>
      </c>
      <c r="L215" s="89">
        <v>-28.818049534884878</v>
      </c>
      <c r="M215" s="172">
        <v>-165.73427902323419</v>
      </c>
      <c r="N215" s="90">
        <v>-20.716784877904274</v>
      </c>
    </row>
    <row r="216" spans="1:14" ht="16.8">
      <c r="A216" s="86">
        <v>9</v>
      </c>
      <c r="B216" s="443"/>
      <c r="C216" s="75" t="s">
        <v>250</v>
      </c>
      <c r="E216" s="87">
        <v>68.053208429157323</v>
      </c>
      <c r="F216" s="88">
        <v>82.254234605796668</v>
      </c>
      <c r="G216" s="88">
        <v>95.891001342750144</v>
      </c>
      <c r="H216" s="88">
        <v>104.78509285934528</v>
      </c>
      <c r="I216" s="88">
        <v>108.77780866232766</v>
      </c>
      <c r="J216" s="88">
        <v>114.49175151746932</v>
      </c>
      <c r="K216" s="88">
        <v>117.81067223114771</v>
      </c>
      <c r="L216" s="186">
        <v>117.94398924596295</v>
      </c>
      <c r="M216" s="172">
        <v>0</v>
      </c>
      <c r="N216" s="90">
        <v>101.25096986174462</v>
      </c>
    </row>
    <row r="217" spans="1:14" ht="16.8">
      <c r="A217" s="80"/>
      <c r="B217" s="442"/>
      <c r="C217" s="81" t="s">
        <v>251</v>
      </c>
      <c r="E217" s="91">
        <v>0</v>
      </c>
      <c r="F217" s="92">
        <v>0</v>
      </c>
      <c r="G217" s="92">
        <v>0</v>
      </c>
      <c r="H217" s="92">
        <v>0</v>
      </c>
      <c r="I217" s="92">
        <v>0</v>
      </c>
      <c r="J217" s="92">
        <v>0</v>
      </c>
      <c r="K217" s="92">
        <v>0</v>
      </c>
      <c r="L217" s="93">
        <v>0</v>
      </c>
      <c r="M217" s="184">
        <v>0</v>
      </c>
      <c r="N217" s="94">
        <v>0</v>
      </c>
    </row>
    <row r="218" spans="1:14" ht="16.8">
      <c r="A218" s="86">
        <v>10</v>
      </c>
      <c r="B218" s="443"/>
      <c r="C218" s="75" t="s">
        <v>252</v>
      </c>
      <c r="E218" s="87">
        <v>53.201845223502282</v>
      </c>
      <c r="F218" s="88">
        <v>49.216910764481433</v>
      </c>
      <c r="G218" s="88">
        <v>47.400104616127415</v>
      </c>
      <c r="H218" s="88">
        <v>47.985029916447793</v>
      </c>
      <c r="I218" s="88">
        <v>45.882069994769701</v>
      </c>
      <c r="J218" s="88">
        <v>42.289132635887952</v>
      </c>
      <c r="K218" s="88">
        <v>42.507919174400172</v>
      </c>
      <c r="L218" s="89">
        <v>41.559488852106398</v>
      </c>
      <c r="M218" s="172">
        <v>370.04250117772312</v>
      </c>
      <c r="N218" s="90">
        <v>46.255312647215391</v>
      </c>
    </row>
    <row r="219" spans="1:14" ht="16.8">
      <c r="A219" s="86">
        <v>11</v>
      </c>
      <c r="B219" s="443"/>
      <c r="C219" s="75" t="s">
        <v>253</v>
      </c>
      <c r="E219" s="87">
        <v>0</v>
      </c>
      <c r="F219" s="88">
        <v>0</v>
      </c>
      <c r="G219" s="88">
        <v>0</v>
      </c>
      <c r="H219" s="88">
        <v>0</v>
      </c>
      <c r="I219" s="88">
        <v>0</v>
      </c>
      <c r="J219" s="88">
        <v>0</v>
      </c>
      <c r="K219" s="88">
        <v>0</v>
      </c>
      <c r="L219" s="89">
        <v>0</v>
      </c>
      <c r="M219" s="172">
        <v>0</v>
      </c>
      <c r="N219" s="90">
        <v>0</v>
      </c>
    </row>
    <row r="220" spans="1:14" ht="16.8">
      <c r="A220" s="86">
        <v>12</v>
      </c>
      <c r="B220" s="443"/>
      <c r="C220" s="75" t="s">
        <v>254</v>
      </c>
      <c r="E220" s="87">
        <v>10.545034490842841</v>
      </c>
      <c r="F220" s="88">
        <v>15.085767058982928</v>
      </c>
      <c r="G220" s="88">
        <v>17.717503602039272</v>
      </c>
      <c r="H220" s="88">
        <v>20.676395856230613</v>
      </c>
      <c r="I220" s="88">
        <v>23.325020499943864</v>
      </c>
      <c r="J220" s="88">
        <v>25.926130530046557</v>
      </c>
      <c r="K220" s="88">
        <v>27.88222184296994</v>
      </c>
      <c r="L220" s="89">
        <v>28.035747742989653</v>
      </c>
      <c r="M220" s="172">
        <v>169.19382162404565</v>
      </c>
      <c r="N220" s="90">
        <v>21.149227703005707</v>
      </c>
    </row>
    <row r="221" spans="1:14" ht="16.8">
      <c r="A221" s="86">
        <v>13</v>
      </c>
      <c r="B221" s="443"/>
      <c r="C221" s="75" t="s">
        <v>255</v>
      </c>
      <c r="E221" s="87">
        <v>2.71532887430656</v>
      </c>
      <c r="F221" s="88">
        <v>3.4800460320406099</v>
      </c>
      <c r="G221" s="88">
        <v>4.0154503003214259</v>
      </c>
      <c r="H221" s="88">
        <v>4.4148526331317184</v>
      </c>
      <c r="I221" s="88">
        <v>4.6753317846606652</v>
      </c>
      <c r="J221" s="88">
        <v>4.7508860321070223</v>
      </c>
      <c r="K221" s="88">
        <v>4.6843281404023367</v>
      </c>
      <c r="L221" s="89">
        <v>4.562746918621075</v>
      </c>
      <c r="M221" s="172">
        <v>33.298970715591416</v>
      </c>
      <c r="N221" s="90">
        <v>4.162371339448927</v>
      </c>
    </row>
    <row r="222" spans="1:14" ht="16.8">
      <c r="A222" s="86">
        <v>14</v>
      </c>
      <c r="B222" s="443"/>
      <c r="C222" s="75" t="s">
        <v>256</v>
      </c>
      <c r="E222" s="87">
        <v>0</v>
      </c>
      <c r="F222" s="88">
        <v>0</v>
      </c>
      <c r="G222" s="88">
        <v>0</v>
      </c>
      <c r="H222" s="88">
        <v>0</v>
      </c>
      <c r="I222" s="88">
        <v>0</v>
      </c>
      <c r="J222" s="88">
        <v>0</v>
      </c>
      <c r="K222" s="88">
        <v>0</v>
      </c>
      <c r="L222" s="89">
        <v>0</v>
      </c>
      <c r="M222" s="172">
        <v>0</v>
      </c>
      <c r="N222" s="90">
        <v>0</v>
      </c>
    </row>
    <row r="223" spans="1:14" ht="16.8">
      <c r="A223" s="86">
        <v>15</v>
      </c>
      <c r="B223" s="443"/>
      <c r="C223" s="75" t="s">
        <v>257</v>
      </c>
      <c r="E223" s="87">
        <v>-0.43181154987245485</v>
      </c>
      <c r="F223" s="88">
        <v>-0.39947195996305995</v>
      </c>
      <c r="G223" s="88">
        <v>-0.34734317043598018</v>
      </c>
      <c r="H223" s="88">
        <v>-0.3193206524905472</v>
      </c>
      <c r="I223" s="88">
        <v>-0.31265626882301373</v>
      </c>
      <c r="J223" s="88">
        <v>-0.30799379948941219</v>
      </c>
      <c r="K223" s="88">
        <v>-0.32570922921081308</v>
      </c>
      <c r="L223" s="89">
        <v>-0.31552026220892354</v>
      </c>
      <c r="M223" s="172">
        <v>-2.7598268924942051</v>
      </c>
      <c r="N223" s="90">
        <v>-0.34497836156177564</v>
      </c>
    </row>
    <row r="224" spans="1:14" ht="16.8">
      <c r="A224" s="86">
        <v>16</v>
      </c>
      <c r="B224" s="443"/>
      <c r="C224" s="75" t="s">
        <v>258</v>
      </c>
      <c r="E224" s="87">
        <v>5.0764622252258459E-2</v>
      </c>
      <c r="F224" s="88">
        <v>4.5939681659865533E-2</v>
      </c>
      <c r="G224" s="88">
        <v>4.0903649916555401E-2</v>
      </c>
      <c r="H224" s="88">
        <v>3.5647291784475482E-2</v>
      </c>
      <c r="I224" s="88">
        <v>3.0160967984117021E-2</v>
      </c>
      <c r="J224" s="88">
        <v>2.4434617517492901E-2</v>
      </c>
      <c r="K224" s="88">
        <v>1.8457739217953989E-2</v>
      </c>
      <c r="L224" s="89">
        <v>1.2219372492810243E-2</v>
      </c>
      <c r="M224" s="172">
        <v>0.25852794282552904</v>
      </c>
      <c r="N224" s="90">
        <v>3.2315992853191131E-2</v>
      </c>
    </row>
    <row r="225" spans="1:14" ht="16.8">
      <c r="A225" s="86">
        <v>17</v>
      </c>
      <c r="B225" s="443"/>
      <c r="C225" s="75" t="s">
        <v>259</v>
      </c>
      <c r="E225" s="87">
        <v>0.8125503950547055</v>
      </c>
      <c r="F225" s="88">
        <v>0</v>
      </c>
      <c r="G225" s="88">
        <v>0</v>
      </c>
      <c r="H225" s="88">
        <v>0</v>
      </c>
      <c r="I225" s="88">
        <v>0</v>
      </c>
      <c r="J225" s="88">
        <v>0</v>
      </c>
      <c r="K225" s="88">
        <v>0</v>
      </c>
      <c r="L225" s="89">
        <v>0</v>
      </c>
      <c r="M225" s="172">
        <v>0.8125503950547055</v>
      </c>
      <c r="N225" s="90">
        <v>0.10156879938183819</v>
      </c>
    </row>
    <row r="226" spans="1:14" ht="16.8">
      <c r="A226" s="80"/>
      <c r="B226" s="442"/>
      <c r="C226" s="81" t="s">
        <v>260</v>
      </c>
      <c r="E226" s="91"/>
      <c r="F226" s="92"/>
      <c r="G226" s="92"/>
      <c r="H226" s="92"/>
      <c r="I226" s="92"/>
      <c r="J226" s="92"/>
      <c r="K226" s="92"/>
      <c r="L226" s="93"/>
      <c r="M226" s="184"/>
      <c r="N226" s="94"/>
    </row>
    <row r="227" spans="1:14" ht="16.8">
      <c r="A227" s="86">
        <v>18</v>
      </c>
      <c r="B227" s="443"/>
      <c r="C227" s="75" t="s">
        <v>252</v>
      </c>
      <c r="E227" s="87">
        <v>47.791489594678033</v>
      </c>
      <c r="F227" s="88">
        <v>47.540638081851597</v>
      </c>
      <c r="G227" s="88">
        <v>50.761707097766759</v>
      </c>
      <c r="H227" s="88">
        <v>48.256245818312692</v>
      </c>
      <c r="I227" s="88">
        <v>44.524343434431046</v>
      </c>
      <c r="J227" s="88">
        <v>51.565096437068703</v>
      </c>
      <c r="K227" s="88">
        <v>52.155553110475765</v>
      </c>
      <c r="L227" s="89">
        <v>48.458704438802911</v>
      </c>
      <c r="M227" s="172">
        <v>391.0537780133875</v>
      </c>
      <c r="N227" s="90">
        <v>48.881722251673438</v>
      </c>
    </row>
    <row r="228" spans="1:14" ht="16.8">
      <c r="A228" s="86">
        <v>19</v>
      </c>
      <c r="B228" s="443"/>
      <c r="C228" s="75" t="s">
        <v>253</v>
      </c>
      <c r="E228" s="87">
        <v>0</v>
      </c>
      <c r="F228" s="88">
        <v>0</v>
      </c>
      <c r="G228" s="88">
        <v>0</v>
      </c>
      <c r="H228" s="88">
        <v>0</v>
      </c>
      <c r="I228" s="88">
        <v>0</v>
      </c>
      <c r="J228" s="88">
        <v>0</v>
      </c>
      <c r="K228" s="88">
        <v>0</v>
      </c>
      <c r="L228" s="89">
        <v>0</v>
      </c>
      <c r="M228" s="172">
        <v>0</v>
      </c>
      <c r="N228" s="90">
        <v>0</v>
      </c>
    </row>
    <row r="229" spans="1:14" ht="16.8">
      <c r="A229" s="86">
        <v>20</v>
      </c>
      <c r="B229" s="443"/>
      <c r="C229" s="75" t="s">
        <v>254</v>
      </c>
      <c r="E229" s="87">
        <v>10.545034490842841</v>
      </c>
      <c r="F229" s="88">
        <v>14.201847054371024</v>
      </c>
      <c r="G229" s="88">
        <v>16.690515139348058</v>
      </c>
      <c r="H229" s="88">
        <v>19.93631732693353</v>
      </c>
      <c r="I229" s="88">
        <v>22.6080900188662</v>
      </c>
      <c r="J229" s="88">
        <v>25.093319233458473</v>
      </c>
      <c r="K229" s="88">
        <v>27.841106224529184</v>
      </c>
      <c r="L229" s="89">
        <v>28.818049534884878</v>
      </c>
      <c r="M229" s="172">
        <v>165.73427902323419</v>
      </c>
      <c r="N229" s="90">
        <v>20.716784877904274</v>
      </c>
    </row>
    <row r="230" spans="1:14" ht="16.8">
      <c r="A230" s="86">
        <v>21</v>
      </c>
      <c r="B230" s="443"/>
      <c r="C230" s="75" t="s">
        <v>255</v>
      </c>
      <c r="E230" s="87">
        <v>2.5856519874024189</v>
      </c>
      <c r="F230" s="88">
        <v>3.1227757490219226</v>
      </c>
      <c r="G230" s="88">
        <v>3.6118966321221047</v>
      </c>
      <c r="H230" s="88">
        <v>3.9690559270793466</v>
      </c>
      <c r="I230" s="88">
        <v>4.1233900531688539</v>
      </c>
      <c r="J230" s="88">
        <v>4.1019885446582363</v>
      </c>
      <c r="K230" s="88">
        <v>4.0376540599281023</v>
      </c>
      <c r="L230" s="89">
        <v>4.0986349489353113</v>
      </c>
      <c r="M230" s="172">
        <v>29.6510479023163</v>
      </c>
      <c r="N230" s="90">
        <v>3.7063809877895375</v>
      </c>
    </row>
    <row r="231" spans="1:14" ht="16.8">
      <c r="A231" s="86">
        <v>22</v>
      </c>
      <c r="B231" s="443"/>
      <c r="C231" s="75" t="s">
        <v>256</v>
      </c>
      <c r="E231" s="87">
        <v>0</v>
      </c>
      <c r="F231" s="88">
        <v>0</v>
      </c>
      <c r="G231" s="88">
        <v>0</v>
      </c>
      <c r="H231" s="88">
        <v>0</v>
      </c>
      <c r="I231" s="88">
        <v>0</v>
      </c>
      <c r="J231" s="88">
        <v>0</v>
      </c>
      <c r="K231" s="88">
        <v>0</v>
      </c>
      <c r="L231" s="89">
        <v>0</v>
      </c>
      <c r="M231" s="172">
        <v>0</v>
      </c>
      <c r="N231" s="90">
        <v>0</v>
      </c>
    </row>
    <row r="232" spans="1:14" ht="16.8">
      <c r="A232" s="86">
        <v>23</v>
      </c>
      <c r="B232" s="443"/>
      <c r="C232" s="75" t="s">
        <v>257</v>
      </c>
      <c r="E232" s="87">
        <v>-0.43181154987245485</v>
      </c>
      <c r="F232" s="88">
        <v>-0.39947195996305995</v>
      </c>
      <c r="G232" s="88">
        <v>-0.34734317043598018</v>
      </c>
      <c r="H232" s="88">
        <v>-0.3193206524905472</v>
      </c>
      <c r="I232" s="88">
        <v>-0.31265626882301373</v>
      </c>
      <c r="J232" s="88">
        <v>-0.30799379948941219</v>
      </c>
      <c r="K232" s="88">
        <v>-0.32570922921081308</v>
      </c>
      <c r="L232" s="89">
        <v>-0.31552026220892354</v>
      </c>
      <c r="M232" s="172">
        <v>-2.7598268924942051</v>
      </c>
      <c r="N232" s="90">
        <v>-0.34497836156177564</v>
      </c>
    </row>
    <row r="233" spans="1:14" ht="16.8">
      <c r="A233" s="86">
        <v>24</v>
      </c>
      <c r="B233" s="443"/>
      <c r="C233" s="75" t="s">
        <v>258</v>
      </c>
      <c r="E233" s="87">
        <v>8.3082796001737652E-2</v>
      </c>
      <c r="F233" s="88">
        <v>7.976923323919452E-2</v>
      </c>
      <c r="G233" s="88">
        <v>0.75266180631023005</v>
      </c>
      <c r="H233" s="88">
        <v>0.74924415240021436</v>
      </c>
      <c r="I233" s="88">
        <v>0.74577657614235293</v>
      </c>
      <c r="J233" s="88">
        <v>1.3290209839409051</v>
      </c>
      <c r="K233" s="88">
        <v>1.3256617820097758</v>
      </c>
      <c r="L233" s="89">
        <v>1.3221837483103327</v>
      </c>
      <c r="M233" s="172">
        <v>6.3874010783547428</v>
      </c>
      <c r="N233" s="90">
        <v>0.79842513479434285</v>
      </c>
    </row>
    <row r="234" spans="1:14" ht="16.8">
      <c r="A234" s="86">
        <v>25</v>
      </c>
      <c r="B234" s="443"/>
      <c r="C234" s="75" t="s">
        <v>259</v>
      </c>
      <c r="E234" s="87">
        <v>1.1202426479507495</v>
      </c>
      <c r="F234" s="88">
        <v>0.12489219146906574</v>
      </c>
      <c r="G234" s="88">
        <v>0.55902249622441413</v>
      </c>
      <c r="H234" s="88">
        <v>0.44762373035181957</v>
      </c>
      <c r="I234" s="88">
        <v>0.50801235306137282</v>
      </c>
      <c r="J234" s="88">
        <v>1.7353188332670755</v>
      </c>
      <c r="K234" s="88">
        <v>2.0262572947266273</v>
      </c>
      <c r="L234" s="89">
        <v>1.449222145617586</v>
      </c>
      <c r="M234" s="172">
        <v>7.9705916926687106</v>
      </c>
      <c r="N234" s="90">
        <v>0.99632396158358882</v>
      </c>
    </row>
    <row r="235" spans="1:14" ht="16.8">
      <c r="A235" s="80"/>
      <c r="B235" s="442"/>
      <c r="C235" s="81" t="s">
        <v>261</v>
      </c>
      <c r="E235" s="91"/>
      <c r="F235" s="92"/>
      <c r="G235" s="92"/>
      <c r="H235" s="92"/>
      <c r="I235" s="92"/>
      <c r="J235" s="92"/>
      <c r="K235" s="92"/>
      <c r="L235" s="93"/>
      <c r="M235" s="91"/>
      <c r="N235" s="184"/>
    </row>
    <row r="236" spans="1:14" ht="16.8">
      <c r="A236" s="86">
        <v>26</v>
      </c>
      <c r="B236" s="443"/>
      <c r="C236" s="75" t="s">
        <v>262</v>
      </c>
      <c r="E236" s="87">
        <v>66.893712056086201</v>
      </c>
      <c r="F236" s="88">
        <v>67.429191577201763</v>
      </c>
      <c r="G236" s="88">
        <v>68.82661899796868</v>
      </c>
      <c r="H236" s="88">
        <v>72.79260504510404</v>
      </c>
      <c r="I236" s="88">
        <v>73.599926978535336</v>
      </c>
      <c r="J236" s="88">
        <v>72.682590016069625</v>
      </c>
      <c r="K236" s="88">
        <v>74.76721766777959</v>
      </c>
      <c r="L236" s="89">
        <v>73.854682624001015</v>
      </c>
      <c r="M236" s="172">
        <v>570.84654496274629</v>
      </c>
      <c r="N236" s="90">
        <v>71.355818120343287</v>
      </c>
    </row>
    <row r="237" spans="1:14" ht="16.8">
      <c r="A237" s="86">
        <v>27</v>
      </c>
      <c r="B237" s="443"/>
      <c r="C237" s="75" t="s">
        <v>312</v>
      </c>
      <c r="E237" s="87">
        <v>0</v>
      </c>
      <c r="F237" s="88">
        <v>-0.74723548170331355</v>
      </c>
      <c r="G237" s="88">
        <v>-13.787280588025247</v>
      </c>
      <c r="H237" s="88">
        <v>1.0011710527519853</v>
      </c>
      <c r="I237" s="88">
        <v>3.0471602441516268</v>
      </c>
      <c r="J237" s="88">
        <v>-7.3017659828011006E-2</v>
      </c>
      <c r="K237" s="88">
        <v>28.75184452629523</v>
      </c>
      <c r="L237" s="88">
        <v>0</v>
      </c>
      <c r="M237" s="172">
        <v>18.19264209364227</v>
      </c>
      <c r="N237" s="90">
        <v>2.2740802617052838</v>
      </c>
    </row>
    <row r="238" spans="1:14" ht="16.8">
      <c r="A238" s="86">
        <v>28</v>
      </c>
      <c r="B238" s="443"/>
      <c r="C238" s="75" t="s">
        <v>264</v>
      </c>
      <c r="E238" s="96">
        <v>66.893712056086201</v>
      </c>
      <c r="F238" s="88">
        <v>66.68195609549845</v>
      </c>
      <c r="G238" s="88">
        <v>55.039338409943433</v>
      </c>
      <c r="H238" s="88">
        <v>73.793776097856025</v>
      </c>
      <c r="I238" s="88">
        <v>76.647087222686963</v>
      </c>
      <c r="J238" s="88">
        <v>72.609572356241614</v>
      </c>
      <c r="K238" s="88">
        <v>103.51906219407482</v>
      </c>
      <c r="L238" s="88">
        <v>73.854682624001015</v>
      </c>
      <c r="M238" s="172">
        <v>589.03918705638853</v>
      </c>
      <c r="N238" s="90">
        <v>73.629898382048566</v>
      </c>
    </row>
    <row r="239" spans="1:14" ht="16.8">
      <c r="A239" s="86">
        <v>29</v>
      </c>
      <c r="B239" s="443"/>
      <c r="C239" s="75" t="s">
        <v>265</v>
      </c>
      <c r="E239" s="96">
        <v>0</v>
      </c>
      <c r="F239" s="88">
        <v>0</v>
      </c>
      <c r="G239" s="88">
        <v>0</v>
      </c>
      <c r="H239" s="88">
        <v>0</v>
      </c>
      <c r="I239" s="88">
        <v>0</v>
      </c>
      <c r="J239" s="88">
        <v>0</v>
      </c>
      <c r="K239" s="88">
        <v>0</v>
      </c>
      <c r="L239" s="88">
        <v>0</v>
      </c>
      <c r="M239" s="172">
        <v>0</v>
      </c>
      <c r="N239" s="90">
        <v>0</v>
      </c>
    </row>
    <row r="240" spans="1:14" ht="16.8">
      <c r="A240" s="86">
        <v>30</v>
      </c>
      <c r="B240" s="443"/>
      <c r="C240" s="75" t="s">
        <v>277</v>
      </c>
      <c r="E240" s="96">
        <v>94.224999999999994</v>
      </c>
      <c r="F240" s="88">
        <v>87.484999999999999</v>
      </c>
      <c r="G240" s="88">
        <v>79.322999999999993</v>
      </c>
      <c r="H240" s="88">
        <v>58.722999999999999</v>
      </c>
      <c r="I240" s="88">
        <v>3.3000000000000002E-2</v>
      </c>
      <c r="J240" s="88">
        <v>3.3000000000000002E-2</v>
      </c>
      <c r="K240" s="88">
        <v>0</v>
      </c>
      <c r="L240" s="88">
        <v>0</v>
      </c>
      <c r="M240" s="172">
        <v>319.822</v>
      </c>
      <c r="N240" s="90">
        <v>39.97775</v>
      </c>
    </row>
    <row r="241" spans="1:14" ht="16.8">
      <c r="A241" s="86">
        <v>31</v>
      </c>
      <c r="B241" s="443"/>
      <c r="C241" s="75" t="s">
        <v>266</v>
      </c>
      <c r="E241" s="96">
        <v>0</v>
      </c>
      <c r="F241" s="88">
        <v>0</v>
      </c>
      <c r="G241" s="88">
        <v>0</v>
      </c>
      <c r="H241" s="88">
        <v>0</v>
      </c>
      <c r="I241" s="88">
        <v>0</v>
      </c>
      <c r="J241" s="88">
        <v>0</v>
      </c>
      <c r="K241" s="88">
        <v>0</v>
      </c>
      <c r="L241" s="88">
        <v>0</v>
      </c>
      <c r="M241" s="172">
        <v>0</v>
      </c>
      <c r="N241" s="90">
        <v>0</v>
      </c>
    </row>
    <row r="242" spans="1:14" ht="16.8">
      <c r="A242" s="86">
        <v>32</v>
      </c>
      <c r="B242" s="443"/>
      <c r="C242" s="75" t="s">
        <v>267</v>
      </c>
      <c r="E242" s="96">
        <v>161.1187120560862</v>
      </c>
      <c r="F242" s="88">
        <v>154.16695609549845</v>
      </c>
      <c r="G242" s="88">
        <v>134.36233840994342</v>
      </c>
      <c r="H242" s="88">
        <v>132.51677609785602</v>
      </c>
      <c r="I242" s="88">
        <v>76.680087222686964</v>
      </c>
      <c r="J242" s="88">
        <v>72.642572356241615</v>
      </c>
      <c r="K242" s="88">
        <v>103.51906219407482</v>
      </c>
      <c r="L242" s="88">
        <v>73.854682624001015</v>
      </c>
      <c r="M242" s="172">
        <v>908.86118705638864</v>
      </c>
      <c r="N242" s="90">
        <v>113.60764838204858</v>
      </c>
    </row>
    <row r="243" spans="1:14" ht="16.8">
      <c r="A243" s="80"/>
      <c r="B243" s="442"/>
      <c r="C243" s="81" t="s">
        <v>268</v>
      </c>
      <c r="E243" s="91"/>
      <c r="F243" s="92"/>
      <c r="G243" s="92"/>
      <c r="H243" s="92"/>
      <c r="I243" s="92"/>
      <c r="J243" s="92"/>
      <c r="K243" s="92"/>
      <c r="L243" s="93"/>
      <c r="M243" s="91"/>
      <c r="N243" s="184"/>
    </row>
    <row r="244" spans="1:14" ht="16.8">
      <c r="A244" s="86">
        <v>33</v>
      </c>
      <c r="B244" s="443"/>
      <c r="C244" s="75" t="s">
        <v>268</v>
      </c>
      <c r="E244" s="87">
        <v>61.69368996700333</v>
      </c>
      <c r="F244" s="88">
        <v>64.670450349989736</v>
      </c>
      <c r="G244" s="88">
        <v>72.028460001335603</v>
      </c>
      <c r="H244" s="88">
        <v>73.039166302587063</v>
      </c>
      <c r="I244" s="88">
        <v>72.196956166846789</v>
      </c>
      <c r="J244" s="88">
        <v>83.516750232903988</v>
      </c>
      <c r="K244" s="88">
        <v>87.060523242458643</v>
      </c>
      <c r="L244" s="89">
        <v>83.831274554342102</v>
      </c>
      <c r="M244" s="172">
        <v>598.03727081746729</v>
      </c>
      <c r="N244" s="90">
        <v>74.754658852183411</v>
      </c>
    </row>
    <row r="245" spans="1:14" ht="16.8">
      <c r="A245" s="86">
        <v>34</v>
      </c>
      <c r="B245" s="443"/>
      <c r="C245" s="75" t="s">
        <v>269</v>
      </c>
      <c r="E245" s="87">
        <v>61.700796457816757</v>
      </c>
      <c r="F245" s="88">
        <v>64.664700302156106</v>
      </c>
      <c r="G245" s="88">
        <v>71.188832943008734</v>
      </c>
      <c r="H245" s="88">
        <v>71.82030202524102</v>
      </c>
      <c r="I245" s="88">
        <v>69.395845960375354</v>
      </c>
      <c r="J245" s="88">
        <v>72.825139528207629</v>
      </c>
      <c r="K245" s="88">
        <v>77.228979422381826</v>
      </c>
      <c r="L245" s="89">
        <v>75.080497038060713</v>
      </c>
      <c r="M245" s="172">
        <v>563.90509367724815</v>
      </c>
      <c r="N245" s="90">
        <v>70.488136709656018</v>
      </c>
    </row>
    <row r="246" spans="1:14" ht="16.8">
      <c r="A246" s="80"/>
      <c r="B246" s="442"/>
      <c r="C246" s="81" t="s">
        <v>270</v>
      </c>
      <c r="E246" s="91">
        <v>0</v>
      </c>
      <c r="F246" s="92">
        <v>0</v>
      </c>
      <c r="G246" s="92">
        <v>0</v>
      </c>
      <c r="H246" s="92">
        <v>0</v>
      </c>
      <c r="I246" s="92">
        <v>0</v>
      </c>
      <c r="J246" s="92">
        <v>0</v>
      </c>
      <c r="K246" s="92">
        <v>0</v>
      </c>
      <c r="L246" s="93">
        <v>0</v>
      </c>
      <c r="M246" s="91">
        <v>0</v>
      </c>
      <c r="N246" s="184">
        <v>0</v>
      </c>
    </row>
    <row r="247" spans="1:14" ht="16.8">
      <c r="A247" s="86">
        <v>35</v>
      </c>
      <c r="B247" s="443"/>
      <c r="C247" s="98">
        <v>41729</v>
      </c>
      <c r="E247" s="96">
        <v>66.893712056086201</v>
      </c>
      <c r="F247" s="88">
        <v>67.429191577201763</v>
      </c>
      <c r="G247" s="88">
        <v>68.82661899796868</v>
      </c>
      <c r="H247" s="88">
        <v>72.79260504510404</v>
      </c>
      <c r="I247" s="88">
        <v>73.599926978535336</v>
      </c>
      <c r="J247" s="88">
        <v>72.682590016069625</v>
      </c>
      <c r="K247" s="88">
        <v>74.76721766777959</v>
      </c>
      <c r="L247" s="88">
        <v>73.854682624001015</v>
      </c>
      <c r="M247" s="172">
        <v>570.84654496274629</v>
      </c>
      <c r="N247" s="90">
        <v>71.355818120343287</v>
      </c>
    </row>
    <row r="248" spans="1:14" ht="16.8">
      <c r="A248" s="86">
        <v>36</v>
      </c>
      <c r="B248" s="443"/>
      <c r="C248" s="98">
        <v>42094</v>
      </c>
      <c r="E248" s="96">
        <v>66.796735883512227</v>
      </c>
      <c r="F248" s="88">
        <v>66.783174975622529</v>
      </c>
      <c r="G248" s="88">
        <v>68.182623498776877</v>
      </c>
      <c r="H248" s="88">
        <v>72.15443075945754</v>
      </c>
      <c r="I248" s="88">
        <v>72.971424921021438</v>
      </c>
      <c r="J248" s="88">
        <v>72.068903992562696</v>
      </c>
      <c r="K248" s="88">
        <v>74.172338586378103</v>
      </c>
      <c r="L248" s="88">
        <v>73.280139063951196</v>
      </c>
      <c r="M248" s="172">
        <v>566.40977168128256</v>
      </c>
      <c r="N248" s="90">
        <v>70.80122146016032</v>
      </c>
    </row>
    <row r="249" spans="1:14" ht="16.8">
      <c r="A249" s="86">
        <v>37</v>
      </c>
      <c r="B249" s="443"/>
      <c r="C249" s="98">
        <v>42460</v>
      </c>
      <c r="E249" s="96">
        <v>56.072237526593305</v>
      </c>
      <c r="F249" s="88">
        <v>65.879521568407782</v>
      </c>
      <c r="G249" s="88">
        <v>67.650824291300381</v>
      </c>
      <c r="H249" s="88">
        <v>71.653542758445468</v>
      </c>
      <c r="I249" s="88">
        <v>72.504852690916707</v>
      </c>
      <c r="J249" s="88">
        <v>71.641157721995995</v>
      </c>
      <c r="K249" s="88">
        <v>73.786951437896022</v>
      </c>
      <c r="L249" s="88">
        <v>73.363944740522044</v>
      </c>
      <c r="M249" s="172">
        <v>552.55303273607774</v>
      </c>
      <c r="N249" s="90">
        <v>69.069129092009717</v>
      </c>
    </row>
    <row r="250" spans="1:14" ht="16.8">
      <c r="A250" s="86">
        <v>38</v>
      </c>
      <c r="B250" s="443"/>
      <c r="C250" s="98">
        <v>42825</v>
      </c>
      <c r="E250" s="96">
        <v>60.674058064698116</v>
      </c>
      <c r="F250" s="88">
        <v>63.235277253687492</v>
      </c>
      <c r="G250" s="88">
        <v>67.598571668977101</v>
      </c>
      <c r="H250" s="88">
        <v>71.504272869027488</v>
      </c>
      <c r="I250" s="88">
        <v>72.349284730862379</v>
      </c>
      <c r="J250" s="88">
        <v>71.483701912443678</v>
      </c>
      <c r="K250" s="88">
        <v>73.896764020246806</v>
      </c>
      <c r="L250" s="88">
        <v>73.550914623963251</v>
      </c>
      <c r="M250" s="172">
        <v>554.29284514390633</v>
      </c>
      <c r="N250" s="90">
        <v>69.286605642988292</v>
      </c>
    </row>
    <row r="251" spans="1:14" ht="16.8">
      <c r="A251" s="86">
        <v>39</v>
      </c>
      <c r="B251" s="443"/>
      <c r="C251" s="98">
        <v>43190</v>
      </c>
      <c r="E251" s="96">
        <v>61.631001083027449</v>
      </c>
      <c r="F251" s="88">
        <v>64.580050668098323</v>
      </c>
      <c r="G251" s="88">
        <v>71.067319227436826</v>
      </c>
      <c r="H251" s="88">
        <v>72.289647688351081</v>
      </c>
      <c r="I251" s="88">
        <v>69.424509509752369</v>
      </c>
      <c r="J251" s="88">
        <v>72.388898337783473</v>
      </c>
      <c r="K251" s="88">
        <v>76.412735900188977</v>
      </c>
      <c r="L251" s="88">
        <v>74.688497080108618</v>
      </c>
      <c r="M251" s="172">
        <v>562.48265949474717</v>
      </c>
      <c r="N251" s="90">
        <v>70.310332436843396</v>
      </c>
    </row>
    <row r="252" spans="1:14" ht="16.8">
      <c r="A252" s="86">
        <v>40</v>
      </c>
      <c r="B252" s="443"/>
      <c r="C252" s="98">
        <v>43555</v>
      </c>
      <c r="E252" s="96">
        <v>61.700796457816757</v>
      </c>
      <c r="F252" s="88">
        <v>64.664700302156106</v>
      </c>
      <c r="G252" s="88">
        <v>71.188832943008734</v>
      </c>
      <c r="H252" s="88">
        <v>71.82030202524102</v>
      </c>
      <c r="I252" s="88">
        <v>69.395845960375354</v>
      </c>
      <c r="J252" s="88">
        <v>72.825139528207629</v>
      </c>
      <c r="K252" s="88">
        <v>77.228979422381826</v>
      </c>
      <c r="L252" s="88">
        <v>75.080497038060713</v>
      </c>
      <c r="M252" s="172">
        <v>563.90509367724815</v>
      </c>
      <c r="N252" s="90">
        <v>70.488136709656018</v>
      </c>
    </row>
    <row r="253" spans="1:14" ht="16.8">
      <c r="A253" s="86">
        <v>41</v>
      </c>
      <c r="B253" s="443"/>
      <c r="C253" s="98">
        <v>43921</v>
      </c>
      <c r="E253" s="96">
        <v>61.69368996700333</v>
      </c>
      <c r="F253" s="88">
        <v>64.670450349989736</v>
      </c>
      <c r="G253" s="88">
        <v>72.028460001335603</v>
      </c>
      <c r="H253" s="88">
        <v>73.039166302587063</v>
      </c>
      <c r="I253" s="88">
        <v>72.196956166846789</v>
      </c>
      <c r="J253" s="88">
        <v>83.516750232903988</v>
      </c>
      <c r="K253" s="88">
        <v>87.060523242458643</v>
      </c>
      <c r="L253" s="88">
        <v>83.831274554342102</v>
      </c>
      <c r="M253" s="172">
        <v>598.03727081746729</v>
      </c>
      <c r="N253" s="90">
        <v>74.754658852183411</v>
      </c>
    </row>
    <row r="254" spans="1:14" ht="17.399999999999999" thickBot="1">
      <c r="A254" s="103">
        <v>42</v>
      </c>
      <c r="B254" s="444"/>
      <c r="C254" s="211">
        <v>44286</v>
      </c>
      <c r="E254" s="214" t="s">
        <v>455</v>
      </c>
      <c r="F254" s="106" t="s">
        <v>455</v>
      </c>
      <c r="G254" s="106" t="s">
        <v>455</v>
      </c>
      <c r="H254" s="106" t="s">
        <v>455</v>
      </c>
      <c r="I254" s="106" t="s">
        <v>455</v>
      </c>
      <c r="J254" s="106" t="s">
        <v>455</v>
      </c>
      <c r="K254" s="106" t="s">
        <v>455</v>
      </c>
      <c r="L254" s="106" t="s">
        <v>455</v>
      </c>
      <c r="M254" s="215">
        <v>0</v>
      </c>
      <c r="N254" s="108">
        <v>0</v>
      </c>
    </row>
    <row r="255" spans="1:14" ht="16.8">
      <c r="A255" s="80"/>
      <c r="B255" s="442"/>
      <c r="C255" s="81" t="s">
        <v>313</v>
      </c>
      <c r="E255" s="91"/>
      <c r="F255" s="92"/>
      <c r="G255" s="92"/>
      <c r="H255" s="92"/>
      <c r="I255" s="92"/>
      <c r="J255" s="97"/>
      <c r="K255" s="92"/>
      <c r="L255" s="93"/>
      <c r="M255" s="95"/>
      <c r="N255" s="184"/>
    </row>
    <row r="256" spans="1:14" ht="16.8">
      <c r="A256" s="86">
        <v>43</v>
      </c>
      <c r="B256" s="443"/>
      <c r="C256" s="98">
        <v>41729</v>
      </c>
      <c r="E256" s="96">
        <v>0</v>
      </c>
      <c r="F256" s="88">
        <v>0</v>
      </c>
      <c r="G256" s="88">
        <v>0</v>
      </c>
      <c r="H256" s="88">
        <v>0</v>
      </c>
      <c r="I256" s="88">
        <v>0</v>
      </c>
      <c r="J256" s="88">
        <v>0</v>
      </c>
      <c r="K256" s="88">
        <v>0</v>
      </c>
      <c r="L256" s="89">
        <v>0</v>
      </c>
      <c r="M256" s="90">
        <v>0</v>
      </c>
      <c r="N256" s="90">
        <v>0</v>
      </c>
    </row>
    <row r="257" spans="1:14" ht="16.8">
      <c r="A257" s="86">
        <v>44</v>
      </c>
      <c r="B257" s="443"/>
      <c r="C257" s="98">
        <v>42094</v>
      </c>
      <c r="E257" s="96">
        <v>0</v>
      </c>
      <c r="F257" s="88">
        <v>-0.74723548170331355</v>
      </c>
      <c r="G257" s="88">
        <v>0</v>
      </c>
      <c r="H257" s="88">
        <v>0</v>
      </c>
      <c r="I257" s="88">
        <v>0</v>
      </c>
      <c r="J257" s="88">
        <v>0</v>
      </c>
      <c r="K257" s="88">
        <v>0</v>
      </c>
      <c r="L257" s="89">
        <v>0</v>
      </c>
      <c r="M257" s="90">
        <v>-0.74723548170331355</v>
      </c>
      <c r="N257" s="90">
        <v>0</v>
      </c>
    </row>
    <row r="258" spans="1:14" ht="16.8">
      <c r="A258" s="86">
        <v>45</v>
      </c>
      <c r="B258" s="443"/>
      <c r="C258" s="98">
        <v>42460</v>
      </c>
      <c r="E258" s="96">
        <v>0</v>
      </c>
      <c r="F258" s="88">
        <v>-0.74723548170331355</v>
      </c>
      <c r="G258" s="88">
        <v>-13.787280588025247</v>
      </c>
      <c r="H258" s="88">
        <v>0</v>
      </c>
      <c r="I258" s="88">
        <v>0</v>
      </c>
      <c r="J258" s="88">
        <v>0</v>
      </c>
      <c r="K258" s="88">
        <v>0</v>
      </c>
      <c r="L258" s="89">
        <v>0</v>
      </c>
      <c r="M258" s="90">
        <v>-14.534516069728561</v>
      </c>
      <c r="N258" s="90">
        <v>0</v>
      </c>
    </row>
    <row r="259" spans="1:14" ht="16.8">
      <c r="A259" s="86">
        <v>46</v>
      </c>
      <c r="B259" s="443"/>
      <c r="C259" s="98">
        <v>42825</v>
      </c>
      <c r="E259" s="96">
        <v>0</v>
      </c>
      <c r="F259" s="88">
        <v>-0.74723548170331355</v>
      </c>
      <c r="G259" s="88">
        <v>-13.787280588025247</v>
      </c>
      <c r="H259" s="88">
        <v>1.0011710527519853</v>
      </c>
      <c r="I259" s="88">
        <v>0</v>
      </c>
      <c r="J259" s="88">
        <v>0</v>
      </c>
      <c r="K259" s="88">
        <v>0</v>
      </c>
      <c r="L259" s="89">
        <v>0</v>
      </c>
      <c r="M259" s="90">
        <v>-13.533345016976575</v>
      </c>
      <c r="N259" s="90">
        <v>0</v>
      </c>
    </row>
    <row r="260" spans="1:14" ht="16.8">
      <c r="A260" s="86">
        <v>47</v>
      </c>
      <c r="B260" s="443"/>
      <c r="C260" s="98">
        <v>43190</v>
      </c>
      <c r="E260" s="96">
        <v>0</v>
      </c>
      <c r="F260" s="88">
        <v>-0.74723548170331355</v>
      </c>
      <c r="G260" s="88">
        <v>-13.787280588025247</v>
      </c>
      <c r="H260" s="88">
        <v>1.0011710527519853</v>
      </c>
      <c r="I260" s="88">
        <v>3.0471602441516268</v>
      </c>
      <c r="J260" s="88">
        <v>0</v>
      </c>
      <c r="K260" s="88">
        <v>0</v>
      </c>
      <c r="L260" s="89">
        <v>0</v>
      </c>
      <c r="M260" s="90">
        <v>-10.486184772824949</v>
      </c>
      <c r="N260" s="90">
        <v>0</v>
      </c>
    </row>
    <row r="261" spans="1:14" ht="16.8">
      <c r="A261" s="86">
        <v>48</v>
      </c>
      <c r="B261" s="443"/>
      <c r="C261" s="98">
        <v>43555</v>
      </c>
      <c r="E261" s="96">
        <v>0</v>
      </c>
      <c r="F261" s="88">
        <v>-0.74723548170331355</v>
      </c>
      <c r="G261" s="88">
        <v>-13.787280588025247</v>
      </c>
      <c r="H261" s="88">
        <v>1.0011710527519853</v>
      </c>
      <c r="I261" s="88">
        <v>3.0471602441516268</v>
      </c>
      <c r="J261" s="88">
        <v>-7.3017659828011006E-2</v>
      </c>
      <c r="K261" s="88">
        <v>0</v>
      </c>
      <c r="L261" s="89">
        <v>0</v>
      </c>
      <c r="M261" s="90">
        <v>-10.55920243265296</v>
      </c>
      <c r="N261" s="90">
        <v>0</v>
      </c>
    </row>
    <row r="262" spans="1:14" ht="16.8">
      <c r="A262" s="86">
        <v>49</v>
      </c>
      <c r="B262" s="443"/>
      <c r="C262" s="98">
        <v>43921</v>
      </c>
      <c r="E262" s="96">
        <v>0</v>
      </c>
      <c r="F262" s="88">
        <v>-0.74723548170331355</v>
      </c>
      <c r="G262" s="88">
        <v>-13.787280588025247</v>
      </c>
      <c r="H262" s="88">
        <v>1.0011710527519853</v>
      </c>
      <c r="I262" s="88">
        <v>3.0471602441516268</v>
      </c>
      <c r="J262" s="88">
        <v>-7.3017659828011006E-2</v>
      </c>
      <c r="K262" s="88">
        <v>28.75184452629523</v>
      </c>
      <c r="L262" s="89">
        <v>0</v>
      </c>
      <c r="M262" s="90">
        <v>18.19264209364227</v>
      </c>
      <c r="N262" s="90">
        <v>0</v>
      </c>
    </row>
    <row r="263" spans="1:14" ht="16.8">
      <c r="A263" s="86">
        <v>50</v>
      </c>
      <c r="B263" s="443"/>
      <c r="C263" s="98">
        <v>44286</v>
      </c>
      <c r="E263" s="96" t="s">
        <v>455</v>
      </c>
      <c r="F263" s="88" t="s">
        <v>455</v>
      </c>
      <c r="G263" s="88" t="s">
        <v>455</v>
      </c>
      <c r="H263" s="88" t="s">
        <v>455</v>
      </c>
      <c r="I263" s="88" t="s">
        <v>455</v>
      </c>
      <c r="J263" s="88" t="s">
        <v>455</v>
      </c>
      <c r="K263" s="88" t="s">
        <v>455</v>
      </c>
      <c r="L263" s="89" t="s">
        <v>455</v>
      </c>
      <c r="M263" s="90">
        <v>0</v>
      </c>
      <c r="N263" s="90">
        <v>0</v>
      </c>
    </row>
    <row r="264" spans="1:14" ht="16.8">
      <c r="A264" s="80"/>
      <c r="B264" s="442"/>
      <c r="C264" s="81" t="s">
        <v>314</v>
      </c>
      <c r="E264" s="91"/>
      <c r="F264" s="92"/>
      <c r="G264" s="92"/>
      <c r="H264" s="92"/>
      <c r="I264" s="92"/>
      <c r="J264" s="97"/>
      <c r="K264" s="92"/>
      <c r="L264" s="93"/>
      <c r="M264" s="91"/>
      <c r="N264" s="184"/>
    </row>
    <row r="265" spans="1:14" ht="16.8">
      <c r="A265" s="86">
        <v>51</v>
      </c>
      <c r="B265" s="443"/>
      <c r="C265" s="75" t="s">
        <v>273</v>
      </c>
      <c r="E265" s="87">
        <v>59.100616854912431</v>
      </c>
      <c r="F265" s="88">
        <v>73.47707644757466</v>
      </c>
      <c r="G265" s="88">
        <v>87.16492626539015</v>
      </c>
      <c r="H265" s="88">
        <v>98.304790763575141</v>
      </c>
      <c r="I265" s="88">
        <v>104.72101722333598</v>
      </c>
      <c r="J265" s="88">
        <v>109.5689761511382</v>
      </c>
      <c r="K265" s="88">
        <v>114.13863066934564</v>
      </c>
      <c r="L265" s="89">
        <v>115.86247205470845</v>
      </c>
      <c r="M265" s="90">
        <v>762.33850642998061</v>
      </c>
      <c r="N265" s="90">
        <v>95.292313303747576</v>
      </c>
    </row>
    <row r="266" spans="1:14" ht="16.8">
      <c r="A266" s="86">
        <v>52</v>
      </c>
      <c r="B266" s="443"/>
      <c r="C266" s="75" t="s">
        <v>26</v>
      </c>
      <c r="E266" s="216">
        <v>0.625</v>
      </c>
      <c r="F266" s="217">
        <v>0.625</v>
      </c>
      <c r="G266" s="217">
        <v>0.625</v>
      </c>
      <c r="H266" s="217">
        <v>0.625</v>
      </c>
      <c r="I266" s="217">
        <v>0.625</v>
      </c>
      <c r="J266" s="217">
        <v>0.625</v>
      </c>
      <c r="K266" s="217">
        <v>0.625</v>
      </c>
      <c r="L266" s="218">
        <v>0.625</v>
      </c>
      <c r="M266" s="219">
        <v>0.625</v>
      </c>
      <c r="N266" s="219">
        <v>0.625</v>
      </c>
    </row>
    <row r="267" spans="1:14" ht="16.8">
      <c r="A267" s="86">
        <v>53</v>
      </c>
      <c r="B267" s="443"/>
      <c r="C267" s="75" t="s">
        <v>274</v>
      </c>
      <c r="E267" s="87">
        <v>22.162731320592162</v>
      </c>
      <c r="F267" s="88">
        <v>27.553903667840498</v>
      </c>
      <c r="G267" s="88">
        <v>32.686847349521308</v>
      </c>
      <c r="H267" s="88">
        <v>36.864296536340674</v>
      </c>
      <c r="I267" s="88">
        <v>39.27038145875099</v>
      </c>
      <c r="J267" s="88">
        <v>41.088366056676826</v>
      </c>
      <c r="K267" s="88">
        <v>42.80198650100462</v>
      </c>
      <c r="L267" s="89">
        <v>43.448427020515666</v>
      </c>
      <c r="M267" s="90">
        <v>285.87693991124274</v>
      </c>
      <c r="N267" s="90">
        <v>35.734617488905343</v>
      </c>
    </row>
    <row r="268" spans="1:14" ht="16.8">
      <c r="A268" s="86">
        <v>54</v>
      </c>
      <c r="B268" s="443"/>
      <c r="C268" s="75" t="s">
        <v>275</v>
      </c>
      <c r="E268" s="87">
        <v>1.0785862576021519</v>
      </c>
      <c r="F268" s="88">
        <v>1.2491102996087691</v>
      </c>
      <c r="G268" s="88">
        <v>1.3891910123546554</v>
      </c>
      <c r="H268" s="88">
        <v>1.4622837626081804</v>
      </c>
      <c r="I268" s="88">
        <v>1.4530041139737868</v>
      </c>
      <c r="J268" s="88">
        <v>1.3079796528042122</v>
      </c>
      <c r="K268" s="88">
        <v>1.1271189778597883</v>
      </c>
      <c r="L268" s="89">
        <v>1.144141911540246</v>
      </c>
      <c r="M268" s="90">
        <v>10.21141598835179</v>
      </c>
      <c r="N268" s="90">
        <v>1.2764269985439738</v>
      </c>
    </row>
    <row r="269" spans="1:14" ht="17.399999999999999" thickBot="1">
      <c r="A269" s="103">
        <v>55</v>
      </c>
      <c r="B269" s="444"/>
      <c r="C269" s="104" t="s">
        <v>276</v>
      </c>
      <c r="E269" s="105">
        <v>1.507065729800267</v>
      </c>
      <c r="F269" s="106">
        <v>1.8736654494131535</v>
      </c>
      <c r="G269" s="106">
        <v>2.2227056197674493</v>
      </c>
      <c r="H269" s="106">
        <v>2.5067721644711662</v>
      </c>
      <c r="I269" s="106">
        <v>2.6703859391950671</v>
      </c>
      <c r="J269" s="106">
        <v>2.7940088918540242</v>
      </c>
      <c r="K269" s="106">
        <v>2.9105350820683142</v>
      </c>
      <c r="L269" s="107">
        <v>2.9544930373950651</v>
      </c>
      <c r="M269" s="108">
        <v>19.439631913964504</v>
      </c>
      <c r="N269" s="108">
        <v>2.4299539892455631</v>
      </c>
    </row>
    <row r="274" spans="3:12">
      <c r="C274" t="s">
        <v>315</v>
      </c>
      <c r="E274" s="173">
        <v>26.481374584366876</v>
      </c>
    </row>
    <row r="275" spans="3:12">
      <c r="C275" t="s">
        <v>316</v>
      </c>
      <c r="E275" s="173">
        <v>-2.9550550399825672</v>
      </c>
    </row>
    <row r="281" spans="3:12">
      <c r="C281" t="s">
        <v>317</v>
      </c>
      <c r="D281" s="354"/>
      <c r="E281" s="354">
        <v>4.3749999999999997E-2</v>
      </c>
      <c r="F281" s="354">
        <v>4.2499999999999996E-2</v>
      </c>
      <c r="G281" s="354">
        <v>4.1437500000000002E-2</v>
      </c>
      <c r="H281" s="354">
        <v>4.0375000000000001E-2</v>
      </c>
      <c r="I281" s="354">
        <v>3.9375E-2</v>
      </c>
      <c r="J281" s="354">
        <v>3.7437499999999999E-2</v>
      </c>
      <c r="K281" s="354">
        <v>3.5375000000000004E-2</v>
      </c>
      <c r="L281" s="354">
        <v>3.5375000000000004E-2</v>
      </c>
    </row>
    <row r="282" spans="3:12">
      <c r="C282" t="s">
        <v>318</v>
      </c>
      <c r="D282" s="354"/>
      <c r="E282" s="354">
        <f>1/((1+E281)^0.5)</f>
        <v>0.97881756846479273</v>
      </c>
      <c r="F282" s="354">
        <f t="shared" ref="F282:L282" si="40">1/((1+F281)^0.5)</f>
        <v>0.97940421374878361</v>
      </c>
      <c r="G282" s="354">
        <f t="shared" si="40"/>
        <v>0.97990369244851017</v>
      </c>
      <c r="H282" s="354">
        <f t="shared" si="40"/>
        <v>0.98040393610421173</v>
      </c>
      <c r="I282" s="354">
        <f t="shared" si="40"/>
        <v>0.98087545419620847</v>
      </c>
      <c r="J282" s="354">
        <f t="shared" si="40"/>
        <v>0.98179095980986875</v>
      </c>
      <c r="K282" s="354">
        <f t="shared" si="40"/>
        <v>0.98276835274460494</v>
      </c>
      <c r="L282" s="354">
        <f t="shared" si="40"/>
        <v>0.98276835274460494</v>
      </c>
    </row>
    <row r="283" spans="3:12">
      <c r="C283" t="s">
        <v>319</v>
      </c>
      <c r="D283" s="354"/>
      <c r="E283" s="354">
        <f>1/(1+E281)</f>
        <v>0.95808383233532934</v>
      </c>
      <c r="F283" s="354">
        <f t="shared" ref="F283:I283" si="41">1/(1+F281)</f>
        <v>0.95923261390887293</v>
      </c>
      <c r="G283" s="354">
        <f t="shared" si="41"/>
        <v>0.96021124647422429</v>
      </c>
      <c r="H283" s="354">
        <f t="shared" si="41"/>
        <v>0.96119187792863148</v>
      </c>
      <c r="I283" s="354">
        <f t="shared" si="41"/>
        <v>0.96211665664461821</v>
      </c>
      <c r="J283" s="354">
        <f>1/(1+J281)</f>
        <v>0.96391348876438343</v>
      </c>
    </row>
    <row r="284" spans="3:12">
      <c r="C284" t="s">
        <v>320</v>
      </c>
      <c r="D284" s="354"/>
      <c r="E284" s="354">
        <f>E282</f>
        <v>0.97881756846479273</v>
      </c>
      <c r="F284" s="354">
        <f>E283*F282</f>
        <v>0.9383513425138047</v>
      </c>
      <c r="G284" s="354">
        <f t="shared" ref="G284:I284" si="42">F283*G282</f>
        <v>0.93995558028634074</v>
      </c>
      <c r="H284" s="354">
        <f t="shared" si="42"/>
        <v>0.94139488553486084</v>
      </c>
      <c r="I284" s="354">
        <f t="shared" si="42"/>
        <v>0.94280951983295302</v>
      </c>
      <c r="J284" s="354">
        <f>J282</f>
        <v>0.98179095980986875</v>
      </c>
    </row>
    <row r="285" spans="3:12">
      <c r="C285" t="s">
        <v>321</v>
      </c>
      <c r="D285" s="354"/>
      <c r="E285" s="354">
        <f>1+E281</f>
        <v>1.04375</v>
      </c>
      <c r="F285" s="354">
        <f t="shared" ref="F285:I285" si="43">1+F281</f>
        <v>1.0425</v>
      </c>
      <c r="G285" s="354">
        <f t="shared" si="43"/>
        <v>1.0414375</v>
      </c>
      <c r="H285" s="354">
        <f t="shared" si="43"/>
        <v>1.040375</v>
      </c>
      <c r="I285">
        <f t="shared" si="43"/>
        <v>1.0393749999999999</v>
      </c>
      <c r="J285" s="354">
        <f>1+J281</f>
        <v>1.0374375</v>
      </c>
    </row>
    <row r="286" spans="3:12">
      <c r="C286" t="s">
        <v>404</v>
      </c>
      <c r="D286" s="354"/>
      <c r="E286" s="473">
        <f>PRODUCT(E285:J285)</f>
        <v>1.2712468221374154</v>
      </c>
      <c r="F286" s="473">
        <f>PRODUCT(F285:J285)</f>
        <v>1.2179610271975239</v>
      </c>
      <c r="G286" s="473">
        <f>PRODUCT(G285:J285)</f>
        <v>1.1683079397578164</v>
      </c>
      <c r="H286" s="473">
        <f>PRODUCT(H285:J285)</f>
        <v>1.1218224231005858</v>
      </c>
      <c r="I286" s="473">
        <f>PRODUCT(I285:J285)</f>
        <v>1.0782866015624999</v>
      </c>
      <c r="J286" s="473">
        <f>PRODUCT(J285)</f>
        <v>1.0374375</v>
      </c>
    </row>
  </sheetData>
  <pageMargins left="0.7" right="0.7" top="0.75" bottom="0.75" header="0.3" footer="0.3"/>
  <pageSetup paperSize="9" orientation="portrait" r:id="rId1"/>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5A4C-5C9E-47EE-8EC9-163406BBBB86}">
  <sheetPr>
    <tabColor theme="7" tint="0.59999389629810485"/>
  </sheetPr>
  <dimension ref="A1:Y267"/>
  <sheetViews>
    <sheetView zoomScale="70" zoomScaleNormal="70" workbookViewId="0">
      <pane xSplit="2" ySplit="4" topLeftCell="D114" activePane="bottomRight" state="frozen"/>
      <selection pane="topRight" activeCell="C188" sqref="C188:D188"/>
      <selection pane="bottomLeft" activeCell="C188" sqref="C188:D188"/>
      <selection pane="bottomRight" activeCell="C188" sqref="C188:D188"/>
    </sheetView>
  </sheetViews>
  <sheetFormatPr defaultRowHeight="13.2"/>
  <cols>
    <col min="1" max="1" width="3" customWidth="1"/>
    <col min="2" max="2" width="54.5546875" customWidth="1"/>
    <col min="3" max="3" width="1.88671875" customWidth="1"/>
    <col min="4" max="11" width="12.109375" customWidth="1"/>
    <col min="12" max="12" width="10.109375" customWidth="1"/>
    <col min="13" max="13" width="20.109375" customWidth="1"/>
    <col min="22" max="22" width="10.109375" customWidth="1"/>
  </cols>
  <sheetData>
    <row r="1" spans="1:22">
      <c r="M1" t="s">
        <v>196</v>
      </c>
      <c r="N1" s="55">
        <v>1.167</v>
      </c>
      <c r="O1" s="55">
        <v>1.19</v>
      </c>
      <c r="P1" s="55">
        <v>1.202</v>
      </c>
      <c r="Q1" s="55">
        <v>1.228</v>
      </c>
      <c r="R1" s="55">
        <v>1.274</v>
      </c>
      <c r="S1" s="55">
        <v>1.3160000000000001</v>
      </c>
      <c r="T1" s="55">
        <v>1.357</v>
      </c>
      <c r="U1" s="55">
        <v>1.3979999999999999</v>
      </c>
    </row>
    <row r="2" spans="1:22">
      <c r="M2" t="s">
        <v>197</v>
      </c>
      <c r="N2" s="55">
        <v>1.1809052989340341</v>
      </c>
      <c r="O2" s="55">
        <v>1.1915649621504716</v>
      </c>
      <c r="P2" s="55">
        <v>1.2101035068747106</v>
      </c>
      <c r="Q2" s="55">
        <v>1.2481075235594008</v>
      </c>
      <c r="R2" s="55">
        <v>1.2898192491889391</v>
      </c>
      <c r="S2" s="55">
        <v>1.328513826664607</v>
      </c>
      <c r="T2" s="55">
        <v>1.3683692414645452</v>
      </c>
      <c r="U2" s="55">
        <v>1.4094203187084815</v>
      </c>
    </row>
    <row r="3" spans="1:22" ht="13.8" thickBot="1">
      <c r="M3" t="s">
        <v>198</v>
      </c>
      <c r="N3" s="55">
        <v>1.1495010041711728</v>
      </c>
      <c r="O3" s="55"/>
      <c r="P3" s="55"/>
      <c r="Q3" s="55"/>
      <c r="R3" s="55"/>
      <c r="S3" s="55"/>
      <c r="T3" s="55"/>
      <c r="U3" s="55"/>
    </row>
    <row r="4" spans="1:22" ht="14.4" thickBot="1">
      <c r="D4" s="56" t="s">
        <v>59</v>
      </c>
      <c r="E4" s="56" t="s">
        <v>60</v>
      </c>
      <c r="F4" s="56" t="s">
        <v>61</v>
      </c>
      <c r="G4" s="56" t="s">
        <v>62</v>
      </c>
      <c r="H4" s="56" t="s">
        <v>63</v>
      </c>
      <c r="I4" s="56" t="s">
        <v>64</v>
      </c>
      <c r="J4" s="56" t="s">
        <v>65</v>
      </c>
      <c r="K4" s="56" t="s">
        <v>66</v>
      </c>
      <c r="L4" s="56" t="s">
        <v>118</v>
      </c>
      <c r="N4" s="56" t="s">
        <v>59</v>
      </c>
      <c r="O4" s="56" t="s">
        <v>60</v>
      </c>
      <c r="P4" s="56" t="s">
        <v>61</v>
      </c>
      <c r="Q4" s="56" t="s">
        <v>62</v>
      </c>
      <c r="R4" s="56" t="s">
        <v>63</v>
      </c>
      <c r="S4" s="56" t="s">
        <v>64</v>
      </c>
      <c r="T4" s="56" t="s">
        <v>65</v>
      </c>
      <c r="U4" s="56" t="s">
        <v>66</v>
      </c>
      <c r="V4" s="56" t="s">
        <v>118</v>
      </c>
    </row>
    <row r="5" spans="1:22">
      <c r="A5" t="s">
        <v>338</v>
      </c>
    </row>
    <row r="6" spans="1:22">
      <c r="B6" s="38" t="s">
        <v>339</v>
      </c>
    </row>
    <row r="7" spans="1:22">
      <c r="B7" t="s">
        <v>204</v>
      </c>
      <c r="D7" s="187">
        <v>74.117786922864468</v>
      </c>
      <c r="E7" s="187">
        <v>75.746790961588118</v>
      </c>
      <c r="F7" s="187">
        <v>79.100568175978466</v>
      </c>
      <c r="G7" s="187">
        <v>84.682738983648647</v>
      </c>
      <c r="H7" s="187">
        <v>88.375416158766043</v>
      </c>
      <c r="I7" s="187">
        <v>103.23047155081038</v>
      </c>
      <c r="J7" s="187">
        <v>91.458153412988253</v>
      </c>
      <c r="K7" s="187">
        <v>93.183297085259611</v>
      </c>
      <c r="L7" s="53">
        <f>SUM(D7:K7)</f>
        <v>689.89522325190387</v>
      </c>
      <c r="N7" s="53">
        <f>D7*N$1</f>
        <v>86.495457338982831</v>
      </c>
      <c r="O7" s="53">
        <f t="shared" ref="O7:U8" si="0">E7*O$1</f>
        <v>90.138681244289856</v>
      </c>
      <c r="P7" s="53">
        <f t="shared" si="0"/>
        <v>95.078882947526111</v>
      </c>
      <c r="Q7" s="53">
        <f t="shared" si="0"/>
        <v>103.99040347192054</v>
      </c>
      <c r="R7" s="53">
        <f t="shared" si="0"/>
        <v>112.59028018626795</v>
      </c>
      <c r="S7" s="53">
        <f t="shared" si="0"/>
        <v>135.85130056086646</v>
      </c>
      <c r="T7" s="53">
        <f t="shared" si="0"/>
        <v>124.10871418142506</v>
      </c>
      <c r="U7" s="53">
        <f t="shared" si="0"/>
        <v>130.27024932519294</v>
      </c>
      <c r="V7" s="53">
        <f>SUM(N7:U7)</f>
        <v>878.52396925647179</v>
      </c>
    </row>
    <row r="8" spans="1:22">
      <c r="B8" t="s">
        <v>206</v>
      </c>
      <c r="D8" s="187">
        <v>39.405926089795059</v>
      </c>
      <c r="E8" s="187">
        <v>35.962368284905509</v>
      </c>
      <c r="F8" s="187">
        <v>29.877361132181548</v>
      </c>
      <c r="G8" s="187">
        <v>28.846391499185597</v>
      </c>
      <c r="H8" s="187">
        <v>30.86762755052062</v>
      </c>
      <c r="I8" s="187">
        <v>30.561284205613454</v>
      </c>
      <c r="J8" s="187">
        <v>25.457651204161817</v>
      </c>
      <c r="K8" s="187">
        <v>25.43438563392731</v>
      </c>
      <c r="L8" s="53">
        <f>SUM(D8:K8)</f>
        <v>246.41299560029088</v>
      </c>
      <c r="N8" s="53">
        <f t="shared" ref="N8" si="1">D8*N$1</f>
        <v>45.986715746790836</v>
      </c>
      <c r="O8" s="53">
        <f t="shared" si="0"/>
        <v>42.795218259037554</v>
      </c>
      <c r="P8" s="53">
        <f t="shared" si="0"/>
        <v>35.912588080882216</v>
      </c>
      <c r="Q8" s="53">
        <f t="shared" si="0"/>
        <v>35.423368760999914</v>
      </c>
      <c r="R8" s="53">
        <f t="shared" si="0"/>
        <v>39.325357499363271</v>
      </c>
      <c r="S8" s="53">
        <f t="shared" si="0"/>
        <v>40.218650014587304</v>
      </c>
      <c r="T8" s="53">
        <f t="shared" si="0"/>
        <v>34.546032684047582</v>
      </c>
      <c r="U8" s="53">
        <f t="shared" si="0"/>
        <v>35.557271116230375</v>
      </c>
      <c r="V8" s="53">
        <f>SUM(N8:U8)</f>
        <v>309.76520216193904</v>
      </c>
    </row>
    <row r="9" spans="1:22">
      <c r="B9" s="38" t="s">
        <v>207</v>
      </c>
      <c r="D9" s="57">
        <f>SUM(D7:D8)</f>
        <v>113.52371301265953</v>
      </c>
      <c r="E9" s="57">
        <f t="shared" ref="E9:L9" si="2">SUM(E7:E8)</f>
        <v>111.70915924649363</v>
      </c>
      <c r="F9" s="57">
        <f t="shared" si="2"/>
        <v>108.97792930816001</v>
      </c>
      <c r="G9" s="57">
        <f t="shared" si="2"/>
        <v>113.52913048283425</v>
      </c>
      <c r="H9" s="57">
        <f t="shared" si="2"/>
        <v>119.24304370928667</v>
      </c>
      <c r="I9" s="57">
        <f t="shared" si="2"/>
        <v>133.79175575642384</v>
      </c>
      <c r="J9" s="57">
        <f t="shared" si="2"/>
        <v>116.91580461715007</v>
      </c>
      <c r="K9" s="57">
        <f t="shared" si="2"/>
        <v>118.61768271918692</v>
      </c>
      <c r="L9" s="57">
        <f t="shared" si="2"/>
        <v>936.30821885219473</v>
      </c>
      <c r="N9" s="57">
        <f>SUM(N7:N8)</f>
        <v>132.48217308577367</v>
      </c>
      <c r="O9" s="57">
        <f t="shared" ref="O9:V9" si="3">SUM(O7:O8)</f>
        <v>132.93389950332741</v>
      </c>
      <c r="P9" s="57">
        <f t="shared" si="3"/>
        <v>130.99147102840834</v>
      </c>
      <c r="Q9" s="57">
        <f t="shared" si="3"/>
        <v>139.41377223292045</v>
      </c>
      <c r="R9" s="57">
        <f t="shared" si="3"/>
        <v>151.91563768563122</v>
      </c>
      <c r="S9" s="57">
        <f t="shared" si="3"/>
        <v>176.06995057545376</v>
      </c>
      <c r="T9" s="57">
        <f t="shared" si="3"/>
        <v>158.65474686547265</v>
      </c>
      <c r="U9" s="57">
        <f t="shared" si="3"/>
        <v>165.8275204414233</v>
      </c>
      <c r="V9" s="57">
        <f t="shared" si="3"/>
        <v>1188.2891714184109</v>
      </c>
    </row>
    <row r="10" spans="1:22">
      <c r="D10" s="53"/>
      <c r="E10" s="53"/>
      <c r="F10" s="53"/>
      <c r="G10" s="53"/>
      <c r="H10" s="53"/>
      <c r="I10" s="53"/>
      <c r="J10" s="53"/>
      <c r="K10" s="53"/>
      <c r="N10" s="53"/>
      <c r="O10" s="53"/>
      <c r="P10" s="53"/>
      <c r="Q10" s="53"/>
      <c r="R10" s="53"/>
      <c r="S10" s="53"/>
      <c r="T10" s="53"/>
      <c r="U10" s="53"/>
      <c r="V10" s="53"/>
    </row>
    <row r="11" spans="1:22">
      <c r="B11" s="38" t="s">
        <v>340</v>
      </c>
      <c r="D11" s="53"/>
      <c r="E11" s="53"/>
      <c r="F11" s="53"/>
      <c r="G11" s="53"/>
      <c r="H11" s="53"/>
      <c r="I11" s="53"/>
      <c r="J11" s="53"/>
      <c r="K11" s="53"/>
      <c r="N11" s="53"/>
      <c r="O11" s="53"/>
      <c r="P11" s="53"/>
      <c r="Q11" s="53"/>
      <c r="R11" s="53"/>
      <c r="S11" s="53"/>
      <c r="T11" s="53"/>
      <c r="U11" s="53"/>
      <c r="V11" s="53"/>
    </row>
    <row r="12" spans="1:22">
      <c r="B12" t="s">
        <v>210</v>
      </c>
      <c r="D12" s="221">
        <v>12.6</v>
      </c>
      <c r="E12" s="221">
        <v>0.53225726739315926</v>
      </c>
      <c r="F12" s="221">
        <v>4.7325538657092654</v>
      </c>
      <c r="G12" s="221">
        <v>5.8260117796600266</v>
      </c>
      <c r="H12" s="221">
        <v>11.604402811424919</v>
      </c>
      <c r="I12" s="221">
        <v>22.607336879458597</v>
      </c>
      <c r="J12" s="221">
        <v>14.934159224130877</v>
      </c>
      <c r="K12" s="221">
        <v>11.748438532534374</v>
      </c>
      <c r="L12" s="53">
        <f>SUM(D12:K12)</f>
        <v>84.585160360311221</v>
      </c>
      <c r="N12" s="53">
        <f>D12*N$1</f>
        <v>14.7042</v>
      </c>
      <c r="O12" s="53">
        <f t="shared" ref="O12:U13" si="4">E12*O$1</f>
        <v>0.63338614819785954</v>
      </c>
      <c r="P12" s="53">
        <f t="shared" si="4"/>
        <v>5.6885297465825371</v>
      </c>
      <c r="Q12" s="53">
        <f t="shared" si="4"/>
        <v>7.1543424654225127</v>
      </c>
      <c r="R12" s="53">
        <f t="shared" si="4"/>
        <v>14.784009181755346</v>
      </c>
      <c r="S12" s="53">
        <f t="shared" si="4"/>
        <v>29.751255333367514</v>
      </c>
      <c r="T12" s="53">
        <f t="shared" si="4"/>
        <v>20.265654067145601</v>
      </c>
      <c r="U12" s="53">
        <f t="shared" si="4"/>
        <v>16.424317068483052</v>
      </c>
      <c r="V12" s="53">
        <f>SUM(N12:U12)</f>
        <v>109.40569401095442</v>
      </c>
    </row>
    <row r="13" spans="1:22">
      <c r="B13" t="s">
        <v>212</v>
      </c>
      <c r="D13" s="221">
        <v>0</v>
      </c>
      <c r="E13" s="221">
        <v>2.2839187505600642</v>
      </c>
      <c r="F13" s="221">
        <v>6.3745194978318223</v>
      </c>
      <c r="G13" s="221">
        <v>4.8746325571655111</v>
      </c>
      <c r="H13" s="221">
        <v>4.6360141802413253</v>
      </c>
      <c r="I13" s="221">
        <v>4.5542021652958891</v>
      </c>
      <c r="J13" s="221">
        <v>4.5405668294716515</v>
      </c>
      <c r="K13" s="221">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5.9933300495293906</v>
      </c>
      <c r="T13" s="53">
        <f t="shared" si="4"/>
        <v>6.1615491875930308</v>
      </c>
      <c r="U13" s="53">
        <f t="shared" si="4"/>
        <v>6.1094349340727883</v>
      </c>
      <c r="V13" s="53">
        <f>SUM(N13:U13)</f>
        <v>40.536680766582229</v>
      </c>
    </row>
    <row r="14" spans="1:22">
      <c r="D14" s="189"/>
      <c r="E14" s="189"/>
      <c r="F14" s="189"/>
      <c r="G14" s="189"/>
      <c r="H14" s="189"/>
      <c r="I14" s="189"/>
      <c r="J14" s="189"/>
      <c r="K14" s="189"/>
      <c r="L14" s="53"/>
      <c r="N14" s="53"/>
      <c r="O14" s="53"/>
      <c r="P14" s="53"/>
      <c r="Q14" s="53"/>
      <c r="R14" s="53"/>
      <c r="S14" s="53"/>
      <c r="T14" s="53"/>
      <c r="U14" s="53"/>
      <c r="V14" s="53"/>
    </row>
    <row r="15" spans="1:22">
      <c r="B15" s="38" t="s">
        <v>341</v>
      </c>
      <c r="N15" s="53"/>
      <c r="O15" s="53"/>
      <c r="P15" s="53"/>
      <c r="Q15" s="53"/>
      <c r="R15" s="53"/>
      <c r="S15" s="53"/>
      <c r="T15" s="53"/>
      <c r="U15" s="53"/>
      <c r="V15" s="53"/>
    </row>
    <row r="16" spans="1:22">
      <c r="B16" t="s">
        <v>342</v>
      </c>
      <c r="D16" s="187">
        <v>226.54482674025229</v>
      </c>
      <c r="E16" s="187">
        <v>189.76583863604765</v>
      </c>
      <c r="F16" s="187">
        <v>179.38344990371465</v>
      </c>
      <c r="G16" s="187">
        <v>186.89947200056383</v>
      </c>
      <c r="H16" s="187">
        <v>142.34099424420381</v>
      </c>
      <c r="I16" s="187">
        <v>123.51757213647369</v>
      </c>
      <c r="J16" s="187">
        <v>-21.093349498298281</v>
      </c>
      <c r="K16" s="187">
        <v>-36.616451358880617</v>
      </c>
      <c r="L16" s="53">
        <f>SUM(D16:K16)</f>
        <v>990.74235280407697</v>
      </c>
      <c r="N16" s="53">
        <f>D16*N$1</f>
        <v>264.37781280587444</v>
      </c>
      <c r="O16" s="53">
        <f t="shared" ref="O16:U18" si="5">E16*O$1</f>
        <v>225.8213479768967</v>
      </c>
      <c r="P16" s="53">
        <f t="shared" si="5"/>
        <v>215.61890678426499</v>
      </c>
      <c r="Q16" s="53">
        <f t="shared" si="5"/>
        <v>229.51255161669238</v>
      </c>
      <c r="R16" s="53">
        <f t="shared" si="5"/>
        <v>181.34242666711566</v>
      </c>
      <c r="S16" s="53">
        <f t="shared" si="5"/>
        <v>162.54912493159938</v>
      </c>
      <c r="T16" s="53">
        <f t="shared" si="5"/>
        <v>-28.623675269190766</v>
      </c>
      <c r="U16" s="53">
        <f t="shared" si="5"/>
        <v>-51.189798999715102</v>
      </c>
      <c r="V16" s="53">
        <f t="shared" ref="V16:V18" si="6">SUM(N16:U16)</f>
        <v>1199.4086965135377</v>
      </c>
    </row>
    <row r="17" spans="1:22">
      <c r="B17" t="s">
        <v>343</v>
      </c>
      <c r="D17" s="187">
        <v>506.11836500601339</v>
      </c>
      <c r="E17" s="187">
        <v>499.20409814951984</v>
      </c>
      <c r="F17" s="187">
        <v>485.07329761796098</v>
      </c>
      <c r="G17" s="187">
        <v>489.14143160750723</v>
      </c>
      <c r="H17" s="187">
        <v>622.61892466629627</v>
      </c>
      <c r="I17" s="187">
        <v>715.79753719305393</v>
      </c>
      <c r="J17" s="187">
        <v>609.25081046797004</v>
      </c>
      <c r="K17" s="187">
        <v>529.21301595565285</v>
      </c>
      <c r="L17" s="53">
        <f t="shared" ref="L17:L18" si="7">SUM(D17:K17)</f>
        <v>4456.4174806639749</v>
      </c>
      <c r="N17" s="53">
        <f>D17*N$1</f>
        <v>590.64013196201768</v>
      </c>
      <c r="O17" s="53">
        <f t="shared" si="5"/>
        <v>594.05287679792855</v>
      </c>
      <c r="P17" s="53">
        <f t="shared" si="5"/>
        <v>583.05810373678912</v>
      </c>
      <c r="Q17" s="53">
        <f t="shared" si="5"/>
        <v>600.66567801401891</v>
      </c>
      <c r="R17" s="53">
        <f t="shared" si="5"/>
        <v>793.21651002486146</v>
      </c>
      <c r="S17" s="53">
        <f t="shared" si="5"/>
        <v>941.98955894605899</v>
      </c>
      <c r="T17" s="53">
        <f t="shared" si="5"/>
        <v>826.75334980503533</v>
      </c>
      <c r="U17" s="53">
        <f t="shared" si="5"/>
        <v>739.83979630600265</v>
      </c>
      <c r="V17" s="53">
        <f t="shared" ref="V17" si="8">SUM(N17:U17)</f>
        <v>5670.2160055927125</v>
      </c>
    </row>
    <row r="18" spans="1:22">
      <c r="B18" t="s">
        <v>204</v>
      </c>
      <c r="D18" s="187">
        <v>192.21282629439594</v>
      </c>
      <c r="E18" s="187">
        <v>196.41204072355288</v>
      </c>
      <c r="F18" s="187">
        <v>203.04710659109347</v>
      </c>
      <c r="G18" s="187">
        <v>204.35171680440774</v>
      </c>
      <c r="H18" s="187">
        <v>205.72203973741003</v>
      </c>
      <c r="I18" s="187">
        <v>206.0644404839947</v>
      </c>
      <c r="J18" s="187">
        <v>207.83890997781467</v>
      </c>
      <c r="K18" s="187">
        <v>208.20405529640865</v>
      </c>
      <c r="L18" s="53">
        <f t="shared" si="7"/>
        <v>1623.853135909078</v>
      </c>
      <c r="N18" s="53">
        <f>D18*N$1</f>
        <v>224.31236828556007</v>
      </c>
      <c r="O18" s="53">
        <f t="shared" si="5"/>
        <v>233.73032846102791</v>
      </c>
      <c r="P18" s="53">
        <f t="shared" si="5"/>
        <v>244.06262212249433</v>
      </c>
      <c r="Q18" s="53">
        <f t="shared" si="5"/>
        <v>250.9439082358127</v>
      </c>
      <c r="R18" s="53">
        <f t="shared" si="5"/>
        <v>262.08987862546036</v>
      </c>
      <c r="S18" s="53">
        <f t="shared" si="5"/>
        <v>271.18080367693705</v>
      </c>
      <c r="T18" s="53">
        <f t="shared" si="5"/>
        <v>282.03740083989447</v>
      </c>
      <c r="U18" s="53">
        <f t="shared" si="5"/>
        <v>291.0692693043793</v>
      </c>
      <c r="V18" s="53">
        <f t="shared" si="6"/>
        <v>2059.4265795515662</v>
      </c>
    </row>
    <row r="19" spans="1:22">
      <c r="N19" s="53"/>
      <c r="O19" s="53"/>
      <c r="P19" s="53"/>
      <c r="Q19" s="53"/>
      <c r="R19" s="53"/>
      <c r="S19" s="53"/>
      <c r="T19" s="53"/>
      <c r="U19" s="53"/>
      <c r="V19" s="53"/>
    </row>
    <row r="20" spans="1:22">
      <c r="B20" s="38" t="s">
        <v>344</v>
      </c>
      <c r="N20" s="53"/>
      <c r="O20" s="53"/>
      <c r="P20" s="53"/>
      <c r="Q20" s="53"/>
      <c r="R20" s="53"/>
      <c r="S20" s="53"/>
      <c r="T20" s="53"/>
      <c r="U20" s="53"/>
      <c r="V20" s="53"/>
    </row>
    <row r="21" spans="1:22">
      <c r="B21" t="s">
        <v>206</v>
      </c>
      <c r="D21" s="187">
        <v>611.17984582528948</v>
      </c>
      <c r="E21" s="187">
        <v>463.27304634112346</v>
      </c>
      <c r="F21" s="187">
        <v>320.16753106880628</v>
      </c>
      <c r="G21" s="187">
        <v>275.15848567147805</v>
      </c>
      <c r="H21" s="187">
        <v>202.25140113723705</v>
      </c>
      <c r="I21" s="187">
        <v>295.76287532457633</v>
      </c>
      <c r="J21" s="187">
        <v>301.6082207757662</v>
      </c>
      <c r="K21" s="187">
        <v>292.87185007858511</v>
      </c>
      <c r="L21" s="53">
        <f t="shared" ref="L21:L22" si="9">SUM(D21:K21)</f>
        <v>2762.2732562228621</v>
      </c>
      <c r="N21" s="53">
        <f>D21*N$1</f>
        <v>713.24688007811289</v>
      </c>
      <c r="O21" s="53">
        <f t="shared" ref="O21:U22" si="10">E21*O$1</f>
        <v>551.29492514593687</v>
      </c>
      <c r="P21" s="53">
        <f t="shared" si="10"/>
        <v>384.84137234470512</v>
      </c>
      <c r="Q21" s="53">
        <f t="shared" si="10"/>
        <v>337.89462040457505</v>
      </c>
      <c r="R21" s="53">
        <f t="shared" si="10"/>
        <v>257.66828504884</v>
      </c>
      <c r="S21" s="53">
        <f t="shared" si="10"/>
        <v>389.22394392714244</v>
      </c>
      <c r="T21" s="53">
        <f t="shared" si="10"/>
        <v>409.28235559271474</v>
      </c>
      <c r="U21" s="53">
        <f t="shared" si="10"/>
        <v>409.43484640986196</v>
      </c>
      <c r="V21" s="53">
        <f t="shared" ref="V21:V22" si="11">SUM(N21:U21)</f>
        <v>3452.8872289518895</v>
      </c>
    </row>
    <row r="22" spans="1:22">
      <c r="B22" t="s">
        <v>204</v>
      </c>
      <c r="D22" s="187">
        <v>1.0905502475471596</v>
      </c>
      <c r="E22" s="187">
        <v>3.187886630798479</v>
      </c>
      <c r="F22" s="187">
        <v>8.7780181940086308</v>
      </c>
      <c r="G22" s="187">
        <v>13.747332444010851</v>
      </c>
      <c r="H22" s="187">
        <v>38.154827130556669</v>
      </c>
      <c r="I22" s="187">
        <v>31.711382344696709</v>
      </c>
      <c r="J22" s="187">
        <v>15.103658493510443</v>
      </c>
      <c r="K22" s="187">
        <v>6.0315217291061529</v>
      </c>
      <c r="L22" s="53">
        <f t="shared" si="9"/>
        <v>117.80517721423507</v>
      </c>
      <c r="N22" s="53">
        <f>D22*N$1</f>
        <v>1.2726721388875353</v>
      </c>
      <c r="O22" s="53">
        <f t="shared" si="10"/>
        <v>3.7935850906501898</v>
      </c>
      <c r="P22" s="53">
        <f t="shared" si="10"/>
        <v>10.551177869198375</v>
      </c>
      <c r="Q22" s="53">
        <f t="shared" si="10"/>
        <v>16.881724241245326</v>
      </c>
      <c r="R22" s="53">
        <f t="shared" si="10"/>
        <v>48.609249764329199</v>
      </c>
      <c r="S22" s="53">
        <f t="shared" si="10"/>
        <v>41.73217916562087</v>
      </c>
      <c r="T22" s="53">
        <f t="shared" si="10"/>
        <v>20.49566457569367</v>
      </c>
      <c r="U22" s="53">
        <f t="shared" si="10"/>
        <v>8.4320673772904016</v>
      </c>
      <c r="V22" s="53">
        <f t="shared" si="11"/>
        <v>151.76832022291555</v>
      </c>
    </row>
    <row r="23" spans="1:22">
      <c r="N23" s="53"/>
      <c r="O23" s="53"/>
      <c r="P23" s="53"/>
      <c r="Q23" s="53"/>
      <c r="R23" s="53"/>
      <c r="S23" s="53"/>
      <c r="T23" s="53"/>
      <c r="U23" s="53"/>
      <c r="V23" s="53"/>
    </row>
    <row r="24" spans="1:22" ht="15.6">
      <c r="B24" s="59" t="s">
        <v>345</v>
      </c>
      <c r="C24" s="60"/>
      <c r="D24" s="61">
        <f>SUM(D16:D22)</f>
        <v>1537.1464141134982</v>
      </c>
      <c r="E24" s="61">
        <f t="shared" ref="E24:L24" si="12">SUM(E16:E22)</f>
        <v>1351.8429104810423</v>
      </c>
      <c r="F24" s="61">
        <f t="shared" si="12"/>
        <v>1196.4494033755839</v>
      </c>
      <c r="G24" s="61">
        <f t="shared" si="12"/>
        <v>1169.2984385279676</v>
      </c>
      <c r="H24" s="61">
        <f t="shared" si="12"/>
        <v>1211.0881869157038</v>
      </c>
      <c r="I24" s="61">
        <f t="shared" si="12"/>
        <v>1372.8538074827952</v>
      </c>
      <c r="J24" s="61">
        <f t="shared" si="12"/>
        <v>1112.7082502167632</v>
      </c>
      <c r="K24" s="61">
        <f t="shared" si="12"/>
        <v>999.70399170087217</v>
      </c>
      <c r="L24" s="61">
        <f t="shared" si="12"/>
        <v>9951.0914028142288</v>
      </c>
      <c r="N24" s="61">
        <f>SUM(N16:N22)</f>
        <v>1793.8498652704529</v>
      </c>
      <c r="O24" s="61">
        <f t="shared" ref="O24:V24" si="13">SUM(O16:O22)</f>
        <v>1608.6930634724404</v>
      </c>
      <c r="P24" s="61">
        <f t="shared" si="13"/>
        <v>1438.1321828574521</v>
      </c>
      <c r="Q24" s="61">
        <f t="shared" si="13"/>
        <v>1435.8984825123443</v>
      </c>
      <c r="R24" s="61">
        <f t="shared" si="13"/>
        <v>1542.9263501306068</v>
      </c>
      <c r="S24" s="61">
        <f t="shared" si="13"/>
        <v>1806.6756106473588</v>
      </c>
      <c r="T24" s="61">
        <f t="shared" si="13"/>
        <v>1509.9450955441473</v>
      </c>
      <c r="U24" s="61">
        <f t="shared" si="13"/>
        <v>1397.5861803978191</v>
      </c>
      <c r="V24" s="61">
        <f t="shared" si="13"/>
        <v>12533.706830832622</v>
      </c>
    </row>
    <row r="25" spans="1:22">
      <c r="N25" s="53"/>
      <c r="O25" s="53"/>
      <c r="P25" s="53"/>
      <c r="Q25" s="53"/>
      <c r="R25" s="53"/>
      <c r="S25" s="53"/>
      <c r="T25" s="53"/>
      <c r="U25" s="53"/>
      <c r="V25" s="53"/>
    </row>
    <row r="26" spans="1:22">
      <c r="B26" s="38" t="s">
        <v>224</v>
      </c>
      <c r="C26" s="38"/>
      <c r="N26" s="53"/>
      <c r="O26" s="53"/>
      <c r="P26" s="53"/>
      <c r="Q26" s="53"/>
      <c r="R26" s="53"/>
      <c r="S26" s="53"/>
      <c r="T26" s="53"/>
      <c r="U26" s="53"/>
      <c r="V26" s="53"/>
    </row>
    <row r="27" spans="1:22">
      <c r="B27" t="s">
        <v>226</v>
      </c>
      <c r="D27" s="191">
        <v>94.24723304227993</v>
      </c>
      <c r="E27" s="191">
        <v>87.678224204681584</v>
      </c>
      <c r="F27" s="191">
        <v>87.676243763178761</v>
      </c>
      <c r="G27" s="191">
        <v>87.677481779017953</v>
      </c>
      <c r="H27" s="191">
        <v>87.676244486345595</v>
      </c>
      <c r="I27" s="191">
        <v>87.676244488148086</v>
      </c>
      <c r="J27" s="191">
        <v>87.676244492723825</v>
      </c>
      <c r="K27" s="191">
        <v>87.676244462267519</v>
      </c>
      <c r="L27" s="58">
        <f>SUM(D27:K27)</f>
        <v>707.98416071864324</v>
      </c>
      <c r="N27" s="58">
        <f>D27*N$1</f>
        <v>109.98652096034068</v>
      </c>
      <c r="O27" s="58">
        <f t="shared" ref="O27:U27" si="14">E27*O$1</f>
        <v>104.33708680357108</v>
      </c>
      <c r="P27" s="58">
        <f t="shared" si="14"/>
        <v>105.38684500334087</v>
      </c>
      <c r="Q27" s="58">
        <f t="shared" si="14"/>
        <v>107.66794762463404</v>
      </c>
      <c r="R27" s="58">
        <f t="shared" si="14"/>
        <v>111.69953547560429</v>
      </c>
      <c r="S27" s="58">
        <f t="shared" si="14"/>
        <v>115.38193774640288</v>
      </c>
      <c r="T27" s="58">
        <f t="shared" si="14"/>
        <v>118.97666377662622</v>
      </c>
      <c r="U27" s="58">
        <f t="shared" si="14"/>
        <v>122.57138975824998</v>
      </c>
      <c r="V27" s="58">
        <f t="shared" ref="V27" si="15">SUM(N27:U27)</f>
        <v>896.00792714877002</v>
      </c>
    </row>
    <row r="28" spans="1:22">
      <c r="D28" s="191"/>
      <c r="E28" s="191"/>
      <c r="F28" s="191"/>
      <c r="G28" s="191"/>
      <c r="H28" s="191"/>
      <c r="I28" s="191"/>
      <c r="J28" s="191"/>
      <c r="K28" s="191"/>
      <c r="L28" s="58"/>
      <c r="N28" s="58"/>
      <c r="O28" s="58"/>
      <c r="P28" s="58"/>
      <c r="Q28" s="58"/>
      <c r="R28" s="58"/>
      <c r="S28" s="58"/>
      <c r="T28" s="58"/>
      <c r="U28" s="58"/>
      <c r="V28" s="58"/>
    </row>
    <row r="29" spans="1:22">
      <c r="A29" t="s">
        <v>346</v>
      </c>
      <c r="N29" s="53"/>
      <c r="O29" s="53"/>
      <c r="P29" s="53"/>
      <c r="Q29" s="53"/>
      <c r="R29" s="53"/>
      <c r="S29" s="53"/>
      <c r="T29" s="53"/>
      <c r="U29" s="53"/>
      <c r="V29" s="53"/>
    </row>
    <row r="30" spans="1:22">
      <c r="B30" s="38" t="s">
        <v>339</v>
      </c>
    </row>
    <row r="31" spans="1:22">
      <c r="B31" t="s">
        <v>204</v>
      </c>
      <c r="D31" s="223">
        <v>81.990982577070014</v>
      </c>
      <c r="E31" s="223">
        <v>79.325370564392955</v>
      </c>
      <c r="F31" s="223">
        <v>82.444959949703602</v>
      </c>
      <c r="G31" s="223">
        <v>87.244218866382454</v>
      </c>
      <c r="H31" s="223">
        <v>93.13512278909549</v>
      </c>
      <c r="I31" s="223">
        <v>107.78467371610627</v>
      </c>
      <c r="J31" s="223">
        <v>95.99872024245991</v>
      </c>
      <c r="K31" s="223">
        <v>97.553422216928269</v>
      </c>
      <c r="L31" s="53">
        <f>SUM(D31:K31)</f>
        <v>725.47747092213899</v>
      </c>
      <c r="N31" s="53">
        <f>D31*N$1</f>
        <v>95.683476667440715</v>
      </c>
      <c r="O31" s="53">
        <f t="shared" ref="O31:U32" si="16">E31*O$1</f>
        <v>94.397190971627609</v>
      </c>
      <c r="P31" s="53">
        <f t="shared" si="16"/>
        <v>99.098841859543725</v>
      </c>
      <c r="Q31" s="53">
        <f t="shared" si="16"/>
        <v>107.13590076791765</v>
      </c>
      <c r="R31" s="53">
        <f t="shared" si="16"/>
        <v>118.65414643330766</v>
      </c>
      <c r="S31" s="53">
        <f t="shared" si="16"/>
        <v>141.84463061039585</v>
      </c>
      <c r="T31" s="53">
        <f t="shared" si="16"/>
        <v>130.2702633690181</v>
      </c>
      <c r="U31" s="53">
        <f t="shared" si="16"/>
        <v>136.3796842592657</v>
      </c>
      <c r="V31" s="53">
        <f>SUM(N31:U31)</f>
        <v>923.46413493851685</v>
      </c>
    </row>
    <row r="32" spans="1:22">
      <c r="B32" t="s">
        <v>206</v>
      </c>
      <c r="D32" s="223">
        <v>32.211047115864659</v>
      </c>
      <c r="E32" s="223">
        <v>34.412038344731393</v>
      </c>
      <c r="F32" s="223">
        <v>33.431784730351907</v>
      </c>
      <c r="G32" s="223">
        <v>45.046194512275676</v>
      </c>
      <c r="H32" s="223">
        <v>48.724532627252877</v>
      </c>
      <c r="I32" s="223">
        <v>53.168621085072047</v>
      </c>
      <c r="J32" s="223">
        <v>40.391810428292693</v>
      </c>
      <c r="K32" s="223">
        <v>37.182824166461685</v>
      </c>
      <c r="L32" s="53">
        <f>SUM(D32:K32)</f>
        <v>324.56885301030292</v>
      </c>
      <c r="N32" s="53">
        <f t="shared" ref="N32" si="17">D32*N$1</f>
        <v>37.590291984214055</v>
      </c>
      <c r="O32" s="53">
        <f t="shared" si="16"/>
        <v>40.950325630230353</v>
      </c>
      <c r="P32" s="53">
        <f t="shared" si="16"/>
        <v>40.185005245882991</v>
      </c>
      <c r="Q32" s="53">
        <f t="shared" si="16"/>
        <v>55.316726861074528</v>
      </c>
      <c r="R32" s="53">
        <f t="shared" si="16"/>
        <v>62.075054567120169</v>
      </c>
      <c r="S32" s="53">
        <f t="shared" si="16"/>
        <v>69.969905347954821</v>
      </c>
      <c r="T32" s="53">
        <f t="shared" si="16"/>
        <v>54.811686751193186</v>
      </c>
      <c r="U32" s="53">
        <f t="shared" si="16"/>
        <v>51.981588184713431</v>
      </c>
      <c r="V32" s="53">
        <f>SUM(N32:U32)</f>
        <v>412.8805845723835</v>
      </c>
    </row>
    <row r="33" spans="2:22">
      <c r="B33" s="38" t="s">
        <v>207</v>
      </c>
      <c r="D33" s="57">
        <f>SUM(D31:D32)</f>
        <v>114.20202969293467</v>
      </c>
      <c r="E33" s="57">
        <f t="shared" ref="E33:L33" si="18">SUM(E31:E32)</f>
        <v>113.73740890912435</v>
      </c>
      <c r="F33" s="57">
        <f t="shared" si="18"/>
        <v>115.87674468005551</v>
      </c>
      <c r="G33" s="57">
        <f t="shared" si="18"/>
        <v>132.29041337865812</v>
      </c>
      <c r="H33" s="57">
        <f t="shared" si="18"/>
        <v>141.85965541634837</v>
      </c>
      <c r="I33" s="57">
        <f t="shared" si="18"/>
        <v>160.95329480117832</v>
      </c>
      <c r="J33" s="57">
        <f t="shared" si="18"/>
        <v>136.39053067075261</v>
      </c>
      <c r="K33" s="57">
        <f>SUM(K31:K32)</f>
        <v>134.73624638338995</v>
      </c>
      <c r="L33" s="57">
        <f t="shared" si="18"/>
        <v>1050.046323932442</v>
      </c>
      <c r="N33" s="57">
        <f>SUM(N31:N32)</f>
        <v>133.27376865165476</v>
      </c>
      <c r="O33" s="57">
        <f t="shared" ref="O33:V33" si="19">SUM(O31:O32)</f>
        <v>135.34751660185796</v>
      </c>
      <c r="P33" s="57">
        <f t="shared" si="19"/>
        <v>139.28384710542673</v>
      </c>
      <c r="Q33" s="57">
        <f t="shared" si="19"/>
        <v>162.45262762899216</v>
      </c>
      <c r="R33" s="57">
        <f t="shared" si="19"/>
        <v>180.72920100042782</v>
      </c>
      <c r="S33" s="57">
        <f t="shared" si="19"/>
        <v>211.81453595835069</v>
      </c>
      <c r="T33" s="57">
        <f t="shared" si="19"/>
        <v>185.08195012021127</v>
      </c>
      <c r="U33" s="57">
        <f t="shared" si="19"/>
        <v>188.36127244397915</v>
      </c>
      <c r="V33" s="57">
        <f t="shared" si="19"/>
        <v>1336.3447195109004</v>
      </c>
    </row>
    <row r="34" spans="2:22">
      <c r="D34" s="53"/>
      <c r="E34" s="53"/>
      <c r="F34" s="53"/>
      <c r="G34" s="53"/>
      <c r="H34" s="53"/>
      <c r="I34" s="53"/>
      <c r="J34" s="53"/>
      <c r="K34" s="53"/>
      <c r="N34" s="53"/>
      <c r="O34" s="53"/>
      <c r="P34" s="53"/>
      <c r="Q34" s="53"/>
      <c r="R34" s="53"/>
      <c r="S34" s="53"/>
      <c r="T34" s="53"/>
      <c r="U34" s="53"/>
      <c r="V34" s="53"/>
    </row>
    <row r="35" spans="2:22">
      <c r="B35" s="38" t="s">
        <v>340</v>
      </c>
      <c r="D35" s="53"/>
      <c r="E35" s="53"/>
      <c r="F35" s="53"/>
      <c r="G35" s="53"/>
      <c r="H35" s="53"/>
      <c r="I35" s="53"/>
      <c r="J35" s="53"/>
      <c r="K35" s="53"/>
      <c r="N35" s="53"/>
      <c r="O35" s="53"/>
      <c r="P35" s="53"/>
      <c r="Q35" s="53"/>
      <c r="R35" s="53"/>
      <c r="S35" s="53"/>
      <c r="T35" s="53"/>
      <c r="U35" s="53"/>
      <c r="V35" s="53"/>
    </row>
    <row r="36" spans="2:22">
      <c r="B36" t="s">
        <v>210</v>
      </c>
      <c r="D36" s="222">
        <v>0</v>
      </c>
      <c r="E36" s="222">
        <v>0</v>
      </c>
      <c r="F36" s="222">
        <v>0</v>
      </c>
      <c r="G36" s="222">
        <v>0</v>
      </c>
      <c r="H36" s="222">
        <v>0</v>
      </c>
      <c r="I36" s="222">
        <v>0</v>
      </c>
      <c r="J36" s="222">
        <v>0</v>
      </c>
      <c r="K36" s="222">
        <v>0</v>
      </c>
      <c r="L36" s="53">
        <f>SUM(D36:K36)</f>
        <v>0</v>
      </c>
      <c r="N36" s="53">
        <f>D36*N$1</f>
        <v>0</v>
      </c>
      <c r="O36" s="53">
        <f t="shared" ref="O36:U37" si="20">E36*O$1</f>
        <v>0</v>
      </c>
      <c r="P36" s="53">
        <f t="shared" si="20"/>
        <v>0</v>
      </c>
      <c r="Q36" s="53">
        <f t="shared" si="20"/>
        <v>0</v>
      </c>
      <c r="R36" s="53">
        <f t="shared" si="20"/>
        <v>0</v>
      </c>
      <c r="S36" s="53">
        <f t="shared" si="20"/>
        <v>0</v>
      </c>
      <c r="T36" s="53">
        <f t="shared" si="20"/>
        <v>0</v>
      </c>
      <c r="U36" s="53">
        <f t="shared" si="20"/>
        <v>0</v>
      </c>
      <c r="V36" s="53">
        <f>SUM(N36:U36)</f>
        <v>0</v>
      </c>
    </row>
    <row r="37" spans="2:22">
      <c r="B37" t="s">
        <v>212</v>
      </c>
      <c r="D37" s="222">
        <v>0</v>
      </c>
      <c r="E37" s="222">
        <v>0</v>
      </c>
      <c r="F37" s="222">
        <v>0</v>
      </c>
      <c r="G37" s="222">
        <v>0</v>
      </c>
      <c r="H37" s="222">
        <v>0</v>
      </c>
      <c r="I37" s="222">
        <v>0</v>
      </c>
      <c r="J37" s="222">
        <v>0</v>
      </c>
      <c r="K37" s="222">
        <v>0</v>
      </c>
      <c r="L37" s="53">
        <f>SUM(D37:K37)</f>
        <v>0</v>
      </c>
      <c r="N37" s="53">
        <f>D37*N$1</f>
        <v>0</v>
      </c>
      <c r="O37" s="53">
        <f t="shared" si="20"/>
        <v>0</v>
      </c>
      <c r="P37" s="53">
        <f t="shared" si="20"/>
        <v>0</v>
      </c>
      <c r="Q37" s="53">
        <f t="shared" si="20"/>
        <v>0</v>
      </c>
      <c r="R37" s="53">
        <f t="shared" si="20"/>
        <v>0</v>
      </c>
      <c r="S37" s="53">
        <f t="shared" si="20"/>
        <v>0</v>
      </c>
      <c r="T37" s="53">
        <f t="shared" si="20"/>
        <v>0</v>
      </c>
      <c r="U37" s="53">
        <f t="shared" si="20"/>
        <v>0</v>
      </c>
      <c r="V37" s="53">
        <f>SUM(N37:U37)</f>
        <v>0</v>
      </c>
    </row>
    <row r="38" spans="2:22">
      <c r="B38" s="38" t="s">
        <v>341</v>
      </c>
      <c r="N38" s="53"/>
      <c r="O38" s="53"/>
      <c r="P38" s="53"/>
      <c r="Q38" s="53"/>
      <c r="R38" s="53"/>
      <c r="S38" s="53"/>
      <c r="T38" s="53"/>
      <c r="U38" s="53"/>
      <c r="V38" s="53"/>
    </row>
    <row r="39" spans="2:22">
      <c r="B39" t="s">
        <v>342</v>
      </c>
      <c r="D39" s="223">
        <v>567.31107043976681</v>
      </c>
      <c r="E39" s="223">
        <v>437.45333836790246</v>
      </c>
      <c r="F39" s="223">
        <v>400.75604129773484</v>
      </c>
      <c r="G39" s="223">
        <v>298.52074101881811</v>
      </c>
      <c r="H39" s="223">
        <v>201.55524519629097</v>
      </c>
      <c r="I39" s="223">
        <v>398.7939734164737</v>
      </c>
      <c r="J39" s="223">
        <v>230.09218994170175</v>
      </c>
      <c r="K39" s="223">
        <v>231.52135086611935</v>
      </c>
      <c r="L39" s="53">
        <f t="shared" ref="L39:L41" si="21">SUM(D39:K39)</f>
        <v>2766.003950544808</v>
      </c>
      <c r="N39" s="53">
        <f>D39*N$1</f>
        <v>662.05201920320792</v>
      </c>
      <c r="O39" s="53">
        <f t="shared" ref="O39:U41" si="22">E39*O$1</f>
        <v>520.56947265780389</v>
      </c>
      <c r="P39" s="53">
        <f t="shared" si="22"/>
        <v>481.70876163987725</v>
      </c>
      <c r="Q39" s="53">
        <f t="shared" si="22"/>
        <v>366.58346997110863</v>
      </c>
      <c r="R39" s="53">
        <f t="shared" si="22"/>
        <v>256.78138238007472</v>
      </c>
      <c r="S39" s="53">
        <f t="shared" si="22"/>
        <v>524.81286901607939</v>
      </c>
      <c r="T39" s="53">
        <f t="shared" si="22"/>
        <v>312.23510175088927</v>
      </c>
      <c r="U39" s="53">
        <f t="shared" si="22"/>
        <v>323.66684851083482</v>
      </c>
      <c r="V39" s="53">
        <f t="shared" ref="V39" si="23">SUM(N39:U39)</f>
        <v>3448.4099251298758</v>
      </c>
    </row>
    <row r="40" spans="2:22">
      <c r="B40" t="s">
        <v>343</v>
      </c>
      <c r="D40" s="223">
        <v>431.60359266344881</v>
      </c>
      <c r="E40" s="223">
        <v>241.52168903502007</v>
      </c>
      <c r="F40" s="223">
        <v>341.69695682175035</v>
      </c>
      <c r="G40" s="223">
        <v>400.69326266340892</v>
      </c>
      <c r="H40" s="223">
        <v>418.93431117534499</v>
      </c>
      <c r="I40" s="223">
        <v>736.28401123763024</v>
      </c>
      <c r="J40" s="223">
        <v>659.67349180373628</v>
      </c>
      <c r="K40" s="223">
        <v>553.94706380923799</v>
      </c>
      <c r="L40" s="53">
        <f t="shared" si="21"/>
        <v>3784.3543792095775</v>
      </c>
      <c r="N40" s="53">
        <f>D40*N$1</f>
        <v>503.6813926382448</v>
      </c>
      <c r="O40" s="53">
        <f t="shared" si="22"/>
        <v>287.41080995167385</v>
      </c>
      <c r="P40" s="53">
        <f t="shared" si="22"/>
        <v>410.71974209974388</v>
      </c>
      <c r="Q40" s="53">
        <f t="shared" si="22"/>
        <v>492.05132655066615</v>
      </c>
      <c r="R40" s="53">
        <f t="shared" si="22"/>
        <v>533.72231243738952</v>
      </c>
      <c r="S40" s="53">
        <f t="shared" si="22"/>
        <v>968.9497587887214</v>
      </c>
      <c r="T40" s="53">
        <f t="shared" si="22"/>
        <v>895.17692837767015</v>
      </c>
      <c r="U40" s="53">
        <f t="shared" si="22"/>
        <v>774.4179952053147</v>
      </c>
      <c r="V40" s="53">
        <f t="shared" ref="V40" si="24">SUM(N40:U40)</f>
        <v>4866.1302660494248</v>
      </c>
    </row>
    <row r="41" spans="2:22">
      <c r="B41" t="s">
        <v>204</v>
      </c>
      <c r="D41" s="223">
        <v>205.79764574271053</v>
      </c>
      <c r="E41" s="223">
        <v>225.57798057867012</v>
      </c>
      <c r="F41" s="223">
        <v>229.53296594785181</v>
      </c>
      <c r="G41" s="223">
        <v>210.576624426726</v>
      </c>
      <c r="H41" s="223">
        <v>216.9500736914016</v>
      </c>
      <c r="I41" s="223">
        <v>237.77582282869142</v>
      </c>
      <c r="J41" s="223">
        <v>222.9425684713251</v>
      </c>
      <c r="K41" s="223">
        <v>214.2355770255148</v>
      </c>
      <c r="L41" s="53">
        <f t="shared" si="21"/>
        <v>1763.3892587128914</v>
      </c>
      <c r="N41" s="53">
        <f>D41*N$1</f>
        <v>240.1658525817432</v>
      </c>
      <c r="O41" s="53">
        <f t="shared" si="22"/>
        <v>268.43779688861741</v>
      </c>
      <c r="P41" s="53">
        <f t="shared" si="22"/>
        <v>275.89862506931786</v>
      </c>
      <c r="Q41" s="53">
        <f t="shared" si="22"/>
        <v>258.5880947960195</v>
      </c>
      <c r="R41" s="53">
        <f t="shared" si="22"/>
        <v>276.39439388284563</v>
      </c>
      <c r="S41" s="53">
        <f t="shared" si="22"/>
        <v>312.91298284255794</v>
      </c>
      <c r="T41" s="53">
        <f t="shared" si="22"/>
        <v>302.53306541558817</v>
      </c>
      <c r="U41" s="53">
        <f t="shared" si="22"/>
        <v>299.50133668166967</v>
      </c>
      <c r="V41" s="53">
        <f t="shared" ref="V41" si="25">SUM(N41:U41)</f>
        <v>2234.4321481583593</v>
      </c>
    </row>
    <row r="42" spans="2:22">
      <c r="N42" s="53"/>
      <c r="O42" s="53"/>
      <c r="P42" s="53"/>
      <c r="Q42" s="53"/>
      <c r="R42" s="53"/>
      <c r="S42" s="53"/>
      <c r="T42" s="53"/>
      <c r="U42" s="53"/>
      <c r="V42" s="53"/>
    </row>
    <row r="43" spans="2:22">
      <c r="B43" s="38" t="s">
        <v>344</v>
      </c>
      <c r="N43" s="53"/>
      <c r="O43" s="53"/>
      <c r="P43" s="53"/>
      <c r="Q43" s="53"/>
      <c r="R43" s="53"/>
      <c r="S43" s="53"/>
      <c r="T43" s="53"/>
      <c r="U43" s="53"/>
      <c r="V43" s="53"/>
    </row>
    <row r="44" spans="2:22">
      <c r="B44" t="s">
        <v>206</v>
      </c>
      <c r="D44" s="223">
        <v>0</v>
      </c>
      <c r="E44" s="223">
        <v>0</v>
      </c>
      <c r="F44" s="223">
        <v>0</v>
      </c>
      <c r="G44" s="223">
        <v>0</v>
      </c>
      <c r="H44" s="223">
        <v>0</v>
      </c>
      <c r="I44" s="223">
        <v>0</v>
      </c>
      <c r="J44" s="223">
        <v>0</v>
      </c>
      <c r="K44" s="223">
        <v>0</v>
      </c>
      <c r="L44" s="53">
        <f t="shared" ref="L44:L45" si="26">SUM(D44:K44)</f>
        <v>0</v>
      </c>
      <c r="N44" s="53">
        <f>D44*N$1</f>
        <v>0</v>
      </c>
      <c r="O44" s="53">
        <f t="shared" ref="O44:U45" si="27">E44*O$1</f>
        <v>0</v>
      </c>
      <c r="P44" s="53">
        <f t="shared" si="27"/>
        <v>0</v>
      </c>
      <c r="Q44" s="53">
        <f t="shared" si="27"/>
        <v>0</v>
      </c>
      <c r="R44" s="53">
        <f t="shared" si="27"/>
        <v>0</v>
      </c>
      <c r="S44" s="53">
        <f t="shared" si="27"/>
        <v>0</v>
      </c>
      <c r="T44" s="53">
        <f t="shared" si="27"/>
        <v>0</v>
      </c>
      <c r="U44" s="53">
        <f t="shared" si="27"/>
        <v>0</v>
      </c>
      <c r="V44" s="53">
        <f t="shared" ref="V44:V45" si="28">SUM(N44:U44)</f>
        <v>0</v>
      </c>
    </row>
    <row r="45" spans="2:22">
      <c r="B45" t="s">
        <v>204</v>
      </c>
      <c r="D45" s="223">
        <v>0</v>
      </c>
      <c r="E45" s="223">
        <v>0</v>
      </c>
      <c r="F45" s="223">
        <v>0</v>
      </c>
      <c r="G45" s="223">
        <v>0</v>
      </c>
      <c r="H45" s="223">
        <v>0</v>
      </c>
      <c r="I45" s="223">
        <v>0</v>
      </c>
      <c r="J45" s="223">
        <v>0</v>
      </c>
      <c r="K45" s="223">
        <v>0</v>
      </c>
      <c r="L45" s="53">
        <f t="shared" si="26"/>
        <v>0</v>
      </c>
      <c r="N45" s="53">
        <f>D45*N$1</f>
        <v>0</v>
      </c>
      <c r="O45" s="53">
        <f t="shared" si="27"/>
        <v>0</v>
      </c>
      <c r="P45" s="53">
        <f t="shared" si="27"/>
        <v>0</v>
      </c>
      <c r="Q45" s="53">
        <f t="shared" si="27"/>
        <v>0</v>
      </c>
      <c r="R45" s="53">
        <f t="shared" si="27"/>
        <v>0</v>
      </c>
      <c r="S45" s="53">
        <f t="shared" si="27"/>
        <v>0</v>
      </c>
      <c r="T45" s="53">
        <f t="shared" si="27"/>
        <v>0</v>
      </c>
      <c r="U45" s="53">
        <f t="shared" si="27"/>
        <v>0</v>
      </c>
      <c r="V45" s="53">
        <f t="shared" si="28"/>
        <v>0</v>
      </c>
    </row>
    <row r="46" spans="2:22">
      <c r="N46" s="53"/>
      <c r="O46" s="53"/>
      <c r="P46" s="53"/>
      <c r="Q46" s="53"/>
      <c r="R46" s="53"/>
      <c r="S46" s="53"/>
      <c r="T46" s="53"/>
      <c r="U46" s="53"/>
      <c r="V46" s="53"/>
    </row>
    <row r="47" spans="2:22" ht="15.6">
      <c r="B47" s="59" t="s">
        <v>345</v>
      </c>
      <c r="C47" s="60"/>
      <c r="D47" s="61">
        <f>SUM(D39:D45)</f>
        <v>1204.7123088459261</v>
      </c>
      <c r="E47" s="61">
        <f t="shared" ref="E47:L47" si="29">SUM(E39:E45)</f>
        <v>904.5530079815926</v>
      </c>
      <c r="F47" s="61">
        <f t="shared" si="29"/>
        <v>971.98596406733702</v>
      </c>
      <c r="G47" s="61">
        <f t="shared" si="29"/>
        <v>909.790628108953</v>
      </c>
      <c r="H47" s="61">
        <f t="shared" si="29"/>
        <v>837.4396300630375</v>
      </c>
      <c r="I47" s="61">
        <f t="shared" si="29"/>
        <v>1372.8538074827954</v>
      </c>
      <c r="J47" s="61">
        <f t="shared" si="29"/>
        <v>1112.7082502167632</v>
      </c>
      <c r="K47" s="61">
        <f t="shared" si="29"/>
        <v>999.70399170087205</v>
      </c>
      <c r="L47" s="61">
        <f t="shared" si="29"/>
        <v>8313.7475884672767</v>
      </c>
      <c r="N47" s="61">
        <f>SUM(N39:N45)</f>
        <v>1405.899264423196</v>
      </c>
      <c r="O47" s="61">
        <f t="shared" ref="O47:V47" si="30">SUM(O39:O45)</f>
        <v>1076.4180794980953</v>
      </c>
      <c r="P47" s="61">
        <f t="shared" si="30"/>
        <v>1168.3271288089391</v>
      </c>
      <c r="Q47" s="61">
        <f t="shared" si="30"/>
        <v>1117.2228913177942</v>
      </c>
      <c r="R47" s="61">
        <f t="shared" si="30"/>
        <v>1066.8980887003099</v>
      </c>
      <c r="S47" s="61">
        <f t="shared" si="30"/>
        <v>1806.6756106473588</v>
      </c>
      <c r="T47" s="61">
        <f t="shared" si="30"/>
        <v>1509.9450955441475</v>
      </c>
      <c r="U47" s="61">
        <f t="shared" si="30"/>
        <v>1397.5861803978191</v>
      </c>
      <c r="V47" s="61">
        <f t="shared" si="30"/>
        <v>10548.972339337661</v>
      </c>
    </row>
    <row r="48" spans="2:22">
      <c r="N48" s="53"/>
      <c r="O48" s="53"/>
      <c r="P48" s="53"/>
      <c r="Q48" s="53"/>
      <c r="R48" s="53"/>
      <c r="S48" s="53"/>
      <c r="T48" s="53"/>
      <c r="U48" s="53"/>
      <c r="V48" s="53"/>
    </row>
    <row r="50" spans="1:12" s="188" customFormat="1"/>
    <row r="51" spans="1:12" ht="13.8" thickBot="1"/>
    <row r="52" spans="1:12" ht="16.8">
      <c r="A52" s="68"/>
      <c r="B52" s="69" t="s">
        <v>237</v>
      </c>
      <c r="D52" s="70">
        <v>41729</v>
      </c>
      <c r="E52" s="71">
        <v>42094</v>
      </c>
      <c r="F52" s="71">
        <v>42460</v>
      </c>
      <c r="G52" s="71">
        <v>42825</v>
      </c>
      <c r="H52" s="71">
        <v>43190</v>
      </c>
      <c r="I52" s="71">
        <v>43555</v>
      </c>
      <c r="J52" s="71">
        <v>43921</v>
      </c>
      <c r="K52" s="72">
        <v>44286</v>
      </c>
      <c r="L52" s="73" t="s">
        <v>238</v>
      </c>
    </row>
    <row r="53" spans="1:12" ht="16.8">
      <c r="A53" s="74"/>
      <c r="B53" s="75" t="s">
        <v>239</v>
      </c>
      <c r="D53" s="76" t="s">
        <v>240</v>
      </c>
      <c r="E53" s="77" t="s">
        <v>240</v>
      </c>
      <c r="F53" s="77" t="s">
        <v>240</v>
      </c>
      <c r="G53" s="77" t="s">
        <v>240</v>
      </c>
      <c r="H53" s="77" t="s">
        <v>240</v>
      </c>
      <c r="I53" s="77" t="s">
        <v>240</v>
      </c>
      <c r="J53" s="77" t="s">
        <v>240</v>
      </c>
      <c r="K53" s="78" t="s">
        <v>240</v>
      </c>
      <c r="L53" s="79" t="s">
        <v>240</v>
      </c>
    </row>
    <row r="54" spans="1:12" ht="16.8">
      <c r="A54" s="80"/>
      <c r="B54" s="81" t="s">
        <v>207</v>
      </c>
      <c r="D54" s="82"/>
      <c r="E54" s="83"/>
      <c r="F54" s="83"/>
      <c r="G54" s="83"/>
      <c r="H54" s="83"/>
      <c r="I54" s="83"/>
      <c r="J54" s="83"/>
      <c r="K54" s="84"/>
      <c r="L54" s="85"/>
    </row>
    <row r="55" spans="1:12" ht="16.8">
      <c r="A55" s="86">
        <v>1</v>
      </c>
      <c r="B55" s="75" t="s">
        <v>241</v>
      </c>
      <c r="D55" s="87">
        <v>1156.5020616850072</v>
      </c>
      <c r="E55" s="88">
        <v>947.14415677404679</v>
      </c>
      <c r="F55" s="88">
        <v>915.65134014512773</v>
      </c>
      <c r="G55" s="88">
        <v>876.75276435226465</v>
      </c>
      <c r="H55" s="88">
        <v>860.74692261556481</v>
      </c>
      <c r="I55" s="88">
        <v>1166.9257363603763</v>
      </c>
      <c r="J55" s="88">
        <v>945.80201268424867</v>
      </c>
      <c r="K55" s="89">
        <v>849.74839294574122</v>
      </c>
      <c r="L55" s="90">
        <v>7719.2733875623771</v>
      </c>
    </row>
    <row r="56" spans="1:12" ht="16.8">
      <c r="A56" s="86">
        <v>2</v>
      </c>
      <c r="B56" s="75" t="s">
        <v>242</v>
      </c>
      <c r="D56" s="87">
        <v>204.08859912088366</v>
      </c>
      <c r="E56" s="88">
        <v>167.14308648953769</v>
      </c>
      <c r="F56" s="88">
        <v>161.58553061384623</v>
      </c>
      <c r="G56" s="88">
        <v>154.72107606216423</v>
      </c>
      <c r="H56" s="88">
        <v>151.89651575568794</v>
      </c>
      <c r="I56" s="88">
        <v>205.92807112241937</v>
      </c>
      <c r="J56" s="88">
        <v>166.9062375325145</v>
      </c>
      <c r="K56" s="89">
        <v>149.95559875513084</v>
      </c>
      <c r="L56" s="90">
        <v>1362.2247154521842</v>
      </c>
    </row>
    <row r="57" spans="1:12" ht="16.8">
      <c r="A57" s="86">
        <v>3</v>
      </c>
      <c r="B57" s="75" t="s">
        <v>243</v>
      </c>
      <c r="D57" s="87">
        <v>1360.5906608058908</v>
      </c>
      <c r="E57" s="88">
        <v>1114.2872432635845</v>
      </c>
      <c r="F57" s="88">
        <v>1077.236870758974</v>
      </c>
      <c r="G57" s="88">
        <v>1031.4738404144289</v>
      </c>
      <c r="H57" s="88">
        <v>1012.6434383712527</v>
      </c>
      <c r="I57" s="88">
        <v>1372.8538074827957</v>
      </c>
      <c r="J57" s="88">
        <v>1112.7082502167632</v>
      </c>
      <c r="K57" s="89">
        <v>999.70399170087205</v>
      </c>
      <c r="L57" s="90">
        <v>9081.4981030145627</v>
      </c>
    </row>
    <row r="58" spans="1:12" ht="16.8">
      <c r="A58" s="80"/>
      <c r="B58" s="81" t="s">
        <v>244</v>
      </c>
      <c r="D58" s="82"/>
      <c r="E58" s="83"/>
      <c r="F58" s="83"/>
      <c r="G58" s="83"/>
      <c r="H58" s="83"/>
      <c r="I58" s="83"/>
      <c r="J58" s="83"/>
      <c r="K58" s="84"/>
      <c r="L58" s="85"/>
    </row>
    <row r="59" spans="1:12" ht="16.8">
      <c r="A59" s="86">
        <v>4</v>
      </c>
      <c r="B59" s="75" t="s">
        <v>245</v>
      </c>
      <c r="D59" s="87">
        <v>8691.0913006079008</v>
      </c>
      <c r="E59" s="88">
        <v>9107.0798269710467</v>
      </c>
      <c r="F59" s="88">
        <v>9468.0883687653659</v>
      </c>
      <c r="G59" s="88">
        <v>9774.5337281307457</v>
      </c>
      <c r="H59" s="88">
        <v>10100.958453495239</v>
      </c>
      <c r="I59" s="88">
        <v>10314.751339422088</v>
      </c>
      <c r="J59" s="88">
        <v>10821.832405217065</v>
      </c>
      <c r="K59" s="89">
        <v>11097.20386710051</v>
      </c>
      <c r="L59" s="90">
        <v>0</v>
      </c>
    </row>
    <row r="60" spans="1:12" ht="16.8">
      <c r="A60" s="86">
        <v>5</v>
      </c>
      <c r="B60" s="75" t="s">
        <v>246</v>
      </c>
      <c r="D60" s="87">
        <v>0</v>
      </c>
      <c r="E60" s="88">
        <v>0</v>
      </c>
      <c r="F60" s="88">
        <v>0</v>
      </c>
      <c r="G60" s="88">
        <v>82.388628473992952</v>
      </c>
      <c r="H60" s="88">
        <v>0</v>
      </c>
      <c r="I60" s="88">
        <v>0</v>
      </c>
      <c r="J60" s="88">
        <v>0</v>
      </c>
      <c r="K60" s="89">
        <v>0</v>
      </c>
      <c r="L60" s="90">
        <v>82.388628473992952</v>
      </c>
    </row>
    <row r="61" spans="1:12" ht="16.8">
      <c r="A61" s="86">
        <v>6</v>
      </c>
      <c r="B61" s="75" t="s">
        <v>247</v>
      </c>
      <c r="D61" s="87">
        <v>8691.0913006079008</v>
      </c>
      <c r="E61" s="88">
        <v>9107.0798269710467</v>
      </c>
      <c r="F61" s="88">
        <v>9468.0883687653659</v>
      </c>
      <c r="G61" s="88">
        <v>9856.9223566047385</v>
      </c>
      <c r="H61" s="88">
        <v>10100.958453495239</v>
      </c>
      <c r="I61" s="88">
        <v>10314.751339422088</v>
      </c>
      <c r="J61" s="88">
        <v>10821.832405217065</v>
      </c>
      <c r="K61" s="89">
        <v>11097.20386710051</v>
      </c>
      <c r="L61" s="90">
        <v>0</v>
      </c>
    </row>
    <row r="62" spans="1:12" ht="16.8">
      <c r="A62" s="86">
        <v>7</v>
      </c>
      <c r="B62" s="75" t="s">
        <v>248</v>
      </c>
      <c r="D62" s="87">
        <v>979.73559189042385</v>
      </c>
      <c r="E62" s="88">
        <v>947.14415677404679</v>
      </c>
      <c r="F62" s="88">
        <v>915.65134014512773</v>
      </c>
      <c r="G62" s="88">
        <v>876.75276435226465</v>
      </c>
      <c r="H62" s="88">
        <v>860.74692261556481</v>
      </c>
      <c r="I62" s="88">
        <v>1166.9257363603763</v>
      </c>
      <c r="J62" s="88">
        <v>945.80201268424867</v>
      </c>
      <c r="K62" s="89">
        <v>849.74839294574122</v>
      </c>
      <c r="L62" s="90">
        <v>7542.5069177677933</v>
      </c>
    </row>
    <row r="63" spans="1:12" ht="16.8">
      <c r="A63" s="86">
        <v>8</v>
      </c>
      <c r="B63" s="75" t="s">
        <v>249</v>
      </c>
      <c r="D63" s="87">
        <v>-563.74706552727753</v>
      </c>
      <c r="E63" s="88">
        <v>-586.13561497972955</v>
      </c>
      <c r="F63" s="88">
        <v>-609.20598077974819</v>
      </c>
      <c r="G63" s="88">
        <v>-632.71666746176413</v>
      </c>
      <c r="H63" s="88">
        <v>-646.95403668871847</v>
      </c>
      <c r="I63" s="88">
        <v>-659.84467056539904</v>
      </c>
      <c r="J63" s="88">
        <v>-670.43055080080228</v>
      </c>
      <c r="K63" s="89">
        <v>-675.66865115029088</v>
      </c>
      <c r="L63" s="90">
        <v>-5044.7032379537304</v>
      </c>
    </row>
    <row r="64" spans="1:12" ht="16.8">
      <c r="A64" s="86">
        <v>9</v>
      </c>
      <c r="B64" s="75" t="s">
        <v>250</v>
      </c>
      <c r="D64" s="87">
        <v>9107.0798269710467</v>
      </c>
      <c r="E64" s="88">
        <v>9468.0883687653641</v>
      </c>
      <c r="F64" s="88">
        <v>9774.5337281307457</v>
      </c>
      <c r="G64" s="88">
        <v>10100.958453495239</v>
      </c>
      <c r="H64" s="88">
        <v>10314.751339422086</v>
      </c>
      <c r="I64" s="88">
        <v>10821.832405217065</v>
      </c>
      <c r="J64" s="88">
        <v>11097.203867100512</v>
      </c>
      <c r="K64" s="89">
        <v>11271.283608895961</v>
      </c>
      <c r="L64" s="90">
        <v>0</v>
      </c>
    </row>
    <row r="65" spans="1:12" ht="16.8">
      <c r="A65" s="80"/>
      <c r="B65" s="81" t="s">
        <v>251</v>
      </c>
      <c r="D65" s="91"/>
      <c r="E65" s="92"/>
      <c r="F65" s="92"/>
      <c r="G65" s="92"/>
      <c r="H65" s="92"/>
      <c r="I65" s="92"/>
      <c r="J65" s="92"/>
      <c r="K65" s="93"/>
      <c r="L65" s="94"/>
    </row>
    <row r="66" spans="1:12" ht="16.8">
      <c r="A66" s="86">
        <v>10</v>
      </c>
      <c r="B66" s="75" t="s">
        <v>252</v>
      </c>
      <c r="D66" s="87">
        <v>237.40620856945091</v>
      </c>
      <c r="E66" s="88">
        <v>258.79192954230029</v>
      </c>
      <c r="F66" s="88">
        <v>247.54958686774498</v>
      </c>
      <c r="G66" s="88">
        <v>235.53222598536234</v>
      </c>
      <c r="H66" s="88">
        <v>202.1447606835556</v>
      </c>
      <c r="I66" s="88">
        <v>194.23112140673624</v>
      </c>
      <c r="J66" s="88">
        <v>171.88650500853097</v>
      </c>
      <c r="K66" s="89">
        <v>146.13577701809621</v>
      </c>
      <c r="L66" s="90">
        <v>1693.6781150817776</v>
      </c>
    </row>
    <row r="67" spans="1:12" ht="16.8">
      <c r="A67" s="86">
        <v>11</v>
      </c>
      <c r="B67" s="75" t="s">
        <v>253</v>
      </c>
      <c r="D67" s="87">
        <v>94.24723304227993</v>
      </c>
      <c r="E67" s="88">
        <v>87.678224204681584</v>
      </c>
      <c r="F67" s="88">
        <v>87.676243763178761</v>
      </c>
      <c r="G67" s="88">
        <v>87.677481779017953</v>
      </c>
      <c r="H67" s="88">
        <v>87.676244486345595</v>
      </c>
      <c r="I67" s="88">
        <v>87.676244488148086</v>
      </c>
      <c r="J67" s="88">
        <v>87.676244492723825</v>
      </c>
      <c r="K67" s="89">
        <v>87.676244462267519</v>
      </c>
      <c r="L67" s="90">
        <v>707.98416071864324</v>
      </c>
    </row>
    <row r="68" spans="1:12" ht="16.8">
      <c r="A68" s="86">
        <v>12</v>
      </c>
      <c r="B68" s="75" t="s">
        <v>254</v>
      </c>
      <c r="D68" s="87">
        <v>563.74706552727753</v>
      </c>
      <c r="E68" s="88">
        <v>601.9438855384235</v>
      </c>
      <c r="F68" s="88">
        <v>644.79876348951439</v>
      </c>
      <c r="G68" s="88">
        <v>684.89258726448122</v>
      </c>
      <c r="H68" s="88">
        <v>713.22010570881355</v>
      </c>
      <c r="I68" s="88">
        <v>734.1034428722661</v>
      </c>
      <c r="J68" s="88">
        <v>742.97880142881684</v>
      </c>
      <c r="K68" s="89">
        <v>748.89084842182604</v>
      </c>
      <c r="L68" s="90">
        <v>5434.5755002514197</v>
      </c>
    </row>
    <row r="69" spans="1:12" ht="16.8">
      <c r="A69" s="86">
        <v>13</v>
      </c>
      <c r="B69" s="75" t="s">
        <v>255</v>
      </c>
      <c r="D69" s="87">
        <v>404.01995120068966</v>
      </c>
      <c r="E69" s="88">
        <v>440.62845231569594</v>
      </c>
      <c r="F69" s="88">
        <v>476.8060368721554</v>
      </c>
      <c r="G69" s="88">
        <v>511.8717273328827</v>
      </c>
      <c r="H69" s="88">
        <v>536.07099692325698</v>
      </c>
      <c r="I69" s="88">
        <v>553.88861733710439</v>
      </c>
      <c r="J69" s="88">
        <v>567.26068740369476</v>
      </c>
      <c r="K69" s="89">
        <v>574.24363467064757</v>
      </c>
      <c r="L69" s="90">
        <v>4064.7901040561273</v>
      </c>
    </row>
    <row r="70" spans="1:12" ht="16.8">
      <c r="A70" s="86">
        <v>14</v>
      </c>
      <c r="B70" s="75" t="s">
        <v>256</v>
      </c>
      <c r="D70" s="87">
        <v>0</v>
      </c>
      <c r="E70" s="88">
        <v>16.036529091209541</v>
      </c>
      <c r="F70" s="88">
        <v>0</v>
      </c>
      <c r="G70" s="88">
        <v>22.217944632295964</v>
      </c>
      <c r="H70" s="88">
        <v>0</v>
      </c>
      <c r="I70" s="88">
        <v>0</v>
      </c>
      <c r="J70" s="88">
        <v>0</v>
      </c>
      <c r="K70" s="89">
        <v>0</v>
      </c>
      <c r="L70" s="90">
        <v>38.254473723505505</v>
      </c>
    </row>
    <row r="71" spans="1:12" ht="16.8">
      <c r="A71" s="86">
        <v>15</v>
      </c>
      <c r="B71" s="75" t="s">
        <v>257</v>
      </c>
      <c r="D71" s="87">
        <v>15.168246288518162</v>
      </c>
      <c r="E71" s="88">
        <v>16.275110005972994</v>
      </c>
      <c r="F71" s="88">
        <v>15.614702904478012</v>
      </c>
      <c r="G71" s="88">
        <v>14.911674359737152</v>
      </c>
      <c r="H71" s="88">
        <v>13.033415757853545</v>
      </c>
      <c r="I71" s="88">
        <v>12.556067765830047</v>
      </c>
      <c r="J71" s="88">
        <v>11.285100906339711</v>
      </c>
      <c r="K71" s="89">
        <v>9.8268179419485548</v>
      </c>
      <c r="L71" s="90">
        <v>108.67113593067819</v>
      </c>
    </row>
    <row r="72" spans="1:12" ht="16.8">
      <c r="A72" s="86">
        <v>16</v>
      </c>
      <c r="B72" s="75" t="s">
        <v>258</v>
      </c>
      <c r="D72" s="87">
        <v>-57.649451741429942</v>
      </c>
      <c r="E72" s="88">
        <v>-57.528171097000921</v>
      </c>
      <c r="F72" s="88">
        <v>-63.872795597637484</v>
      </c>
      <c r="G72" s="88">
        <v>-60.310726285543012</v>
      </c>
      <c r="H72" s="88">
        <v>-60.778245898362016</v>
      </c>
      <c r="I72" s="88">
        <v>-60.785513483956521</v>
      </c>
      <c r="J72" s="88">
        <v>-60.686558770047299</v>
      </c>
      <c r="K72" s="89">
        <v>-60.81527627756094</v>
      </c>
      <c r="L72" s="90">
        <v>-482.42673915153813</v>
      </c>
    </row>
    <row r="73" spans="1:12" ht="16.8">
      <c r="A73" s="86">
        <v>17</v>
      </c>
      <c r="B73" s="75" t="s">
        <v>259</v>
      </c>
      <c r="D73" s="87">
        <v>85.34203792729511</v>
      </c>
      <c r="E73" s="88">
        <v>80.003502133565092</v>
      </c>
      <c r="F73" s="88">
        <v>67.020034930168393</v>
      </c>
      <c r="G73" s="88">
        <v>74.593894624638367</v>
      </c>
      <c r="H73" s="88">
        <v>63.574864578134445</v>
      </c>
      <c r="I73" s="88">
        <v>65.957440437742321</v>
      </c>
      <c r="J73" s="88">
        <v>64.827342012712734</v>
      </c>
      <c r="K73" s="89">
        <v>65.626062802495454</v>
      </c>
      <c r="L73" s="90">
        <v>566.94517944675192</v>
      </c>
    </row>
    <row r="74" spans="1:12" ht="16.8">
      <c r="A74" s="80"/>
      <c r="B74" s="81" t="s">
        <v>260</v>
      </c>
      <c r="D74" s="91"/>
      <c r="E74" s="92"/>
      <c r="F74" s="92"/>
      <c r="G74" s="92"/>
      <c r="H74" s="92"/>
      <c r="I74" s="92"/>
      <c r="J74" s="92"/>
      <c r="K74" s="93"/>
      <c r="L74" s="94"/>
    </row>
    <row r="75" spans="1:12" ht="16.8">
      <c r="A75" s="86">
        <v>18</v>
      </c>
      <c r="B75" s="75" t="s">
        <v>252</v>
      </c>
      <c r="D75" s="87">
        <v>204.08859912088366</v>
      </c>
      <c r="E75" s="88">
        <v>167.14308648953769</v>
      </c>
      <c r="F75" s="88">
        <v>161.58553061384623</v>
      </c>
      <c r="G75" s="88">
        <v>154.72107606216423</v>
      </c>
      <c r="H75" s="88">
        <v>151.89651575568794</v>
      </c>
      <c r="I75" s="88">
        <v>205.92807112241937</v>
      </c>
      <c r="J75" s="88">
        <v>166.9062375325145</v>
      </c>
      <c r="K75" s="89">
        <v>149.95559875513084</v>
      </c>
      <c r="L75" s="90">
        <v>1362.2247154521842</v>
      </c>
    </row>
    <row r="76" spans="1:12" ht="16.8">
      <c r="A76" s="86">
        <v>19</v>
      </c>
      <c r="B76" s="75" t="s">
        <v>253</v>
      </c>
      <c r="D76" s="87">
        <v>94.24723304227993</v>
      </c>
      <c r="E76" s="88">
        <v>87.678224204681584</v>
      </c>
      <c r="F76" s="88">
        <v>87.676243763178761</v>
      </c>
      <c r="G76" s="88">
        <v>87.677481779017953</v>
      </c>
      <c r="H76" s="88">
        <v>87.676244486345595</v>
      </c>
      <c r="I76" s="88">
        <v>87.676244488148086</v>
      </c>
      <c r="J76" s="88">
        <v>87.676244492723825</v>
      </c>
      <c r="K76" s="89">
        <v>87.676244462267519</v>
      </c>
      <c r="L76" s="90">
        <v>707.98416071864324</v>
      </c>
    </row>
    <row r="77" spans="1:12" ht="16.8">
      <c r="A77" s="86">
        <v>20</v>
      </c>
      <c r="B77" s="75" t="s">
        <v>254</v>
      </c>
      <c r="D77" s="87">
        <v>563.74706552727753</v>
      </c>
      <c r="E77" s="88">
        <v>586.13561497972955</v>
      </c>
      <c r="F77" s="88">
        <v>609.20598077974819</v>
      </c>
      <c r="G77" s="88">
        <v>632.71666746176413</v>
      </c>
      <c r="H77" s="88">
        <v>646.95403668871847</v>
      </c>
      <c r="I77" s="88">
        <v>659.84467056539904</v>
      </c>
      <c r="J77" s="88">
        <v>670.43055080080228</v>
      </c>
      <c r="K77" s="89">
        <v>675.66865115029088</v>
      </c>
      <c r="L77" s="90">
        <v>5044.7032379537304</v>
      </c>
    </row>
    <row r="78" spans="1:12" ht="16.8">
      <c r="A78" s="86">
        <v>21</v>
      </c>
      <c r="B78" s="75" t="s">
        <v>255</v>
      </c>
      <c r="D78" s="87">
        <v>396.06191309352329</v>
      </c>
      <c r="E78" s="88">
        <v>402.72145937689385</v>
      </c>
      <c r="F78" s="88">
        <v>407.81997555703845</v>
      </c>
      <c r="G78" s="88">
        <v>413.24760106910719</v>
      </c>
      <c r="H78" s="88">
        <v>413.33256025603788</v>
      </c>
      <c r="I78" s="88">
        <v>408.91934621349736</v>
      </c>
      <c r="J78" s="88">
        <v>403.2499194617846</v>
      </c>
      <c r="K78" s="89">
        <v>411.5547828254708</v>
      </c>
      <c r="L78" s="90">
        <v>3256.907557853353</v>
      </c>
    </row>
    <row r="79" spans="1:12" ht="16.8">
      <c r="A79" s="86">
        <v>22</v>
      </c>
      <c r="B79" s="75" t="s">
        <v>256</v>
      </c>
      <c r="D79" s="87">
        <v>0</v>
      </c>
      <c r="E79" s="88">
        <v>0</v>
      </c>
      <c r="F79" s="88">
        <v>0</v>
      </c>
      <c r="G79" s="88">
        <v>0</v>
      </c>
      <c r="H79" s="88">
        <v>0</v>
      </c>
      <c r="I79" s="88">
        <v>0</v>
      </c>
      <c r="J79" s="88">
        <v>0</v>
      </c>
      <c r="K79" s="89">
        <v>0</v>
      </c>
      <c r="L79" s="90">
        <v>0</v>
      </c>
    </row>
    <row r="80" spans="1:12" ht="16.8">
      <c r="A80" s="86">
        <v>23</v>
      </c>
      <c r="B80" s="75" t="s">
        <v>257</v>
      </c>
      <c r="D80" s="87">
        <v>15.168246288518162</v>
      </c>
      <c r="E80" s="88">
        <v>16.275110005972994</v>
      </c>
      <c r="F80" s="88">
        <v>15.614702904478012</v>
      </c>
      <c r="G80" s="88">
        <v>14.911674359737152</v>
      </c>
      <c r="H80" s="88">
        <v>13.033415757853545</v>
      </c>
      <c r="I80" s="88">
        <v>12.556067765830047</v>
      </c>
      <c r="J80" s="88">
        <v>11.285100906339711</v>
      </c>
      <c r="K80" s="89">
        <v>9.8268179419485548</v>
      </c>
      <c r="L80" s="90">
        <v>108.67113593067819</v>
      </c>
    </row>
    <row r="81" spans="1:12" ht="16.8">
      <c r="A81" s="86">
        <v>24</v>
      </c>
      <c r="B81" s="75" t="s">
        <v>258</v>
      </c>
      <c r="D81" s="87">
        <v>-45.715157548655313</v>
      </c>
      <c r="E81" s="88">
        <v>-45.098014380446855</v>
      </c>
      <c r="F81" s="88">
        <v>-47.31166807558472</v>
      </c>
      <c r="G81" s="88">
        <v>-43.301588881117283</v>
      </c>
      <c r="H81" s="88">
        <v>-43.349648930046129</v>
      </c>
      <c r="I81" s="88">
        <v>-47.748734624979988</v>
      </c>
      <c r="J81" s="88">
        <v>-47.397483693543194</v>
      </c>
      <c r="K81" s="89">
        <v>-47.277047237196129</v>
      </c>
      <c r="L81" s="90">
        <v>-367.19934337156963</v>
      </c>
    </row>
    <row r="82" spans="1:12" ht="16.8">
      <c r="A82" s="86">
        <v>25</v>
      </c>
      <c r="B82" s="75" t="s">
        <v>259</v>
      </c>
      <c r="D82" s="87">
        <v>82.264011770871065</v>
      </c>
      <c r="E82" s="88">
        <v>64.806423165639941</v>
      </c>
      <c r="F82" s="88">
        <v>69.07080087899206</v>
      </c>
      <c r="G82" s="88">
        <v>79.135438511757158</v>
      </c>
      <c r="H82" s="88">
        <v>80.161750017392507</v>
      </c>
      <c r="I82" s="88">
        <v>85.535675269613108</v>
      </c>
      <c r="J82" s="88">
        <v>79.809715310702813</v>
      </c>
      <c r="K82" s="89">
        <v>83.179398986986371</v>
      </c>
      <c r="L82" s="90">
        <v>623.96321391195499</v>
      </c>
    </row>
    <row r="83" spans="1:12" ht="16.8">
      <c r="A83" s="80"/>
      <c r="B83" s="81" t="s">
        <v>261</v>
      </c>
      <c r="D83" s="91"/>
      <c r="E83" s="92"/>
      <c r="F83" s="92"/>
      <c r="G83" s="92"/>
      <c r="H83" s="92"/>
      <c r="I83" s="92"/>
      <c r="J83" s="92"/>
      <c r="K83" s="93"/>
      <c r="L83" s="95"/>
    </row>
    <row r="84" spans="1:12" ht="16.8">
      <c r="A84" s="86">
        <v>26</v>
      </c>
      <c r="B84" s="75" t="s">
        <v>262</v>
      </c>
      <c r="D84" s="87">
        <v>1342.2812908140818</v>
      </c>
      <c r="E84" s="88">
        <v>1443.8294617348479</v>
      </c>
      <c r="F84" s="88">
        <v>1475.5925732296025</v>
      </c>
      <c r="G84" s="88">
        <v>1571.3868096928727</v>
      </c>
      <c r="H84" s="88">
        <v>1554.9421422395978</v>
      </c>
      <c r="I84" s="88">
        <v>1587.6274208238706</v>
      </c>
      <c r="J84" s="88">
        <v>1585.2281224827718</v>
      </c>
      <c r="K84" s="89">
        <v>1571.5841090397205</v>
      </c>
      <c r="L84" s="90">
        <v>12132.471930057365</v>
      </c>
    </row>
    <row r="85" spans="1:12" ht="16.8">
      <c r="A85" s="86">
        <v>27</v>
      </c>
      <c r="B85" s="75" t="s">
        <v>263</v>
      </c>
      <c r="D85" s="87">
        <v>0</v>
      </c>
      <c r="E85" s="88">
        <v>-5.4472436134815325</v>
      </c>
      <c r="F85" s="88">
        <v>-114.38240781754212</v>
      </c>
      <c r="G85" s="88">
        <v>-185.40168515778055</v>
      </c>
      <c r="H85" s="88">
        <v>-253.26047854710714</v>
      </c>
      <c r="I85" s="88">
        <v>-310.24084085461686</v>
      </c>
      <c r="J85" s="88">
        <v>-378.00470840034291</v>
      </c>
      <c r="K85" s="89">
        <v>0</v>
      </c>
      <c r="L85" s="90">
        <v>-1246.7373643908711</v>
      </c>
    </row>
    <row r="86" spans="1:12" ht="16.8">
      <c r="A86" s="86">
        <v>28</v>
      </c>
      <c r="B86" s="75" t="s">
        <v>264</v>
      </c>
      <c r="D86" s="96">
        <v>1342.2812908140818</v>
      </c>
      <c r="E86" s="88">
        <v>1438.3822181213663</v>
      </c>
      <c r="F86" s="88">
        <v>1361.2101654120604</v>
      </c>
      <c r="G86" s="88">
        <v>1385.9851245350922</v>
      </c>
      <c r="H86" s="88">
        <v>1301.6816636924907</v>
      </c>
      <c r="I86" s="88">
        <v>1277.3865799692537</v>
      </c>
      <c r="J86" s="88">
        <v>1207.2234140824289</v>
      </c>
      <c r="K86" s="89">
        <v>1571.5841090397205</v>
      </c>
      <c r="L86" s="90">
        <v>10885.734565666495</v>
      </c>
    </row>
    <row r="87" spans="1:12" ht="16.8">
      <c r="A87" s="86">
        <v>29</v>
      </c>
      <c r="B87" s="75" t="s">
        <v>168</v>
      </c>
      <c r="D87" s="96">
        <v>13.751034124367685</v>
      </c>
      <c r="E87" s="88">
        <v>13.274690050778315</v>
      </c>
      <c r="F87" s="88">
        <v>12.798257977175346</v>
      </c>
      <c r="G87" s="88">
        <v>0</v>
      </c>
      <c r="H87" s="88">
        <v>0</v>
      </c>
      <c r="I87" s="88">
        <v>0</v>
      </c>
      <c r="J87" s="88">
        <v>0</v>
      </c>
      <c r="K87" s="89">
        <v>0</v>
      </c>
      <c r="L87" s="90">
        <v>39.823982152321349</v>
      </c>
    </row>
    <row r="88" spans="1:12" ht="16.8">
      <c r="A88" s="86">
        <v>30</v>
      </c>
      <c r="B88" s="75" t="s">
        <v>265</v>
      </c>
      <c r="D88" s="96">
        <v>0</v>
      </c>
      <c r="E88" s="88">
        <v>0</v>
      </c>
      <c r="F88" s="88">
        <v>0</v>
      </c>
      <c r="G88" s="88">
        <v>0</v>
      </c>
      <c r="H88" s="88">
        <v>0</v>
      </c>
      <c r="I88" s="88">
        <v>0</v>
      </c>
      <c r="J88" s="88">
        <v>0</v>
      </c>
      <c r="K88" s="89">
        <v>0</v>
      </c>
      <c r="L88" s="90">
        <v>0</v>
      </c>
    </row>
    <row r="89" spans="1:12" ht="16.8">
      <c r="A89" s="86">
        <v>31</v>
      </c>
      <c r="B89" s="75" t="s">
        <v>266</v>
      </c>
      <c r="D89" s="96">
        <v>123</v>
      </c>
      <c r="E89" s="88">
        <v>122.8</v>
      </c>
      <c r="F89" s="88">
        <v>129.80000000000001</v>
      </c>
      <c r="G89" s="88">
        <v>125.6</v>
      </c>
      <c r="H89" s="88">
        <v>127.3</v>
      </c>
      <c r="I89" s="88">
        <v>128.6</v>
      </c>
      <c r="J89" s="88">
        <v>130.19999999999999</v>
      </c>
      <c r="K89" s="89">
        <v>131.69999999999999</v>
      </c>
      <c r="L89" s="90">
        <v>1019</v>
      </c>
    </row>
    <row r="90" spans="1:12" ht="16.8">
      <c r="A90" s="86">
        <v>32</v>
      </c>
      <c r="B90" s="75" t="s">
        <v>267</v>
      </c>
      <c r="D90" s="96">
        <v>1479.0323249384494</v>
      </c>
      <c r="E90" s="88">
        <v>1574.4569081721447</v>
      </c>
      <c r="F90" s="88">
        <v>1503.8084233892357</v>
      </c>
      <c r="G90" s="88">
        <v>1511.5851245350921</v>
      </c>
      <c r="H90" s="88">
        <v>1428.9816636924907</v>
      </c>
      <c r="I90" s="88">
        <v>1405.9865799692536</v>
      </c>
      <c r="J90" s="88">
        <v>1337.423414082429</v>
      </c>
      <c r="K90" s="89">
        <v>1703.2841090397205</v>
      </c>
      <c r="L90" s="90">
        <v>11944.558547818815</v>
      </c>
    </row>
    <row r="91" spans="1:12" ht="16.8">
      <c r="A91" s="80"/>
      <c r="B91" s="81" t="s">
        <v>268</v>
      </c>
      <c r="D91" s="91"/>
      <c r="E91" s="92"/>
      <c r="F91" s="92"/>
      <c r="G91" s="92"/>
      <c r="H91" s="92"/>
      <c r="I91" s="97"/>
      <c r="J91" s="92"/>
      <c r="K91" s="93"/>
      <c r="L91" s="95"/>
    </row>
    <row r="92" spans="1:12" ht="16.8">
      <c r="A92" s="86">
        <v>33</v>
      </c>
      <c r="B92" s="75" t="s">
        <v>268</v>
      </c>
      <c r="D92" s="87"/>
      <c r="E92" s="88"/>
      <c r="F92" s="88"/>
      <c r="G92" s="88"/>
      <c r="H92" s="88"/>
      <c r="I92" s="88"/>
      <c r="J92" s="88"/>
      <c r="K92" s="89"/>
      <c r="L92" s="90"/>
    </row>
    <row r="93" spans="1:12" ht="16.8">
      <c r="A93" s="86">
        <v>34</v>
      </c>
      <c r="B93" s="75" t="s">
        <v>269</v>
      </c>
      <c r="D93" s="87">
        <v>1308.7290743937444</v>
      </c>
      <c r="E93" s="88">
        <v>1287.0308504668881</v>
      </c>
      <c r="F93" s="88">
        <v>1321.6133236113992</v>
      </c>
      <c r="G93" s="88">
        <v>1368.8552685387717</v>
      </c>
      <c r="H93" s="88">
        <v>1413.3651174821453</v>
      </c>
      <c r="I93" s="88">
        <v>1444.977120731663</v>
      </c>
      <c r="J93" s="88">
        <v>1423.9020205383406</v>
      </c>
      <c r="K93" s="89">
        <v>1425.0889232802176</v>
      </c>
      <c r="L93" s="90">
        <v>10993.56169904317</v>
      </c>
    </row>
    <row r="94" spans="1:12" ht="16.8">
      <c r="A94" s="80"/>
      <c r="B94" s="81" t="s">
        <v>270</v>
      </c>
      <c r="D94" s="91"/>
      <c r="E94" s="92"/>
      <c r="F94" s="92"/>
      <c r="G94" s="92"/>
      <c r="H94" s="92"/>
      <c r="I94" s="97"/>
      <c r="J94" s="92"/>
      <c r="K94" s="93"/>
      <c r="L94" s="95"/>
    </row>
    <row r="95" spans="1:12" ht="16.8">
      <c r="A95" s="86">
        <v>35</v>
      </c>
      <c r="B95" s="98">
        <v>41729</v>
      </c>
      <c r="D95" s="96">
        <v>1342.2812908140818</v>
      </c>
      <c r="E95" s="88">
        <v>1443.8294617348479</v>
      </c>
      <c r="F95" s="88">
        <v>1475.5925732296025</v>
      </c>
      <c r="G95" s="88">
        <v>1571.3868096928727</v>
      </c>
      <c r="H95" s="88">
        <v>1554.9421422395978</v>
      </c>
      <c r="I95" s="88">
        <v>1587.6274208238706</v>
      </c>
      <c r="J95" s="88">
        <v>1585.2281224827718</v>
      </c>
      <c r="K95" s="89">
        <v>1571.5841090397205</v>
      </c>
      <c r="L95" s="90">
        <v>12132.471930057365</v>
      </c>
    </row>
    <row r="96" spans="1:12" ht="16.8">
      <c r="A96" s="86">
        <v>36</v>
      </c>
      <c r="B96" s="98">
        <v>42094</v>
      </c>
      <c r="D96" s="96">
        <v>1351.1261049786092</v>
      </c>
      <c r="E96" s="88">
        <v>1429.1347880160697</v>
      </c>
      <c r="F96" s="88">
        <v>1462.0086804414825</v>
      </c>
      <c r="G96" s="88">
        <v>1556.4385291950655</v>
      </c>
      <c r="H96" s="88">
        <v>1541.5803660033087</v>
      </c>
      <c r="I96" s="88">
        <v>1574.9318791583714</v>
      </c>
      <c r="J96" s="88">
        <v>1573.331994601642</v>
      </c>
      <c r="K96" s="89">
        <v>1560.6623383935998</v>
      </c>
      <c r="L96" s="90">
        <v>12049.214680788149</v>
      </c>
    </row>
    <row r="97" spans="1:12" ht="16.8">
      <c r="A97" s="86">
        <v>37</v>
      </c>
      <c r="B97" s="98">
        <v>42460</v>
      </c>
      <c r="D97" s="96">
        <v>1331.3980597308034</v>
      </c>
      <c r="E97" s="88">
        <v>1388.0073542188395</v>
      </c>
      <c r="F97" s="88">
        <v>1425.7005801819166</v>
      </c>
      <c r="G97" s="88">
        <v>1502.8891669978711</v>
      </c>
      <c r="H97" s="88">
        <v>1493.8347922847654</v>
      </c>
      <c r="I97" s="88">
        <v>1529.0587066230266</v>
      </c>
      <c r="J97" s="88">
        <v>1527.233008413152</v>
      </c>
      <c r="K97" s="89">
        <v>1517.1067542547255</v>
      </c>
      <c r="L97" s="90">
        <v>11715.2284227051</v>
      </c>
    </row>
    <row r="98" spans="1:12" ht="16.8">
      <c r="A98" s="86">
        <v>38</v>
      </c>
      <c r="B98" s="98">
        <v>42825</v>
      </c>
      <c r="D98" s="96">
        <v>1332.2747656182278</v>
      </c>
      <c r="E98" s="88">
        <v>1323.6480136651101</v>
      </c>
      <c r="F98" s="88">
        <v>1420.8350447387188</v>
      </c>
      <c r="G98" s="88">
        <v>1460.184666564217</v>
      </c>
      <c r="H98" s="88">
        <v>1472.5319844041626</v>
      </c>
      <c r="I98" s="88">
        <v>1510.0552888971874</v>
      </c>
      <c r="J98" s="88">
        <v>1511.2026889994647</v>
      </c>
      <c r="K98" s="89">
        <v>1502.4240557110998</v>
      </c>
      <c r="L98" s="90">
        <v>11533.156508598189</v>
      </c>
    </row>
    <row r="99" spans="1:12" ht="16.8">
      <c r="A99" s="86">
        <v>39</v>
      </c>
      <c r="B99" s="98">
        <v>43190</v>
      </c>
      <c r="D99" s="96">
        <v>1318.6363284613724</v>
      </c>
      <c r="E99" s="88">
        <v>1306.4720309915479</v>
      </c>
      <c r="F99" s="88">
        <v>1347.2820676486554</v>
      </c>
      <c r="G99" s="88">
        <v>1440.1193513858889</v>
      </c>
      <c r="H99" s="88">
        <v>1438.2756465630735</v>
      </c>
      <c r="I99" s="88">
        <v>1477.89520728143</v>
      </c>
      <c r="J99" s="88">
        <v>1478.2110765100506</v>
      </c>
      <c r="K99" s="89">
        <v>1469.3642364009108</v>
      </c>
      <c r="L99" s="90">
        <v>11276.25594524293</v>
      </c>
    </row>
    <row r="100" spans="1:12" ht="16.8">
      <c r="A100" s="86">
        <v>40</v>
      </c>
      <c r="B100" s="98">
        <v>43555</v>
      </c>
      <c r="D100" s="96">
        <v>1308.7290743937444</v>
      </c>
      <c r="E100" s="88">
        <v>1287.0308504668881</v>
      </c>
      <c r="F100" s="88">
        <v>1321.6133236113992</v>
      </c>
      <c r="G100" s="88">
        <v>1368.8552685387717</v>
      </c>
      <c r="H100" s="88">
        <v>1413.3651174821453</v>
      </c>
      <c r="I100" s="88">
        <v>1444.977120731663</v>
      </c>
      <c r="J100" s="88">
        <v>1423.9020205383406</v>
      </c>
      <c r="K100" s="89">
        <v>1425.0889232802176</v>
      </c>
      <c r="L100" s="90">
        <v>10993.56169904317</v>
      </c>
    </row>
    <row r="101" spans="1:12" ht="16.8">
      <c r="A101" s="86">
        <v>41</v>
      </c>
      <c r="B101" s="98">
        <v>43921</v>
      </c>
      <c r="D101" s="96">
        <v>1309.8619112946983</v>
      </c>
      <c r="E101" s="88">
        <v>1279.6619038420088</v>
      </c>
      <c r="F101" s="88">
        <v>1303.6615664216968</v>
      </c>
      <c r="G101" s="88">
        <v>1339.1083503624304</v>
      </c>
      <c r="H101" s="88">
        <v>1349.7048740319897</v>
      </c>
      <c r="I101" s="88">
        <v>1412.711340799927</v>
      </c>
      <c r="J101" s="88">
        <v>1371.9602848113248</v>
      </c>
      <c r="K101" s="89">
        <v>1370.5844468848989</v>
      </c>
      <c r="L101" s="90">
        <v>10737.254678448975</v>
      </c>
    </row>
    <row r="102" spans="1:12" ht="16.8">
      <c r="A102" s="86">
        <v>42</v>
      </c>
      <c r="B102" s="98">
        <v>44286</v>
      </c>
      <c r="D102" s="96" t="s">
        <v>455</v>
      </c>
      <c r="E102" s="88" t="s">
        <v>455</v>
      </c>
      <c r="F102" s="88" t="s">
        <v>455</v>
      </c>
      <c r="G102" s="88" t="s">
        <v>455</v>
      </c>
      <c r="H102" s="88" t="s">
        <v>455</v>
      </c>
      <c r="I102" s="88" t="s">
        <v>455</v>
      </c>
      <c r="J102" s="88" t="s">
        <v>455</v>
      </c>
      <c r="K102" s="89" t="s">
        <v>455</v>
      </c>
      <c r="L102" s="90">
        <v>0</v>
      </c>
    </row>
    <row r="103" spans="1:12" ht="16.8">
      <c r="A103" s="80"/>
      <c r="B103" s="81" t="s">
        <v>271</v>
      </c>
      <c r="D103" s="91"/>
      <c r="E103" s="92"/>
      <c r="F103" s="92"/>
      <c r="G103" s="92"/>
      <c r="H103" s="92"/>
      <c r="I103" s="97"/>
      <c r="J103" s="92"/>
      <c r="K103" s="93"/>
      <c r="L103" s="95"/>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-5.4472436134815325</v>
      </c>
      <c r="F105" s="88">
        <v>0</v>
      </c>
      <c r="G105" s="88">
        <v>0</v>
      </c>
      <c r="H105" s="88">
        <v>0</v>
      </c>
      <c r="I105" s="88">
        <v>0</v>
      </c>
      <c r="J105" s="88">
        <v>0</v>
      </c>
      <c r="K105" s="89">
        <v>0</v>
      </c>
      <c r="L105" s="90">
        <v>-5.4472436134815325</v>
      </c>
    </row>
    <row r="106" spans="1:12" ht="16.8">
      <c r="A106" s="86">
        <v>45</v>
      </c>
      <c r="B106" s="98">
        <v>42460</v>
      </c>
      <c r="D106" s="96">
        <v>0</v>
      </c>
      <c r="E106" s="88">
        <v>-5.4472436134815325</v>
      </c>
      <c r="F106" s="88">
        <v>-114.38240781754212</v>
      </c>
      <c r="G106" s="88">
        <v>0</v>
      </c>
      <c r="H106" s="88">
        <v>0</v>
      </c>
      <c r="I106" s="88">
        <v>0</v>
      </c>
      <c r="J106" s="88">
        <v>0</v>
      </c>
      <c r="K106" s="89">
        <v>0</v>
      </c>
      <c r="L106" s="90">
        <v>-119.82965143102365</v>
      </c>
    </row>
    <row r="107" spans="1:12" ht="16.8">
      <c r="A107" s="86">
        <v>46</v>
      </c>
      <c r="B107" s="98">
        <v>42825</v>
      </c>
      <c r="D107" s="96">
        <v>0</v>
      </c>
      <c r="E107" s="88">
        <v>-5.4472436134815325</v>
      </c>
      <c r="F107" s="88">
        <v>-114.38240781754212</v>
      </c>
      <c r="G107" s="88">
        <v>-185.40168515778055</v>
      </c>
      <c r="H107" s="88">
        <v>0</v>
      </c>
      <c r="I107" s="88">
        <v>0</v>
      </c>
      <c r="J107" s="88">
        <v>0</v>
      </c>
      <c r="K107" s="89">
        <v>0</v>
      </c>
      <c r="L107" s="90">
        <v>-305.2313365888042</v>
      </c>
    </row>
    <row r="108" spans="1:12" ht="16.8">
      <c r="A108" s="86">
        <v>47</v>
      </c>
      <c r="B108" s="98">
        <v>43190</v>
      </c>
      <c r="D108" s="96">
        <v>0</v>
      </c>
      <c r="E108" s="88">
        <v>-5.4472436134815325</v>
      </c>
      <c r="F108" s="88">
        <v>-114.38240781754212</v>
      </c>
      <c r="G108" s="88">
        <v>-185.40168515778055</v>
      </c>
      <c r="H108" s="88">
        <v>-253.26047854710714</v>
      </c>
      <c r="I108" s="88">
        <v>0</v>
      </c>
      <c r="J108" s="88">
        <v>0</v>
      </c>
      <c r="K108" s="89">
        <v>0</v>
      </c>
      <c r="L108" s="90">
        <v>-558.49181513591134</v>
      </c>
    </row>
    <row r="109" spans="1:12" ht="16.8">
      <c r="A109" s="86">
        <v>48</v>
      </c>
      <c r="B109" s="98">
        <v>43555</v>
      </c>
      <c r="D109" s="96">
        <v>0</v>
      </c>
      <c r="E109" s="88">
        <v>-5.4472436134815325</v>
      </c>
      <c r="F109" s="88">
        <v>-114.38240781754212</v>
      </c>
      <c r="G109" s="88">
        <v>-185.40168515778055</v>
      </c>
      <c r="H109" s="88">
        <v>-253.26047854710714</v>
      </c>
      <c r="I109" s="88">
        <v>-310.24084085461686</v>
      </c>
      <c r="J109" s="88">
        <v>0</v>
      </c>
      <c r="K109" s="89">
        <v>0</v>
      </c>
      <c r="L109" s="90">
        <v>-868.7326559905282</v>
      </c>
    </row>
    <row r="110" spans="1:12" ht="16.8">
      <c r="A110" s="86">
        <v>49</v>
      </c>
      <c r="B110" s="98">
        <v>43921</v>
      </c>
      <c r="D110" s="96">
        <v>0</v>
      </c>
      <c r="E110" s="88">
        <v>-5.4472436134815325</v>
      </c>
      <c r="F110" s="88">
        <v>-114.38240781754212</v>
      </c>
      <c r="G110" s="88">
        <v>-185.40168515778055</v>
      </c>
      <c r="H110" s="88">
        <v>-253.26047854710714</v>
      </c>
      <c r="I110" s="88">
        <v>-310.24084085461686</v>
      </c>
      <c r="J110" s="88">
        <v>-378.00470840034291</v>
      </c>
      <c r="K110" s="89">
        <v>0</v>
      </c>
      <c r="L110" s="90">
        <v>-1246.7373643908711</v>
      </c>
    </row>
    <row r="111" spans="1:12" ht="16.8">
      <c r="A111" s="86">
        <v>50</v>
      </c>
      <c r="B111" s="98">
        <v>44286</v>
      </c>
      <c r="D111" s="96" t="s">
        <v>455</v>
      </c>
      <c r="E111" s="88" t="s">
        <v>455</v>
      </c>
      <c r="F111" s="88" t="s">
        <v>455</v>
      </c>
      <c r="G111" s="88" t="s">
        <v>455</v>
      </c>
      <c r="H111" s="88" t="s">
        <v>455</v>
      </c>
      <c r="I111" s="88" t="s">
        <v>455</v>
      </c>
      <c r="J111" s="88" t="s">
        <v>455</v>
      </c>
      <c r="K111" s="89" t="s">
        <v>455</v>
      </c>
      <c r="L111" s="90">
        <v>0</v>
      </c>
    </row>
    <row r="112" spans="1:12" ht="16.8">
      <c r="A112" s="80"/>
      <c r="B112" s="81" t="s">
        <v>272</v>
      </c>
      <c r="D112" s="91"/>
      <c r="E112" s="92"/>
      <c r="F112" s="92"/>
      <c r="G112" s="92"/>
      <c r="H112" s="92"/>
      <c r="I112" s="97"/>
      <c r="J112" s="92"/>
      <c r="K112" s="93"/>
      <c r="L112" s="95"/>
    </row>
    <row r="113" spans="1:12" ht="16.8">
      <c r="A113" s="86">
        <v>51</v>
      </c>
      <c r="B113" s="75" t="s">
        <v>273</v>
      </c>
      <c r="D113" s="87">
        <v>8700.832888697787</v>
      </c>
      <c r="E113" s="88">
        <v>9086.6755274569914</v>
      </c>
      <c r="F113" s="88">
        <v>9418.4751860747892</v>
      </c>
      <c r="G113" s="88">
        <v>9774.0681425995062</v>
      </c>
      <c r="H113" s="88">
        <v>10003.208137851836</v>
      </c>
      <c r="I113" s="88">
        <v>10362.882570032878</v>
      </c>
      <c r="J113" s="88">
        <v>10759.069355970772</v>
      </c>
      <c r="K113" s="89">
        <v>10980.650555642229</v>
      </c>
      <c r="L113" s="90">
        <v>79085.862364326793</v>
      </c>
    </row>
    <row r="114" spans="1:12" ht="16.8">
      <c r="A114" s="86">
        <v>52</v>
      </c>
      <c r="B114" s="75" t="s">
        <v>26</v>
      </c>
      <c r="D114" s="99">
        <v>0.6</v>
      </c>
      <c r="E114" s="100">
        <v>0.6</v>
      </c>
      <c r="F114" s="100">
        <v>0.6</v>
      </c>
      <c r="G114" s="100">
        <v>0.6</v>
      </c>
      <c r="H114" s="100">
        <v>0.6</v>
      </c>
      <c r="I114" s="100">
        <v>0.6</v>
      </c>
      <c r="J114" s="100">
        <v>0.6</v>
      </c>
      <c r="K114" s="101">
        <v>0.6</v>
      </c>
      <c r="L114" s="102">
        <v>0.6</v>
      </c>
    </row>
    <row r="115" spans="1:12" ht="16.8">
      <c r="A115" s="86">
        <v>53</v>
      </c>
      <c r="B115" s="75" t="s">
        <v>274</v>
      </c>
      <c r="D115" s="87">
        <v>3480.3331554791148</v>
      </c>
      <c r="E115" s="88">
        <v>3634.6702109827966</v>
      </c>
      <c r="F115" s="88">
        <v>3767.3900744299158</v>
      </c>
      <c r="G115" s="88">
        <v>3909.6272570398028</v>
      </c>
      <c r="H115" s="88">
        <v>4001.2832551407346</v>
      </c>
      <c r="I115" s="88">
        <v>4145.153028013151</v>
      </c>
      <c r="J115" s="88">
        <v>4303.6277423883093</v>
      </c>
      <c r="K115" s="89">
        <v>4392.2602222568921</v>
      </c>
      <c r="L115" s="90">
        <v>31634.344945730718</v>
      </c>
    </row>
    <row r="116" spans="1:12" ht="16.8">
      <c r="A116" s="86">
        <v>54</v>
      </c>
      <c r="B116" s="75" t="s">
        <v>275</v>
      </c>
      <c r="D116" s="87">
        <v>152.43859220998522</v>
      </c>
      <c r="E116" s="88">
        <v>148.29454460809808</v>
      </c>
      <c r="F116" s="88">
        <v>144.10267034694425</v>
      </c>
      <c r="G116" s="88">
        <v>139.57369307632095</v>
      </c>
      <c r="H116" s="88">
        <v>133.24273239618645</v>
      </c>
      <c r="I116" s="88">
        <v>118.75863425257678</v>
      </c>
      <c r="J116" s="88">
        <v>101.99597749460293</v>
      </c>
      <c r="K116" s="89">
        <v>104.09656726748833</v>
      </c>
      <c r="L116" s="90">
        <v>1042.5034116522031</v>
      </c>
    </row>
    <row r="117" spans="1:12" ht="17.399999999999999" thickBot="1">
      <c r="A117" s="103">
        <v>55</v>
      </c>
      <c r="B117" s="104" t="s">
        <v>276</v>
      </c>
      <c r="D117" s="105">
        <v>243.62332088353807</v>
      </c>
      <c r="E117" s="106">
        <v>254.42691476879577</v>
      </c>
      <c r="F117" s="106">
        <v>263.7173052100942</v>
      </c>
      <c r="G117" s="106">
        <v>273.67390799278621</v>
      </c>
      <c r="H117" s="106">
        <v>280.08982785985143</v>
      </c>
      <c r="I117" s="106">
        <v>290.16071196092059</v>
      </c>
      <c r="J117" s="106">
        <v>301.25394196718167</v>
      </c>
      <c r="K117" s="107">
        <v>307.4582155579825</v>
      </c>
      <c r="L117" s="108">
        <v>2214.4041462011505</v>
      </c>
    </row>
    <row r="121" spans="1:12">
      <c r="B121" t="s">
        <v>348</v>
      </c>
      <c r="D121" s="53">
        <v>-176.76646979458337</v>
      </c>
    </row>
    <row r="124" spans="1:12">
      <c r="D124" s="53"/>
      <c r="E124" s="53"/>
    </row>
    <row r="125" spans="1:12">
      <c r="D125" s="53">
        <f>D132+D129-D128</f>
        <v>1074.38611670654</v>
      </c>
      <c r="E125" s="53">
        <f t="shared" ref="E125:K125" si="31">E132+E129-E128</f>
        <v>1035.6637334191012</v>
      </c>
      <c r="F125" s="53">
        <f t="shared" si="31"/>
        <v>998.03996861912071</v>
      </c>
      <c r="G125" s="53">
        <f t="shared" si="31"/>
        <v>876.75276435226465</v>
      </c>
      <c r="H125" s="53">
        <f t="shared" si="31"/>
        <v>860.74692261556481</v>
      </c>
      <c r="I125" s="53">
        <f t="shared" si="31"/>
        <v>1166.9257363603763</v>
      </c>
      <c r="J125" s="53">
        <f t="shared" si="31"/>
        <v>945.80201268424867</v>
      </c>
      <c r="K125" s="53">
        <f t="shared" si="31"/>
        <v>849.74839294574122</v>
      </c>
    </row>
    <row r="128" spans="1:12" ht="16.8">
      <c r="B128" s="110" t="s">
        <v>287</v>
      </c>
      <c r="D128" s="187">
        <v>5.1119303278452115</v>
      </c>
      <c r="E128" s="187">
        <v>6.1309481710615064</v>
      </c>
      <c r="F128" s="187">
        <v>6.1309481710615064</v>
      </c>
      <c r="G128" s="187">
        <v>0</v>
      </c>
      <c r="H128" s="187">
        <v>0</v>
      </c>
      <c r="I128" s="187">
        <v>0</v>
      </c>
      <c r="J128" s="187">
        <v>0</v>
      </c>
      <c r="K128" s="187">
        <v>0</v>
      </c>
    </row>
    <row r="129" spans="2:25" ht="16.8">
      <c r="B129" s="110" t="s">
        <v>349</v>
      </c>
      <c r="D129" s="187">
        <v>99.762455143961176</v>
      </c>
      <c r="E129" s="187">
        <v>94.650524816115961</v>
      </c>
      <c r="F129" s="187">
        <v>88.519576645054457</v>
      </c>
      <c r="G129" s="187">
        <v>0</v>
      </c>
      <c r="H129" s="187">
        <v>0</v>
      </c>
      <c r="I129" s="187">
        <v>0</v>
      </c>
      <c r="J129" s="187">
        <v>0</v>
      </c>
      <c r="K129" s="187">
        <v>0</v>
      </c>
    </row>
    <row r="130" spans="2:25">
      <c r="D130" s="53"/>
      <c r="E130" s="53"/>
      <c r="F130" s="53"/>
      <c r="G130" s="53"/>
      <c r="H130" s="53"/>
      <c r="I130" s="53"/>
      <c r="J130" s="53"/>
      <c r="K130" s="53"/>
    </row>
    <row r="131" spans="2:25">
      <c r="B131" t="s">
        <v>289</v>
      </c>
      <c r="D131" s="53">
        <f>D129+D61</f>
        <v>8790.8537557518612</v>
      </c>
      <c r="E131" s="53">
        <f t="shared" ref="E131:K131" si="32">E129+E61</f>
        <v>9201.7303517871624</v>
      </c>
      <c r="F131" s="53">
        <f t="shared" si="32"/>
        <v>9556.6079454104201</v>
      </c>
      <c r="G131" s="53">
        <f t="shared" si="32"/>
        <v>9856.9223566047385</v>
      </c>
      <c r="H131" s="53">
        <f t="shared" si="32"/>
        <v>10100.958453495239</v>
      </c>
      <c r="I131" s="53">
        <f t="shared" si="32"/>
        <v>10314.751339422088</v>
      </c>
      <c r="J131" s="53">
        <f t="shared" si="32"/>
        <v>10821.832405217065</v>
      </c>
      <c r="K131" s="53">
        <f t="shared" si="32"/>
        <v>11097.20386710051</v>
      </c>
      <c r="L131" s="53"/>
      <c r="N131" s="53">
        <f>D131*N$1</f>
        <v>10258.926332962423</v>
      </c>
      <c r="O131" s="53">
        <f t="shared" ref="O131:U131" si="33">E131*O$1</f>
        <v>10950.059118626723</v>
      </c>
      <c r="P131" s="53">
        <f t="shared" si="33"/>
        <v>11487.042750383325</v>
      </c>
      <c r="Q131" s="53">
        <f t="shared" si="33"/>
        <v>12104.300653910619</v>
      </c>
      <c r="R131" s="53">
        <f t="shared" si="33"/>
        <v>12868.621069752935</v>
      </c>
      <c r="S131" s="53">
        <f t="shared" si="33"/>
        <v>13574.212762679468</v>
      </c>
      <c r="T131" s="53">
        <f t="shared" si="33"/>
        <v>14685.226573879556</v>
      </c>
      <c r="U131" s="53">
        <f t="shared" si="33"/>
        <v>15513.891006206512</v>
      </c>
    </row>
    <row r="132" spans="2:25">
      <c r="B132" t="str">
        <f>B62</f>
        <v>RAV additions (after disposals)</v>
      </c>
      <c r="D132" s="53">
        <f>D62</f>
        <v>979.73559189042385</v>
      </c>
      <c r="E132" s="53">
        <f t="shared" ref="E132:K132" si="34">E62</f>
        <v>947.14415677404679</v>
      </c>
      <c r="F132" s="53">
        <f t="shared" si="34"/>
        <v>915.65134014512773</v>
      </c>
      <c r="G132" s="53">
        <f t="shared" si="34"/>
        <v>876.75276435226465</v>
      </c>
      <c r="H132" s="53">
        <f t="shared" si="34"/>
        <v>860.74692261556481</v>
      </c>
      <c r="I132" s="53">
        <f t="shared" si="34"/>
        <v>1166.9257363603763</v>
      </c>
      <c r="J132" s="53">
        <f t="shared" si="34"/>
        <v>945.80201268424867</v>
      </c>
      <c r="K132" s="53">
        <f t="shared" si="34"/>
        <v>849.74839294574122</v>
      </c>
    </row>
    <row r="133" spans="2:25">
      <c r="B133" t="str">
        <f t="shared" ref="B133:B134" si="35">B63</f>
        <v>Depreciation</v>
      </c>
      <c r="D133" s="53">
        <f>D63-D128</f>
        <v>-568.85899585512277</v>
      </c>
      <c r="E133" s="53">
        <f t="shared" ref="E133:K133" si="36">E63-E128</f>
        <v>-592.26656315079106</v>
      </c>
      <c r="F133" s="53">
        <f t="shared" si="36"/>
        <v>-615.33692895080969</v>
      </c>
      <c r="G133" s="53">
        <f t="shared" si="36"/>
        <v>-632.71666746176413</v>
      </c>
      <c r="H133" s="53">
        <f t="shared" si="36"/>
        <v>-646.95403668871847</v>
      </c>
      <c r="I133" s="53">
        <f t="shared" si="36"/>
        <v>-659.84467056539904</v>
      </c>
      <c r="J133" s="53">
        <f t="shared" si="36"/>
        <v>-670.43055080080228</v>
      </c>
      <c r="K133" s="53">
        <f t="shared" si="36"/>
        <v>-675.66865115029088</v>
      </c>
    </row>
    <row r="134" spans="2:25">
      <c r="B134" t="str">
        <f t="shared" si="35"/>
        <v>Closing asset value</v>
      </c>
      <c r="D134" s="53">
        <f>SUM(D131:D133)</f>
        <v>9201.7303517871624</v>
      </c>
      <c r="E134" s="53">
        <f t="shared" ref="E134:J134" si="37">SUM(E131:E133)</f>
        <v>9556.6079454104183</v>
      </c>
      <c r="F134" s="53">
        <f t="shared" si="37"/>
        <v>9856.9223566047385</v>
      </c>
      <c r="G134" s="53">
        <f t="shared" si="37"/>
        <v>10100.958453495239</v>
      </c>
      <c r="H134" s="53">
        <f t="shared" si="37"/>
        <v>10314.751339422086</v>
      </c>
      <c r="I134" s="53">
        <f t="shared" si="37"/>
        <v>10821.832405217065</v>
      </c>
      <c r="J134" s="53">
        <f t="shared" si="37"/>
        <v>11097.203867100512</v>
      </c>
      <c r="K134" s="53">
        <f>SUM(K131:K133)</f>
        <v>11271.283608895961</v>
      </c>
      <c r="N134" s="53">
        <f>D134*N$1</f>
        <v>10738.419320535619</v>
      </c>
      <c r="O134" s="53">
        <f t="shared" ref="O134:U134" si="38">E134*O$1</f>
        <v>11372.363455038398</v>
      </c>
      <c r="P134" s="53">
        <f t="shared" si="38"/>
        <v>11848.020672638895</v>
      </c>
      <c r="Q134" s="53">
        <f t="shared" si="38"/>
        <v>12403.976980892154</v>
      </c>
      <c r="R134" s="53">
        <f t="shared" si="38"/>
        <v>13140.993206423738</v>
      </c>
      <c r="S134" s="53">
        <f t="shared" si="38"/>
        <v>14241.531445265658</v>
      </c>
      <c r="T134" s="53">
        <f t="shared" si="38"/>
        <v>15058.905647655394</v>
      </c>
      <c r="U134" s="53">
        <f t="shared" si="38"/>
        <v>15757.254485236552</v>
      </c>
      <c r="V134" s="53"/>
      <c r="W134" s="53"/>
      <c r="X134" s="53"/>
      <c r="Y134" s="53"/>
    </row>
    <row r="135" spans="2:25">
      <c r="D135" s="53"/>
      <c r="E135" s="53"/>
      <c r="F135" s="53"/>
      <c r="G135" s="53"/>
      <c r="H135" s="53"/>
      <c r="I135" s="53"/>
      <c r="J135" s="53"/>
      <c r="K135" s="53"/>
    </row>
    <row r="136" spans="2:25">
      <c r="D136" s="53"/>
      <c r="E136" s="53"/>
      <c r="F136" s="53"/>
      <c r="G136" s="53"/>
      <c r="H136" s="53"/>
      <c r="I136" s="53"/>
      <c r="J136" s="53"/>
      <c r="K136" s="53"/>
    </row>
    <row r="137" spans="2:25">
      <c r="B137" t="s">
        <v>290</v>
      </c>
      <c r="D137" s="187">
        <v>1.5</v>
      </c>
      <c r="E137" s="187">
        <v>1.3</v>
      </c>
      <c r="F137" s="187">
        <v>1.3</v>
      </c>
      <c r="G137" s="187">
        <v>1.5</v>
      </c>
      <c r="H137" s="187">
        <v>1.3</v>
      </c>
      <c r="I137" s="187">
        <v>1.3</v>
      </c>
      <c r="J137" s="187">
        <v>1.5</v>
      </c>
      <c r="K137" s="187">
        <v>1.3</v>
      </c>
    </row>
    <row r="138" spans="2:25">
      <c r="B138" t="s">
        <v>291</v>
      </c>
      <c r="D138" s="187">
        <v>28.929052554944597</v>
      </c>
      <c r="E138" s="187">
        <v>28.929052554944597</v>
      </c>
      <c r="F138" s="187">
        <v>32.585753058109198</v>
      </c>
      <c r="G138" s="187">
        <v>32.585753058109198</v>
      </c>
      <c r="H138" s="187">
        <v>32.585753058109198</v>
      </c>
      <c r="I138" s="187">
        <v>27.850019605627921</v>
      </c>
      <c r="J138" s="187">
        <v>27.850019605627921</v>
      </c>
      <c r="K138" s="187">
        <v>27.850019605627921</v>
      </c>
    </row>
    <row r="139" spans="2:25">
      <c r="B139" t="s">
        <v>292</v>
      </c>
      <c r="D139" s="187">
        <v>30.429052554944597</v>
      </c>
      <c r="E139" s="187">
        <v>30.229052554944598</v>
      </c>
      <c r="F139" s="187">
        <v>33.885753058109195</v>
      </c>
      <c r="G139" s="187">
        <v>34.085753058109198</v>
      </c>
      <c r="H139" s="187">
        <v>33.885753058109195</v>
      </c>
      <c r="I139" s="187">
        <v>29.150019605627921</v>
      </c>
      <c r="J139" s="187">
        <v>29.350019605627921</v>
      </c>
      <c r="K139" s="187">
        <v>29.150019605627921</v>
      </c>
    </row>
    <row r="140" spans="2:25">
      <c r="B140" t="s">
        <v>293</v>
      </c>
      <c r="D140" s="187">
        <v>1.6281727480620216</v>
      </c>
      <c r="E140" s="187">
        <v>1.7003333642561302</v>
      </c>
      <c r="F140" s="187">
        <v>1.7739577989284205</v>
      </c>
      <c r="G140" s="187">
        <v>1.8489607346671144</v>
      </c>
      <c r="H140" s="187">
        <v>1.9253597922235597</v>
      </c>
      <c r="I140" s="187">
        <v>2.0013344896247016</v>
      </c>
      <c r="J140" s="187">
        <v>2.0763445062958352</v>
      </c>
      <c r="K140" s="187">
        <v>2.1541658983918031</v>
      </c>
    </row>
    <row r="141" spans="2:25">
      <c r="B141" s="38" t="s">
        <v>294</v>
      </c>
      <c r="C141" s="38"/>
      <c r="D141" s="58">
        <f>D139+D140</f>
        <v>32.057225303006618</v>
      </c>
      <c r="E141" s="58">
        <f t="shared" ref="E141:K141" si="39">E139+E140</f>
        <v>31.92938591920073</v>
      </c>
      <c r="F141" s="58">
        <f t="shared" si="39"/>
        <v>35.659710857037616</v>
      </c>
      <c r="G141" s="58">
        <f t="shared" si="39"/>
        <v>35.934713792776314</v>
      </c>
      <c r="H141" s="58">
        <f t="shared" si="39"/>
        <v>35.811112850332755</v>
      </c>
      <c r="I141" s="58">
        <f t="shared" si="39"/>
        <v>31.151354095252621</v>
      </c>
      <c r="J141" s="58">
        <f t="shared" si="39"/>
        <v>31.426364111923757</v>
      </c>
      <c r="K141" s="58">
        <f t="shared" si="39"/>
        <v>31.304185504019724</v>
      </c>
    </row>
    <row r="142" spans="2:25">
      <c r="D142" s="53"/>
      <c r="E142" s="53"/>
      <c r="F142" s="53"/>
      <c r="G142" s="53"/>
      <c r="H142" s="53"/>
      <c r="I142" s="53"/>
      <c r="J142" s="53"/>
      <c r="K142" s="53"/>
    </row>
    <row r="143" spans="2:25">
      <c r="B143" t="s">
        <v>350</v>
      </c>
      <c r="D143" s="187">
        <v>19.092223163426969</v>
      </c>
      <c r="E143" s="187">
        <v>19.938390494030049</v>
      </c>
      <c r="F143" s="187">
        <v>20.801722802421548</v>
      </c>
      <c r="G143" s="187">
        <v>21.681219642507934</v>
      </c>
      <c r="H143" s="187">
        <v>22.577087638136362</v>
      </c>
      <c r="I143" s="187">
        <v>23.467979516337223</v>
      </c>
      <c r="J143" s="187">
        <v>24.347559388609543</v>
      </c>
      <c r="K143" s="187">
        <v>25.260105914494627</v>
      </c>
    </row>
    <row r="144" spans="2:25">
      <c r="B144" t="s">
        <v>296</v>
      </c>
      <c r="D144" s="187">
        <v>18.768393984911107</v>
      </c>
      <c r="E144" s="187">
        <v>19.600209206322365</v>
      </c>
      <c r="F144" s="187">
        <v>20.448898264956121</v>
      </c>
      <c r="G144" s="187">
        <v>21.313477683598467</v>
      </c>
      <c r="H144" s="187">
        <v>22.194150581484756</v>
      </c>
      <c r="I144" s="187">
        <v>23.069931763430148</v>
      </c>
      <c r="J144" s="187">
        <v>23.934592805923508</v>
      </c>
      <c r="K144" s="187">
        <v>24.831661344289522</v>
      </c>
    </row>
    <row r="145" spans="2:21" ht="16.8">
      <c r="B145" s="179" t="s">
        <v>266</v>
      </c>
      <c r="D145" s="187">
        <f>-D89</f>
        <v>-123</v>
      </c>
      <c r="E145" s="187">
        <f t="shared" ref="E145:K145" si="40">-E89</f>
        <v>-122.8</v>
      </c>
      <c r="F145" s="187">
        <f t="shared" si="40"/>
        <v>-129.80000000000001</v>
      </c>
      <c r="G145" s="187">
        <f t="shared" si="40"/>
        <v>-125.6</v>
      </c>
      <c r="H145" s="187">
        <f t="shared" si="40"/>
        <v>-127.3</v>
      </c>
      <c r="I145" s="187">
        <f t="shared" si="40"/>
        <v>-128.6</v>
      </c>
      <c r="J145" s="187">
        <f t="shared" si="40"/>
        <v>-130.19999999999999</v>
      </c>
      <c r="K145" s="187">
        <f t="shared" si="40"/>
        <v>-131.69999999999999</v>
      </c>
    </row>
    <row r="146" spans="2:21" ht="16.8">
      <c r="B146" s="179" t="s">
        <v>351</v>
      </c>
      <c r="D146" s="187">
        <v>7.367</v>
      </c>
      <c r="E146" s="187">
        <v>6.234</v>
      </c>
      <c r="F146" s="187">
        <v>5.5780000000000003</v>
      </c>
      <c r="G146" s="187">
        <v>3.3689999999999998</v>
      </c>
      <c r="H146" s="187">
        <v>3.3680000000000003</v>
      </c>
      <c r="I146" s="187">
        <v>3.1619999999999999</v>
      </c>
      <c r="J146" s="187">
        <v>3.0940000000000003</v>
      </c>
      <c r="K146" s="187">
        <v>3.0270000000000001</v>
      </c>
    </row>
    <row r="147" spans="2:21">
      <c r="B147" s="38" t="s">
        <v>298</v>
      </c>
      <c r="D147" s="58">
        <f>SUM(D141:D146)</f>
        <v>-45.71515754865532</v>
      </c>
      <c r="E147" s="58">
        <f t="shared" ref="E147:K147" si="41">SUM(E141:E146)</f>
        <v>-45.098014380446848</v>
      </c>
      <c r="F147" s="58">
        <f t="shared" si="41"/>
        <v>-47.31166807558472</v>
      </c>
      <c r="G147" s="58">
        <f t="shared" si="41"/>
        <v>-43.301588881117283</v>
      </c>
      <c r="H147" s="58">
        <f t="shared" si="41"/>
        <v>-43.349648930046122</v>
      </c>
      <c r="I147" s="58">
        <f t="shared" si="41"/>
        <v>-47.748734624979996</v>
      </c>
      <c r="J147" s="58">
        <f t="shared" si="41"/>
        <v>-47.397483693543187</v>
      </c>
      <c r="K147" s="58">
        <f t="shared" si="41"/>
        <v>-47.277047237196115</v>
      </c>
    </row>
    <row r="148" spans="2:21">
      <c r="B148" t="s">
        <v>299</v>
      </c>
      <c r="D148" s="187">
        <v>13.751034124367685</v>
      </c>
      <c r="E148" s="187">
        <v>13.274690050778315</v>
      </c>
      <c r="F148" s="187">
        <v>12.798257977175346</v>
      </c>
      <c r="G148" s="187">
        <v>0</v>
      </c>
      <c r="H148" s="187">
        <v>0</v>
      </c>
      <c r="I148" s="187">
        <v>0</v>
      </c>
      <c r="J148" s="187">
        <v>0</v>
      </c>
      <c r="K148" s="187">
        <v>0</v>
      </c>
    </row>
    <row r="149" spans="2:21">
      <c r="D149" s="53"/>
      <c r="E149" s="53"/>
      <c r="F149" s="53"/>
      <c r="G149" s="53"/>
      <c r="H149" s="53"/>
      <c r="I149" s="53"/>
      <c r="J149" s="53"/>
      <c r="K149" s="53"/>
    </row>
    <row r="150" spans="2:21">
      <c r="B150" t="s">
        <v>300</v>
      </c>
      <c r="D150" s="53">
        <f>SUM(D143:D146,D148)</f>
        <v>-64.021348727294225</v>
      </c>
      <c r="E150" s="53">
        <f t="shared" ref="E150:K150" si="42">SUM(E143:E146,E148)</f>
        <v>-63.752710248869278</v>
      </c>
      <c r="F150" s="53">
        <f t="shared" si="42"/>
        <v>-70.17312095544699</v>
      </c>
      <c r="G150" s="53">
        <f t="shared" si="42"/>
        <v>-79.23630267389359</v>
      </c>
      <c r="H150" s="53">
        <f t="shared" si="42"/>
        <v>-79.160761780378891</v>
      </c>
      <c r="I150" s="53">
        <f t="shared" si="42"/>
        <v>-78.900088720232617</v>
      </c>
      <c r="J150" s="53">
        <f t="shared" si="42"/>
        <v>-78.82384780546694</v>
      </c>
      <c r="K150" s="53">
        <f t="shared" si="42"/>
        <v>-78.581232741215842</v>
      </c>
    </row>
    <row r="153" spans="2:21" ht="16.8">
      <c r="B153" s="75" t="s">
        <v>247</v>
      </c>
      <c r="D153" s="87">
        <f>D190</f>
        <v>74.160747515587701</v>
      </c>
      <c r="E153" s="88">
        <f t="shared" ref="E153:K156" si="43">E190</f>
        <v>94.867572674081416</v>
      </c>
      <c r="F153" s="88">
        <f t="shared" si="43"/>
        <v>107.32395023965394</v>
      </c>
      <c r="G153" s="88">
        <f t="shared" si="43"/>
        <v>117.68156233117602</v>
      </c>
      <c r="H153" s="88">
        <f t="shared" si="43"/>
        <v>128.14555715234539</v>
      </c>
      <c r="I153" s="88">
        <f t="shared" si="43"/>
        <v>137.84340374580378</v>
      </c>
      <c r="J153" s="88">
        <f t="shared" si="43"/>
        <v>150.67545990927701</v>
      </c>
      <c r="K153" s="89">
        <f t="shared" si="43"/>
        <v>153.08746140391688</v>
      </c>
    </row>
    <row r="154" spans="2:21" ht="16.8">
      <c r="B154" s="75" t="s">
        <v>248</v>
      </c>
      <c r="D154" s="87">
        <f>D191</f>
        <v>36.35214651185791</v>
      </c>
      <c r="E154" s="88">
        <f t="shared" si="43"/>
        <v>31.83581605402069</v>
      </c>
      <c r="F154" s="88">
        <f t="shared" si="43"/>
        <v>32.88014912180234</v>
      </c>
      <c r="G154" s="88">
        <f t="shared" si="43"/>
        <v>35.854507608377922</v>
      </c>
      <c r="H154" s="88">
        <f t="shared" si="43"/>
        <v>38.744690302289541</v>
      </c>
      <c r="I154" s="88">
        <f t="shared" si="43"/>
        <v>44.905969249528752</v>
      </c>
      <c r="J154" s="88">
        <f t="shared" si="43"/>
        <v>38.052958057139982</v>
      </c>
      <c r="K154" s="89">
        <f t="shared" si="43"/>
        <v>37.591412740965801</v>
      </c>
    </row>
    <row r="155" spans="2:21" ht="16.8">
      <c r="B155" s="75" t="s">
        <v>249</v>
      </c>
      <c r="D155" s="87">
        <f>D192</f>
        <v>-15.645321353364194</v>
      </c>
      <c r="E155" s="88">
        <f t="shared" si="43"/>
        <v>-19.379438488448173</v>
      </c>
      <c r="F155" s="88">
        <f t="shared" si="43"/>
        <v>-22.522537030280255</v>
      </c>
      <c r="G155" s="88">
        <f t="shared" si="43"/>
        <v>-25.390512787208571</v>
      </c>
      <c r="H155" s="88">
        <f t="shared" si="43"/>
        <v>-29.046843708831144</v>
      </c>
      <c r="I155" s="88">
        <f t="shared" si="43"/>
        <v>-32.073913086055505</v>
      </c>
      <c r="J155" s="88">
        <f t="shared" si="43"/>
        <v>-35.640956562500122</v>
      </c>
      <c r="K155" s="89">
        <f t="shared" si="43"/>
        <v>-36.946605272145305</v>
      </c>
    </row>
    <row r="156" spans="2:21" ht="16.8">
      <c r="B156" s="75" t="s">
        <v>250</v>
      </c>
      <c r="D156" s="87">
        <f>D193</f>
        <v>94.867572674081416</v>
      </c>
      <c r="E156" s="88">
        <f t="shared" si="43"/>
        <v>107.32395023965394</v>
      </c>
      <c r="F156" s="88">
        <f t="shared" si="43"/>
        <v>117.68156233117602</v>
      </c>
      <c r="G156" s="88">
        <f t="shared" si="43"/>
        <v>128.14555715234539</v>
      </c>
      <c r="H156" s="88">
        <f t="shared" si="43"/>
        <v>137.84340374580378</v>
      </c>
      <c r="I156" s="88">
        <f t="shared" si="43"/>
        <v>150.67545990927701</v>
      </c>
      <c r="J156" s="88">
        <f t="shared" si="43"/>
        <v>153.08746140391688</v>
      </c>
      <c r="K156" s="89">
        <f t="shared" si="43"/>
        <v>153.73226887273739</v>
      </c>
    </row>
    <row r="158" spans="2:21" ht="15.6">
      <c r="L158" s="119" t="s">
        <v>301</v>
      </c>
    </row>
    <row r="159" spans="2:21" ht="15.6">
      <c r="B159" t="s">
        <v>289</v>
      </c>
      <c r="D159" s="122">
        <f>D131+D153</f>
        <v>8865.0145032674482</v>
      </c>
      <c r="E159" s="122">
        <f t="shared" ref="E159:K159" si="44">E131+E153</f>
        <v>9296.5979244612445</v>
      </c>
      <c r="F159" s="122">
        <f t="shared" si="44"/>
        <v>9663.9318956500738</v>
      </c>
      <c r="G159" s="122">
        <f t="shared" si="44"/>
        <v>9974.6039189359144</v>
      </c>
      <c r="H159" s="122">
        <f t="shared" si="44"/>
        <v>10229.104010647585</v>
      </c>
      <c r="I159" s="122">
        <f t="shared" si="44"/>
        <v>10452.594743167892</v>
      </c>
      <c r="J159" s="122">
        <f t="shared" si="44"/>
        <v>10972.507865126341</v>
      </c>
      <c r="K159" s="122">
        <f t="shared" si="44"/>
        <v>11250.291328504427</v>
      </c>
      <c r="L159" s="120">
        <f>(K159/D159)^(1/7)-1</f>
        <v>3.4626205054900216E-2</v>
      </c>
      <c r="M159" t="s">
        <v>302</v>
      </c>
      <c r="N159" s="114">
        <f t="shared" ref="N159:U160" si="45">D159*N$1</f>
        <v>10345.471925313112</v>
      </c>
      <c r="O159" s="109">
        <f t="shared" si="45"/>
        <v>11062.95153010888</v>
      </c>
      <c r="P159" s="109">
        <f t="shared" si="45"/>
        <v>11616.046138571388</v>
      </c>
      <c r="Q159" s="109">
        <f t="shared" si="45"/>
        <v>12248.813612453303</v>
      </c>
      <c r="R159" s="109">
        <f t="shared" si="45"/>
        <v>13031.878509565024</v>
      </c>
      <c r="S159" s="109">
        <f t="shared" si="45"/>
        <v>13755.614682008947</v>
      </c>
      <c r="T159" s="109">
        <f t="shared" si="45"/>
        <v>14889.693172976446</v>
      </c>
      <c r="U159" s="109">
        <f t="shared" si="45"/>
        <v>15727.907277249187</v>
      </c>
    </row>
    <row r="160" spans="2:21" ht="15.6">
      <c r="B160" t="s">
        <v>250</v>
      </c>
      <c r="D160" s="122">
        <f>D134+D156</f>
        <v>9296.5979244612445</v>
      </c>
      <c r="E160" s="122">
        <f t="shared" ref="E160:K160" si="46">E134+E156</f>
        <v>9663.931895650072</v>
      </c>
      <c r="F160" s="122">
        <f t="shared" si="46"/>
        <v>9974.6039189359144</v>
      </c>
      <c r="G160" s="122">
        <f t="shared" si="46"/>
        <v>10229.104010647585</v>
      </c>
      <c r="H160" s="122">
        <f t="shared" si="46"/>
        <v>10452.594743167891</v>
      </c>
      <c r="I160" s="122">
        <f t="shared" si="46"/>
        <v>10972.507865126341</v>
      </c>
      <c r="J160" s="122">
        <f t="shared" si="46"/>
        <v>11250.291328504429</v>
      </c>
      <c r="K160" s="122">
        <f t="shared" si="46"/>
        <v>11425.015877768699</v>
      </c>
      <c r="L160" s="121">
        <f>(K160/D160)^(1/7)-1</f>
        <v>2.9888941406948089E-2</v>
      </c>
      <c r="N160" s="109">
        <f t="shared" si="45"/>
        <v>10849.129777846272</v>
      </c>
      <c r="O160" s="109">
        <f t="shared" si="45"/>
        <v>11500.078955823585</v>
      </c>
      <c r="P160" s="109">
        <f t="shared" si="45"/>
        <v>11989.473910560968</v>
      </c>
      <c r="Q160" s="109">
        <f t="shared" si="45"/>
        <v>12561.339725075233</v>
      </c>
      <c r="R160" s="109">
        <f t="shared" si="45"/>
        <v>13316.605702795892</v>
      </c>
      <c r="S160" s="109">
        <f t="shared" si="45"/>
        <v>14439.820350506265</v>
      </c>
      <c r="T160" s="109">
        <f t="shared" si="45"/>
        <v>15266.64533278051</v>
      </c>
      <c r="U160" s="114">
        <f t="shared" si="45"/>
        <v>15972.172197120641</v>
      </c>
    </row>
    <row r="161" spans="1:21">
      <c r="N161" s="109"/>
      <c r="O161" s="109"/>
      <c r="P161" s="109"/>
      <c r="Q161" s="109"/>
      <c r="R161" s="109"/>
      <c r="S161" s="109"/>
      <c r="T161" s="109"/>
      <c r="U161" s="109"/>
    </row>
    <row r="162" spans="1:21">
      <c r="B162" t="s">
        <v>289</v>
      </c>
      <c r="D162" s="53"/>
      <c r="M162" t="s">
        <v>303</v>
      </c>
      <c r="N162" s="115">
        <f>D159*N$3</f>
        <v>10190.343073497943</v>
      </c>
      <c r="O162" s="109">
        <f t="shared" ref="O162:U162" si="47">E159*O$2</f>
        <v>11077.500353988815</v>
      </c>
      <c r="P162" s="109">
        <f t="shared" si="47"/>
        <v>11694.357877124525</v>
      </c>
      <c r="Q162" s="109">
        <f t="shared" si="47"/>
        <v>12449.378195748999</v>
      </c>
      <c r="R162" s="109">
        <f t="shared" si="47"/>
        <v>13193.695254889033</v>
      </c>
      <c r="S162" s="109">
        <f t="shared" si="47"/>
        <v>13886.416640820333</v>
      </c>
      <c r="T162" s="109">
        <f t="shared" si="47"/>
        <v>15014.442264366688</v>
      </c>
      <c r="U162" s="109">
        <f t="shared" si="47"/>
        <v>15856.389189783975</v>
      </c>
    </row>
    <row r="163" spans="1:21">
      <c r="B163" t="s">
        <v>250</v>
      </c>
      <c r="D163" s="53"/>
      <c r="E163" s="53"/>
      <c r="F163" s="53"/>
      <c r="G163" s="53"/>
      <c r="H163" s="53"/>
      <c r="I163" s="53"/>
      <c r="J163" s="53"/>
      <c r="K163" s="53"/>
      <c r="N163" s="109">
        <f t="shared" ref="N163:U163" si="48">D160*N$2</f>
        <v>10978.401751055426</v>
      </c>
      <c r="O163" s="109">
        <f t="shared" si="48"/>
        <v>11515.202643465012</v>
      </c>
      <c r="P163" s="109">
        <f t="shared" si="48"/>
        <v>12070.303181990581</v>
      </c>
      <c r="Q163" s="109">
        <f t="shared" si="48"/>
        <v>12767.021674960892</v>
      </c>
      <c r="R163" s="109">
        <f t="shared" si="48"/>
        <v>13481.957903709061</v>
      </c>
      <c r="S163" s="109">
        <f t="shared" si="48"/>
        <v>14577.128412006494</v>
      </c>
      <c r="T163" s="109">
        <f t="shared" si="48"/>
        <v>15394.552611440755</v>
      </c>
      <c r="U163" s="115">
        <f t="shared" si="48"/>
        <v>16102.649519694221</v>
      </c>
    </row>
    <row r="164" spans="1:21">
      <c r="D164" s="189"/>
      <c r="E164" s="189"/>
      <c r="F164" s="189"/>
      <c r="G164" s="189"/>
      <c r="H164" s="189"/>
      <c r="I164" s="189"/>
      <c r="J164" s="189"/>
      <c r="K164" s="189"/>
    </row>
    <row r="165" spans="1:21">
      <c r="D165" s="53"/>
    </row>
    <row r="166" spans="1:21">
      <c r="B166" t="s">
        <v>304</v>
      </c>
      <c r="D166" s="190">
        <f t="shared" ref="D166" si="49">D63-D128-D167</f>
        <v>-568.85899585512277</v>
      </c>
      <c r="E166" s="190">
        <f>E63-E128-E167</f>
        <v>-549.89961863661051</v>
      </c>
      <c r="F166" s="190">
        <f t="shared" ref="F166:K166" si="50">F63-F128-F167</f>
        <v>-536.88830227380834</v>
      </c>
      <c r="G166" s="190">
        <f t="shared" si="50"/>
        <v>-523.0969313330138</v>
      </c>
      <c r="H166" s="190">
        <f t="shared" si="50"/>
        <v>-510.35729242605225</v>
      </c>
      <c r="I166" s="190">
        <f t="shared" si="50"/>
        <v>-499.08660917668192</v>
      </c>
      <c r="J166" s="190">
        <f t="shared" si="50"/>
        <v>-479.55827686084967</v>
      </c>
      <c r="K166" s="190">
        <f t="shared" si="50"/>
        <v>-462.2100604895204</v>
      </c>
    </row>
    <row r="167" spans="1:21">
      <c r="B167" t="s">
        <v>305</v>
      </c>
      <c r="D167" s="193">
        <v>0</v>
      </c>
      <c r="E167" s="193">
        <v>-42.366944514180489</v>
      </c>
      <c r="F167" s="193">
        <v>-78.448626677001329</v>
      </c>
      <c r="G167" s="193">
        <v>-109.61973612875036</v>
      </c>
      <c r="H167" s="193">
        <v>-136.59674426266619</v>
      </c>
      <c r="I167" s="193">
        <v>-160.75806138871712</v>
      </c>
      <c r="J167" s="193">
        <v>-190.87227393995263</v>
      </c>
      <c r="K167" s="193">
        <v>-213.45859066077051</v>
      </c>
    </row>
    <row r="168" spans="1:21">
      <c r="D168" s="53"/>
      <c r="E168" s="53"/>
      <c r="F168" s="53"/>
      <c r="G168" s="53"/>
      <c r="H168" s="53"/>
      <c r="I168" s="53"/>
      <c r="J168" s="53"/>
      <c r="K168" s="53"/>
    </row>
    <row r="170" spans="1:21">
      <c r="B170" t="s">
        <v>352</v>
      </c>
      <c r="D170" s="192">
        <v>98.2</v>
      </c>
      <c r="E170" s="192">
        <v>86.4</v>
      </c>
      <c r="F170" s="192">
        <v>80.599999999999994</v>
      </c>
      <c r="G170" s="192">
        <v>94.8</v>
      </c>
      <c r="H170" s="192">
        <v>80.2</v>
      </c>
      <c r="I170" s="192">
        <v>54.8</v>
      </c>
      <c r="J170" s="192">
        <v>15.6</v>
      </c>
      <c r="K170" s="192">
        <v>1.4</v>
      </c>
    </row>
    <row r="171" spans="1:21">
      <c r="B171" t="s">
        <v>353</v>
      </c>
      <c r="D171" s="192">
        <v>-45.1</v>
      </c>
      <c r="E171" s="192">
        <v>-33.4</v>
      </c>
      <c r="F171" s="192">
        <v>-29.6</v>
      </c>
      <c r="G171" s="192">
        <v>-37.299999999999997</v>
      </c>
      <c r="H171" s="192">
        <v>-31.2</v>
      </c>
      <c r="I171" s="192">
        <v>-26.3</v>
      </c>
      <c r="J171" s="192">
        <v>-11.9</v>
      </c>
      <c r="K171" s="192">
        <v>-1.4</v>
      </c>
    </row>
    <row r="172" spans="1:21">
      <c r="D172" s="192"/>
      <c r="E172" s="192"/>
      <c r="F172" s="192"/>
      <c r="G172" s="192"/>
      <c r="H172" s="192"/>
      <c r="I172" s="192"/>
      <c r="J172" s="192"/>
      <c r="K172" s="192"/>
    </row>
    <row r="173" spans="1:21" s="188" customFormat="1">
      <c r="D173" s="194"/>
      <c r="E173" s="194"/>
      <c r="F173" s="194"/>
      <c r="G173" s="194"/>
      <c r="H173" s="194"/>
      <c r="I173" s="194"/>
      <c r="J173" s="194"/>
      <c r="K173" s="194"/>
    </row>
    <row r="175" spans="1:21" ht="16.8">
      <c r="A175" s="86">
        <v>1</v>
      </c>
      <c r="B175" s="75" t="s">
        <v>241</v>
      </c>
      <c r="D175" s="87">
        <f>D184</f>
        <v>33.421997853433474</v>
      </c>
      <c r="E175" s="88">
        <f t="shared" ref="E175:K175" si="51">E184</f>
        <v>31.83581605402069</v>
      </c>
      <c r="F175" s="88">
        <f t="shared" si="51"/>
        <v>32.88014912180234</v>
      </c>
      <c r="G175" s="88">
        <f t="shared" si="51"/>
        <v>35.854507608377922</v>
      </c>
      <c r="H175" s="88">
        <f t="shared" si="51"/>
        <v>38.744690302289541</v>
      </c>
      <c r="I175" s="88">
        <f t="shared" si="51"/>
        <v>44.905969249528752</v>
      </c>
      <c r="J175" s="88">
        <f t="shared" si="51"/>
        <v>38.052958057139982</v>
      </c>
      <c r="K175" s="89">
        <f t="shared" si="51"/>
        <v>37.591412740965801</v>
      </c>
      <c r="L175" s="172">
        <v>243.40743312371282</v>
      </c>
    </row>
    <row r="176" spans="1:21" ht="16.8">
      <c r="A176" s="86">
        <v>2</v>
      </c>
      <c r="B176" s="75" t="s">
        <v>242</v>
      </c>
      <c r="D176" s="87">
        <f t="shared" ref="D176:K177" si="52">D185</f>
        <v>86.370109148120193</v>
      </c>
      <c r="E176" s="88">
        <f t="shared" si="52"/>
        <v>82.271051523114394</v>
      </c>
      <c r="F176" s="88">
        <f t="shared" si="52"/>
        <v>84.96984773053579</v>
      </c>
      <c r="G176" s="88">
        <f t="shared" si="52"/>
        <v>92.656272349965874</v>
      </c>
      <c r="H176" s="88">
        <f t="shared" si="52"/>
        <v>100.12516741200989</v>
      </c>
      <c r="I176" s="88">
        <f t="shared" si="52"/>
        <v>116.04732555164956</v>
      </c>
      <c r="J176" s="88">
        <f t="shared" si="52"/>
        <v>98.337572613612622</v>
      </c>
      <c r="K176" s="89">
        <f t="shared" si="52"/>
        <v>97.14483364242416</v>
      </c>
      <c r="L176" s="172">
        <v>629.02064258851954</v>
      </c>
    </row>
    <row r="177" spans="1:13" ht="16.8">
      <c r="A177" s="86">
        <v>3</v>
      </c>
      <c r="B177" s="75" t="s">
        <v>243</v>
      </c>
      <c r="D177" s="87">
        <f t="shared" si="52"/>
        <v>119.79210700155366</v>
      </c>
      <c r="E177" s="88">
        <f t="shared" si="52"/>
        <v>114.10686757713508</v>
      </c>
      <c r="F177" s="88">
        <f t="shared" si="52"/>
        <v>117.84999685233812</v>
      </c>
      <c r="G177" s="88">
        <f t="shared" si="52"/>
        <v>128.51077995834379</v>
      </c>
      <c r="H177" s="88">
        <f t="shared" si="52"/>
        <v>138.86985771429943</v>
      </c>
      <c r="I177" s="88">
        <f t="shared" si="52"/>
        <v>160.95329480117832</v>
      </c>
      <c r="J177" s="88">
        <f t="shared" si="52"/>
        <v>136.39053067075261</v>
      </c>
      <c r="K177" s="89">
        <f t="shared" si="52"/>
        <v>134.73624638338995</v>
      </c>
      <c r="L177" s="172">
        <v>872.42807571223227</v>
      </c>
    </row>
    <row r="180" spans="1:13" ht="17.399999999999999" thickBot="1">
      <c r="B180" s="185" t="s">
        <v>354</v>
      </c>
    </row>
    <row r="181" spans="1:13" ht="16.8">
      <c r="A181" s="68"/>
      <c r="B181" s="69" t="s">
        <v>237</v>
      </c>
      <c r="D181" s="70">
        <v>41729</v>
      </c>
      <c r="E181" s="71">
        <v>42094</v>
      </c>
      <c r="F181" s="71">
        <v>42460</v>
      </c>
      <c r="G181" s="71">
        <v>42825</v>
      </c>
      <c r="H181" s="71">
        <v>43190</v>
      </c>
      <c r="I181" s="71">
        <v>43555</v>
      </c>
      <c r="J181" s="71">
        <v>43921</v>
      </c>
      <c r="K181" s="72">
        <v>44286</v>
      </c>
      <c r="L181" s="180" t="s">
        <v>238</v>
      </c>
      <c r="M181" s="181" t="s">
        <v>310</v>
      </c>
    </row>
    <row r="182" spans="1:13" ht="16.8">
      <c r="A182" s="74"/>
      <c r="B182" s="75" t="s">
        <v>239</v>
      </c>
      <c r="D182" s="76" t="s">
        <v>240</v>
      </c>
      <c r="E182" s="77" t="s">
        <v>240</v>
      </c>
      <c r="F182" s="77" t="s">
        <v>240</v>
      </c>
      <c r="G182" s="77" t="s">
        <v>240</v>
      </c>
      <c r="H182" s="77" t="s">
        <v>240</v>
      </c>
      <c r="I182" s="77" t="s">
        <v>240</v>
      </c>
      <c r="J182" s="77" t="s">
        <v>240</v>
      </c>
      <c r="K182" s="78" t="s">
        <v>240</v>
      </c>
      <c r="L182" s="182" t="s">
        <v>240</v>
      </c>
      <c r="M182" s="79" t="s">
        <v>240</v>
      </c>
    </row>
    <row r="183" spans="1:13" ht="16.8">
      <c r="A183" s="80"/>
      <c r="B183" s="81" t="s">
        <v>207</v>
      </c>
      <c r="D183" s="82"/>
      <c r="E183" s="83"/>
      <c r="F183" s="83"/>
      <c r="G183" s="83"/>
      <c r="H183" s="83"/>
      <c r="I183" s="83"/>
      <c r="J183" s="83"/>
      <c r="K183" s="84"/>
      <c r="L183" s="183"/>
      <c r="M183" s="85"/>
    </row>
    <row r="184" spans="1:13" ht="16.8">
      <c r="A184" s="86">
        <v>1</v>
      </c>
      <c r="B184" s="75" t="s">
        <v>241</v>
      </c>
      <c r="D184" s="87">
        <v>33.421997853433474</v>
      </c>
      <c r="E184" s="88">
        <v>31.83581605402069</v>
      </c>
      <c r="F184" s="88">
        <v>32.88014912180234</v>
      </c>
      <c r="G184" s="88">
        <v>35.854507608377922</v>
      </c>
      <c r="H184" s="88">
        <v>38.744690302289541</v>
      </c>
      <c r="I184" s="88">
        <v>44.905969249528752</v>
      </c>
      <c r="J184" s="88">
        <v>38.052958057139982</v>
      </c>
      <c r="K184" s="89">
        <v>37.591412740965801</v>
      </c>
      <c r="L184" s="172">
        <v>293.28750098755853</v>
      </c>
      <c r="M184" s="90">
        <v>36.660937623444816</v>
      </c>
    </row>
    <row r="185" spans="1:13" ht="16.8">
      <c r="A185" s="86">
        <v>2</v>
      </c>
      <c r="B185" s="75" t="s">
        <v>242</v>
      </c>
      <c r="D185" s="87">
        <v>86.370109148120193</v>
      </c>
      <c r="E185" s="88">
        <v>82.271051523114394</v>
      </c>
      <c r="F185" s="88">
        <v>84.96984773053579</v>
      </c>
      <c r="G185" s="88">
        <v>92.656272349965874</v>
      </c>
      <c r="H185" s="88">
        <v>100.12516741200989</v>
      </c>
      <c r="I185" s="88">
        <v>116.04732555164956</v>
      </c>
      <c r="J185" s="88">
        <v>98.337572613612622</v>
      </c>
      <c r="K185" s="89">
        <v>97.14483364242416</v>
      </c>
      <c r="L185" s="172">
        <v>757.92217997143257</v>
      </c>
      <c r="M185" s="90">
        <v>94.740272496429071</v>
      </c>
    </row>
    <row r="186" spans="1:13" ht="16.8">
      <c r="A186" s="86">
        <v>3</v>
      </c>
      <c r="B186" s="75" t="s">
        <v>243</v>
      </c>
      <c r="D186" s="87">
        <v>119.79210700155366</v>
      </c>
      <c r="E186" s="88">
        <v>114.10686757713508</v>
      </c>
      <c r="F186" s="88">
        <v>117.84999685233812</v>
      </c>
      <c r="G186" s="88">
        <v>128.51077995834379</v>
      </c>
      <c r="H186" s="88">
        <v>138.86985771429943</v>
      </c>
      <c r="I186" s="88">
        <v>160.95329480117832</v>
      </c>
      <c r="J186" s="88">
        <v>136.39053067075261</v>
      </c>
      <c r="K186" s="89">
        <v>134.73624638338995</v>
      </c>
      <c r="L186" s="172">
        <v>1051.2096809589909</v>
      </c>
      <c r="M186" s="90">
        <v>131.40121011987387</v>
      </c>
    </row>
    <row r="187" spans="1:13" ht="16.8">
      <c r="A187" s="80"/>
      <c r="B187" s="81" t="s">
        <v>244</v>
      </c>
      <c r="D187" s="82"/>
      <c r="E187" s="83"/>
      <c r="F187" s="83"/>
      <c r="G187" s="83"/>
      <c r="H187" s="83"/>
      <c r="I187" s="83"/>
      <c r="J187" s="83"/>
      <c r="K187" s="84"/>
      <c r="L187" s="183"/>
      <c r="M187" s="85"/>
    </row>
    <row r="188" spans="1:13" ht="16.8">
      <c r="A188" s="86">
        <v>4</v>
      </c>
      <c r="B188" s="75" t="s">
        <v>311</v>
      </c>
      <c r="D188" s="87">
        <v>74.160747515587701</v>
      </c>
      <c r="E188" s="88">
        <v>94.867572674081416</v>
      </c>
      <c r="F188" s="88">
        <v>107.32395023965394</v>
      </c>
      <c r="G188" s="88">
        <v>117.68156233117602</v>
      </c>
      <c r="H188" s="88">
        <v>128.14555715234539</v>
      </c>
      <c r="I188" s="88">
        <v>137.84340374580378</v>
      </c>
      <c r="J188" s="88">
        <v>150.67545990927701</v>
      </c>
      <c r="K188" s="89">
        <v>153.08746140391688</v>
      </c>
      <c r="L188" s="172">
        <v>0</v>
      </c>
      <c r="M188" s="90">
        <v>120.47321437148028</v>
      </c>
    </row>
    <row r="189" spans="1:13" ht="16.8">
      <c r="A189" s="86">
        <v>5</v>
      </c>
      <c r="B189" s="75" t="s">
        <v>246</v>
      </c>
      <c r="D189" s="87">
        <v>0</v>
      </c>
      <c r="E189" s="88">
        <v>0</v>
      </c>
      <c r="F189" s="88">
        <v>0</v>
      </c>
      <c r="G189" s="88">
        <v>0</v>
      </c>
      <c r="H189" s="88">
        <v>0</v>
      </c>
      <c r="I189" s="88">
        <v>0</v>
      </c>
      <c r="J189" s="88">
        <v>0</v>
      </c>
      <c r="K189" s="89">
        <v>0</v>
      </c>
      <c r="L189" s="172">
        <v>0</v>
      </c>
      <c r="M189" s="90">
        <v>0</v>
      </c>
    </row>
    <row r="190" spans="1:13" ht="16.8">
      <c r="A190" s="86">
        <v>6</v>
      </c>
      <c r="B190" s="75" t="s">
        <v>247</v>
      </c>
      <c r="D190" s="87">
        <v>74.160747515587701</v>
      </c>
      <c r="E190" s="88">
        <v>94.867572674081416</v>
      </c>
      <c r="F190" s="88">
        <v>107.32395023965394</v>
      </c>
      <c r="G190" s="88">
        <v>117.68156233117602</v>
      </c>
      <c r="H190" s="88">
        <v>128.14555715234539</v>
      </c>
      <c r="I190" s="88">
        <v>137.84340374580378</v>
      </c>
      <c r="J190" s="88">
        <v>150.67545990927701</v>
      </c>
      <c r="K190" s="89">
        <v>153.08746140391688</v>
      </c>
      <c r="L190" s="172">
        <v>0</v>
      </c>
      <c r="M190" s="90">
        <v>120.47321437148028</v>
      </c>
    </row>
    <row r="191" spans="1:13" ht="16.8">
      <c r="A191" s="86">
        <v>7</v>
      </c>
      <c r="B191" s="75" t="s">
        <v>248</v>
      </c>
      <c r="D191" s="87">
        <v>36.35214651185791</v>
      </c>
      <c r="E191" s="88">
        <v>31.83581605402069</v>
      </c>
      <c r="F191" s="88">
        <v>32.88014912180234</v>
      </c>
      <c r="G191" s="88">
        <v>35.854507608377922</v>
      </c>
      <c r="H191" s="88">
        <v>38.744690302289541</v>
      </c>
      <c r="I191" s="88">
        <v>44.905969249528752</v>
      </c>
      <c r="J191" s="88">
        <v>38.052958057139982</v>
      </c>
      <c r="K191" s="89">
        <v>37.591412740965801</v>
      </c>
      <c r="L191" s="172">
        <v>296.21764964598287</v>
      </c>
      <c r="M191" s="90">
        <v>37.027206205747859</v>
      </c>
    </row>
    <row r="192" spans="1:13" ht="16.8">
      <c r="A192" s="86">
        <v>8</v>
      </c>
      <c r="B192" s="75" t="s">
        <v>249</v>
      </c>
      <c r="D192" s="87">
        <v>-15.645321353364194</v>
      </c>
      <c r="E192" s="88">
        <v>-19.379438488448173</v>
      </c>
      <c r="F192" s="88">
        <v>-22.522537030280255</v>
      </c>
      <c r="G192" s="88">
        <v>-25.390512787208571</v>
      </c>
      <c r="H192" s="88">
        <v>-29.046843708831144</v>
      </c>
      <c r="I192" s="88">
        <v>-32.073913086055505</v>
      </c>
      <c r="J192" s="88">
        <v>-35.640956562500122</v>
      </c>
      <c r="K192" s="89">
        <v>-36.946605272145305</v>
      </c>
      <c r="L192" s="172">
        <v>-216.64612828883327</v>
      </c>
      <c r="M192" s="90">
        <v>-27.080766036104158</v>
      </c>
    </row>
    <row r="193" spans="1:13" ht="16.8">
      <c r="A193" s="86">
        <v>9</v>
      </c>
      <c r="B193" s="75" t="s">
        <v>250</v>
      </c>
      <c r="D193" s="87">
        <v>94.867572674081416</v>
      </c>
      <c r="E193" s="88">
        <v>107.32395023965394</v>
      </c>
      <c r="F193" s="88">
        <v>117.68156233117602</v>
      </c>
      <c r="G193" s="88">
        <v>128.14555715234539</v>
      </c>
      <c r="H193" s="88">
        <v>137.84340374580378</v>
      </c>
      <c r="I193" s="88">
        <v>150.67545990927701</v>
      </c>
      <c r="J193" s="88">
        <v>153.08746140391688</v>
      </c>
      <c r="K193" s="89">
        <v>153.73226887273739</v>
      </c>
      <c r="L193" s="172">
        <v>0</v>
      </c>
      <c r="M193" s="90">
        <v>130.419654541124</v>
      </c>
    </row>
    <row r="194" spans="1:13" ht="16.8">
      <c r="A194" s="80"/>
      <c r="B194" s="81" t="s">
        <v>251</v>
      </c>
      <c r="D194" s="91"/>
      <c r="E194" s="92"/>
      <c r="F194" s="92"/>
      <c r="G194" s="92"/>
      <c r="H194" s="92"/>
      <c r="I194" s="92"/>
      <c r="J194" s="92"/>
      <c r="K194" s="93"/>
      <c r="L194" s="184"/>
      <c r="M194" s="94"/>
    </row>
    <row r="195" spans="1:13" ht="16.8">
      <c r="A195" s="86">
        <v>10</v>
      </c>
      <c r="B195" s="75" t="s">
        <v>252</v>
      </c>
      <c r="D195" s="87">
        <v>81.476813877328894</v>
      </c>
      <c r="E195" s="88">
        <v>78.636555404957193</v>
      </c>
      <c r="F195" s="88">
        <v>76.725460348987028</v>
      </c>
      <c r="G195" s="88">
        <v>76.243729824435974</v>
      </c>
      <c r="H195" s="88">
        <v>78.55454094110577</v>
      </c>
      <c r="I195" s="88">
        <v>72.371415441098179</v>
      </c>
      <c r="J195" s="88">
        <v>77.279938819518947</v>
      </c>
      <c r="K195" s="89">
        <v>78.647587931087514</v>
      </c>
      <c r="L195" s="172">
        <v>619.93604258851951</v>
      </c>
      <c r="M195" s="90">
        <v>77.492005323564939</v>
      </c>
    </row>
    <row r="196" spans="1:13" ht="16.8">
      <c r="A196" s="86">
        <v>11</v>
      </c>
      <c r="B196" s="75" t="s">
        <v>253</v>
      </c>
      <c r="D196" s="87">
        <v>0</v>
      </c>
      <c r="E196" s="88">
        <v>0</v>
      </c>
      <c r="F196" s="88">
        <v>0</v>
      </c>
      <c r="G196" s="88">
        <v>0</v>
      </c>
      <c r="H196" s="88">
        <v>0</v>
      </c>
      <c r="I196" s="88">
        <v>0</v>
      </c>
      <c r="J196" s="88">
        <v>0</v>
      </c>
      <c r="K196" s="89">
        <v>0</v>
      </c>
      <c r="L196" s="172">
        <v>0</v>
      </c>
      <c r="M196" s="90">
        <v>0</v>
      </c>
    </row>
    <row r="197" spans="1:13" ht="16.8">
      <c r="A197" s="86">
        <v>12</v>
      </c>
      <c r="B197" s="75" t="s">
        <v>254</v>
      </c>
      <c r="D197" s="87">
        <v>15.645321353364194</v>
      </c>
      <c r="E197" s="88">
        <v>18.690342676426219</v>
      </c>
      <c r="F197" s="88">
        <v>21.632524947807369</v>
      </c>
      <c r="G197" s="88">
        <v>24.044747964602518</v>
      </c>
      <c r="H197" s="88">
        <v>26.793787551843703</v>
      </c>
      <c r="I197" s="88">
        <v>28.628424833688189</v>
      </c>
      <c r="J197" s="88">
        <v>29.781048076163348</v>
      </c>
      <c r="K197" s="89">
        <v>29.92262311262602</v>
      </c>
      <c r="L197" s="172">
        <v>195.13882051652158</v>
      </c>
      <c r="M197" s="90">
        <v>24.392352564565197</v>
      </c>
    </row>
    <row r="198" spans="1:13" ht="16.8">
      <c r="A198" s="86">
        <v>13</v>
      </c>
      <c r="B198" s="75" t="s">
        <v>255</v>
      </c>
      <c r="D198" s="87">
        <v>3.6480707854751642</v>
      </c>
      <c r="E198" s="88">
        <v>4.2651198106724255</v>
      </c>
      <c r="F198" s="88">
        <v>4.7077019442984573</v>
      </c>
      <c r="G198" s="88">
        <v>5.0099186184247326</v>
      </c>
      <c r="H198" s="88">
        <v>5.2126121734441337</v>
      </c>
      <c r="I198" s="88">
        <v>5.2810656596930992</v>
      </c>
      <c r="J198" s="88">
        <v>5.2695633176227323</v>
      </c>
      <c r="K198" s="89">
        <v>5.2834968166568972</v>
      </c>
      <c r="L198" s="172">
        <v>38.677549126287644</v>
      </c>
      <c r="M198" s="90">
        <v>4.8346936407859555</v>
      </c>
    </row>
    <row r="199" spans="1:13" ht="16.8">
      <c r="A199" s="86">
        <v>14</v>
      </c>
      <c r="B199" s="75" t="s">
        <v>256</v>
      </c>
      <c r="D199" s="87">
        <v>0</v>
      </c>
      <c r="E199" s="88">
        <v>0</v>
      </c>
      <c r="F199" s="88">
        <v>0</v>
      </c>
      <c r="G199" s="88">
        <v>0</v>
      </c>
      <c r="H199" s="88">
        <v>0</v>
      </c>
      <c r="I199" s="88">
        <v>0</v>
      </c>
      <c r="J199" s="88">
        <v>0</v>
      </c>
      <c r="K199" s="89">
        <v>0</v>
      </c>
      <c r="L199" s="172">
        <v>0</v>
      </c>
      <c r="M199" s="90">
        <v>0</v>
      </c>
    </row>
    <row r="200" spans="1:13" ht="16.8">
      <c r="A200" s="86">
        <v>15</v>
      </c>
      <c r="B200" s="75" t="s">
        <v>257</v>
      </c>
      <c r="D200" s="87">
        <v>0.93219394583370041</v>
      </c>
      <c r="E200" s="88">
        <v>0.89969793099769935</v>
      </c>
      <c r="F200" s="88">
        <v>0.87783267686821986</v>
      </c>
      <c r="G200" s="88">
        <v>0.87232109317784745</v>
      </c>
      <c r="H200" s="88">
        <v>0.89875958568159287</v>
      </c>
      <c r="I200" s="88">
        <v>0.82801710222961211</v>
      </c>
      <c r="J200" s="88">
        <v>0.88417658562860901</v>
      </c>
      <c r="K200" s="89">
        <v>0.89982415652833225</v>
      </c>
      <c r="L200" s="172">
        <v>7.0928230769456135</v>
      </c>
      <c r="M200" s="90">
        <v>0.88660288461820169</v>
      </c>
    </row>
    <row r="201" spans="1:13" ht="16.8">
      <c r="A201" s="86">
        <v>16</v>
      </c>
      <c r="B201" s="75" t="s">
        <v>258</v>
      </c>
      <c r="D201" s="87">
        <v>10.271521977223172</v>
      </c>
      <c r="E201" s="88">
        <v>10.215919391797028</v>
      </c>
      <c r="F201" s="88">
        <v>10.262337776682289</v>
      </c>
      <c r="G201" s="88">
        <v>10.410869126447524</v>
      </c>
      <c r="H201" s="88">
        <v>10.361609623254074</v>
      </c>
      <c r="I201" s="88">
        <v>10.414659827475258</v>
      </c>
      <c r="J201" s="88">
        <v>10.57012487699259</v>
      </c>
      <c r="K201" s="89">
        <v>10.528114695563952</v>
      </c>
      <c r="L201" s="172">
        <v>83.035157295435894</v>
      </c>
      <c r="M201" s="90">
        <v>10.379394661929487</v>
      </c>
    </row>
    <row r="202" spans="1:13" ht="16.8">
      <c r="A202" s="86">
        <v>17</v>
      </c>
      <c r="B202" s="75" t="s">
        <v>259</v>
      </c>
      <c r="D202" s="87">
        <v>2.0016092127672556</v>
      </c>
      <c r="E202" s="88">
        <v>0.82522992535408668</v>
      </c>
      <c r="F202" s="88">
        <v>0.15069905537749376</v>
      </c>
      <c r="G202" s="88">
        <v>0.12384729257669767</v>
      </c>
      <c r="H202" s="88">
        <v>1.0117778450783115</v>
      </c>
      <c r="I202" s="88">
        <v>0</v>
      </c>
      <c r="J202" s="88">
        <v>0.94578803093084196</v>
      </c>
      <c r="K202" s="89">
        <v>0.90950595778206589</v>
      </c>
      <c r="L202" s="172">
        <v>5.9684573198667525</v>
      </c>
      <c r="M202" s="90">
        <v>0.74605716498334407</v>
      </c>
    </row>
    <row r="203" spans="1:13" ht="16.8">
      <c r="A203" s="80"/>
      <c r="B203" s="81" t="s">
        <v>260</v>
      </c>
      <c r="D203" s="91"/>
      <c r="E203" s="92"/>
      <c r="F203" s="92"/>
      <c r="G203" s="92"/>
      <c r="H203" s="92"/>
      <c r="I203" s="92"/>
      <c r="J203" s="92"/>
      <c r="K203" s="93"/>
      <c r="L203" s="184"/>
      <c r="M203" s="94"/>
    </row>
    <row r="204" spans="1:13" ht="16.8">
      <c r="A204" s="86">
        <v>18</v>
      </c>
      <c r="B204" s="75" t="s">
        <v>252</v>
      </c>
      <c r="D204" s="87">
        <v>86.370109148120193</v>
      </c>
      <c r="E204" s="88">
        <v>82.271051523114394</v>
      </c>
      <c r="F204" s="88">
        <v>84.96984773053579</v>
      </c>
      <c r="G204" s="88">
        <v>92.656272349965874</v>
      </c>
      <c r="H204" s="88">
        <v>100.12516741200989</v>
      </c>
      <c r="I204" s="88">
        <v>116.04732555164956</v>
      </c>
      <c r="J204" s="88">
        <v>98.337572613612622</v>
      </c>
      <c r="K204" s="89">
        <v>97.14483364242416</v>
      </c>
      <c r="L204" s="172">
        <v>757.92217997143257</v>
      </c>
      <c r="M204" s="90">
        <v>94.740272496429071</v>
      </c>
    </row>
    <row r="205" spans="1:13" ht="16.8">
      <c r="A205" s="86">
        <v>19</v>
      </c>
      <c r="B205" s="75" t="s">
        <v>253</v>
      </c>
      <c r="D205" s="87">
        <v>0</v>
      </c>
      <c r="E205" s="88">
        <v>0</v>
      </c>
      <c r="F205" s="88">
        <v>0</v>
      </c>
      <c r="G205" s="88">
        <v>0</v>
      </c>
      <c r="H205" s="88">
        <v>0</v>
      </c>
      <c r="I205" s="88">
        <v>0</v>
      </c>
      <c r="J205" s="88">
        <v>0</v>
      </c>
      <c r="K205" s="89">
        <v>0</v>
      </c>
      <c r="L205" s="172">
        <v>0</v>
      </c>
      <c r="M205" s="90">
        <v>0</v>
      </c>
    </row>
    <row r="206" spans="1:13" ht="16.8">
      <c r="A206" s="86">
        <v>20</v>
      </c>
      <c r="B206" s="75" t="s">
        <v>254</v>
      </c>
      <c r="D206" s="87">
        <v>15.645321353364194</v>
      </c>
      <c r="E206" s="88">
        <v>19.379438488448173</v>
      </c>
      <c r="F206" s="88">
        <v>22.522537030280255</v>
      </c>
      <c r="G206" s="88">
        <v>25.390512787208571</v>
      </c>
      <c r="H206" s="88">
        <v>29.046843708831144</v>
      </c>
      <c r="I206" s="88">
        <v>32.073913086055505</v>
      </c>
      <c r="J206" s="88">
        <v>35.640956562500122</v>
      </c>
      <c r="K206" s="89">
        <v>36.946605272145305</v>
      </c>
      <c r="L206" s="172">
        <v>216.64612828883327</v>
      </c>
      <c r="M206" s="90">
        <v>27.080766036104158</v>
      </c>
    </row>
    <row r="207" spans="1:13" ht="16.8">
      <c r="A207" s="86">
        <v>21</v>
      </c>
      <c r="B207" s="75" t="s">
        <v>255</v>
      </c>
      <c r="D207" s="87">
        <v>3.7530776191764206</v>
      </c>
      <c r="E207" s="88">
        <v>4.3796312919027285</v>
      </c>
      <c r="F207" s="88">
        <v>4.7656279571464415</v>
      </c>
      <c r="G207" s="88">
        <v>5.08689506864566</v>
      </c>
      <c r="H207" s="88">
        <v>5.3823282984141985</v>
      </c>
      <c r="I207" s="88">
        <v>5.5796226723094149</v>
      </c>
      <c r="J207" s="88">
        <v>5.588876751068093</v>
      </c>
      <c r="K207" s="89">
        <v>5.6457248156162736</v>
      </c>
      <c r="L207" s="172">
        <v>40.181784474279233</v>
      </c>
      <c r="M207" s="90">
        <v>5.0227230592849041</v>
      </c>
    </row>
    <row r="208" spans="1:13" ht="16.8">
      <c r="A208" s="86">
        <v>22</v>
      </c>
      <c r="B208" s="75" t="s">
        <v>256</v>
      </c>
      <c r="D208" s="87">
        <v>0</v>
      </c>
      <c r="E208" s="88">
        <v>0</v>
      </c>
      <c r="F208" s="88">
        <v>0</v>
      </c>
      <c r="G208" s="88">
        <v>0</v>
      </c>
      <c r="H208" s="88">
        <v>0</v>
      </c>
      <c r="I208" s="88">
        <v>0</v>
      </c>
      <c r="J208" s="88">
        <v>0</v>
      </c>
      <c r="K208" s="89">
        <v>0</v>
      </c>
      <c r="L208" s="172">
        <v>0</v>
      </c>
      <c r="M208" s="90">
        <v>0</v>
      </c>
    </row>
    <row r="209" spans="1:13" ht="16.8">
      <c r="A209" s="86">
        <v>23</v>
      </c>
      <c r="B209" s="75" t="s">
        <v>257</v>
      </c>
      <c r="D209" s="87">
        <v>0.93219394583370063</v>
      </c>
      <c r="E209" s="88">
        <v>0.89969793099769957</v>
      </c>
      <c r="F209" s="88">
        <v>0.87783267686821997</v>
      </c>
      <c r="G209" s="88">
        <v>0.87232109317784756</v>
      </c>
      <c r="H209" s="88">
        <v>0.89875958568159287</v>
      </c>
      <c r="I209" s="88">
        <v>0.82801710222961222</v>
      </c>
      <c r="J209" s="88">
        <v>0.88417658562860901</v>
      </c>
      <c r="K209" s="89">
        <v>0.89982415652833247</v>
      </c>
      <c r="L209" s="172">
        <v>7.0928230769456135</v>
      </c>
      <c r="M209" s="90">
        <v>0.88660288461820169</v>
      </c>
    </row>
    <row r="210" spans="1:13" ht="16.8">
      <c r="A210" s="86">
        <v>24</v>
      </c>
      <c r="B210" s="75" t="s">
        <v>258</v>
      </c>
      <c r="D210" s="87">
        <v>12.238898857271282</v>
      </c>
      <c r="E210" s="88">
        <v>12.269320008809279</v>
      </c>
      <c r="F210" s="88">
        <v>13.501323356904841</v>
      </c>
      <c r="G210" s="88">
        <v>13.736881640130386</v>
      </c>
      <c r="H210" s="88">
        <v>13.774963236275942</v>
      </c>
      <c r="I210" s="88">
        <v>12.491536460486081</v>
      </c>
      <c r="J210" s="88">
        <v>12.727107541597944</v>
      </c>
      <c r="K210" s="89">
        <v>12.767759826829881</v>
      </c>
      <c r="L210" s="172">
        <v>103.50779092830564</v>
      </c>
      <c r="M210" s="90">
        <v>12.938473866038205</v>
      </c>
    </row>
    <row r="211" spans="1:13" ht="16.8">
      <c r="A211" s="86">
        <v>25</v>
      </c>
      <c r="B211" s="75" t="s">
        <v>259</v>
      </c>
      <c r="D211" s="87">
        <v>1.4521935428001387</v>
      </c>
      <c r="E211" s="88">
        <v>1.1040587164720375</v>
      </c>
      <c r="F211" s="88">
        <v>1.2704615028800799</v>
      </c>
      <c r="G211" s="88">
        <v>1.8215756411909689</v>
      </c>
      <c r="H211" s="88">
        <v>2.276689638087078</v>
      </c>
      <c r="I211" s="88">
        <v>2.456185042264571</v>
      </c>
      <c r="J211" s="88">
        <v>1.6367827587791826</v>
      </c>
      <c r="K211" s="89">
        <v>1.2748223620472454</v>
      </c>
      <c r="L211" s="172">
        <v>13.292769204521301</v>
      </c>
      <c r="M211" s="90">
        <v>1.6615961505651626</v>
      </c>
    </row>
    <row r="212" spans="1:13" ht="16.8">
      <c r="A212" s="80"/>
      <c r="B212" s="81" t="s">
        <v>261</v>
      </c>
      <c r="D212" s="91"/>
      <c r="E212" s="92"/>
      <c r="F212" s="92"/>
      <c r="G212" s="92"/>
      <c r="H212" s="92"/>
      <c r="I212" s="92"/>
      <c r="J212" s="92"/>
      <c r="K212" s="93"/>
      <c r="L212" s="91"/>
      <c r="M212" s="184"/>
    </row>
    <row r="213" spans="1:13" ht="16.8">
      <c r="A213" s="86">
        <v>26</v>
      </c>
      <c r="B213" s="75" t="s">
        <v>262</v>
      </c>
      <c r="D213" s="87">
        <v>113.97553115199239</v>
      </c>
      <c r="E213" s="88">
        <v>113.53286514020465</v>
      </c>
      <c r="F213" s="88">
        <v>114.35655675002086</v>
      </c>
      <c r="G213" s="88">
        <v>116.7054339196653</v>
      </c>
      <c r="H213" s="88">
        <v>122.83308772040758</v>
      </c>
      <c r="I213" s="88">
        <v>117.52358286418433</v>
      </c>
      <c r="J213" s="88">
        <v>124.73063970685706</v>
      </c>
      <c r="K213" s="89">
        <v>126.19115267024478</v>
      </c>
      <c r="L213" s="172">
        <v>949.84884992357684</v>
      </c>
      <c r="M213" s="90">
        <v>118.7311062404471</v>
      </c>
    </row>
    <row r="214" spans="1:13" ht="16.8">
      <c r="A214" s="86">
        <v>27</v>
      </c>
      <c r="B214" s="75" t="s">
        <v>312</v>
      </c>
      <c r="D214" s="87">
        <v>0</v>
      </c>
      <c r="E214" s="88">
        <v>3.7106038241035293</v>
      </c>
      <c r="F214" s="88">
        <v>6.0364438354306174</v>
      </c>
      <c r="G214" s="88">
        <v>20.850581449170846</v>
      </c>
      <c r="H214" s="88">
        <v>9.1750949396110855</v>
      </c>
      <c r="I214" s="88">
        <v>30.084347672795616</v>
      </c>
      <c r="J214" s="88">
        <v>97.037318863457813</v>
      </c>
      <c r="K214" s="88">
        <v>0</v>
      </c>
      <c r="L214" s="172">
        <v>166.89439058456952</v>
      </c>
      <c r="M214" s="90">
        <v>20.86179882307119</v>
      </c>
    </row>
    <row r="215" spans="1:13" ht="16.8">
      <c r="A215" s="86">
        <v>28</v>
      </c>
      <c r="B215" s="75" t="s">
        <v>264</v>
      </c>
      <c r="D215" s="96">
        <v>113.97553115199239</v>
      </c>
      <c r="E215" s="88">
        <v>117.24346896430818</v>
      </c>
      <c r="F215" s="88">
        <v>120.39300058545147</v>
      </c>
      <c r="G215" s="88">
        <v>137.55601536883614</v>
      </c>
      <c r="H215" s="88">
        <v>132.00818266001866</v>
      </c>
      <c r="I215" s="88">
        <v>147.60793053697995</v>
      </c>
      <c r="J215" s="88">
        <v>221.76795857031487</v>
      </c>
      <c r="K215" s="88">
        <v>126.19115267024478</v>
      </c>
      <c r="L215" s="172">
        <v>1116.7432405081465</v>
      </c>
      <c r="M215" s="90">
        <v>139.59290506351832</v>
      </c>
    </row>
    <row r="216" spans="1:13" ht="16.8">
      <c r="A216" s="86">
        <v>29</v>
      </c>
      <c r="B216" s="75" t="s">
        <v>168</v>
      </c>
      <c r="D216" s="96">
        <v>0</v>
      </c>
      <c r="E216" s="88">
        <v>0</v>
      </c>
      <c r="F216" s="88">
        <v>0</v>
      </c>
      <c r="G216" s="88">
        <v>0</v>
      </c>
      <c r="H216" s="88">
        <v>0</v>
      </c>
      <c r="I216" s="88">
        <v>0</v>
      </c>
      <c r="J216" s="88">
        <v>0</v>
      </c>
      <c r="K216" s="88">
        <v>0</v>
      </c>
      <c r="L216" s="172">
        <v>0</v>
      </c>
      <c r="M216" s="90">
        <v>0</v>
      </c>
    </row>
    <row r="217" spans="1:13" ht="16.8">
      <c r="A217" s="86">
        <v>30</v>
      </c>
      <c r="B217" s="75" t="s">
        <v>265</v>
      </c>
      <c r="D217" s="96">
        <v>0</v>
      </c>
      <c r="E217" s="88">
        <v>0</v>
      </c>
      <c r="F217" s="88">
        <v>0</v>
      </c>
      <c r="G217" s="88">
        <v>0</v>
      </c>
      <c r="H217" s="88">
        <v>0</v>
      </c>
      <c r="I217" s="88">
        <v>0</v>
      </c>
      <c r="J217" s="88">
        <v>0</v>
      </c>
      <c r="K217" s="88">
        <v>0</v>
      </c>
      <c r="L217" s="172">
        <v>0</v>
      </c>
      <c r="M217" s="90">
        <v>0</v>
      </c>
    </row>
    <row r="218" spans="1:13" ht="16.8">
      <c r="A218" s="86">
        <v>31</v>
      </c>
      <c r="B218" s="75" t="s">
        <v>266</v>
      </c>
      <c r="D218" s="96">
        <v>0</v>
      </c>
      <c r="E218" s="88">
        <v>0</v>
      </c>
      <c r="F218" s="88">
        <v>0</v>
      </c>
      <c r="G218" s="88">
        <v>0</v>
      </c>
      <c r="H218" s="88">
        <v>0</v>
      </c>
      <c r="I218" s="88">
        <v>0</v>
      </c>
      <c r="J218" s="88">
        <v>0</v>
      </c>
      <c r="K218" s="88">
        <v>0</v>
      </c>
      <c r="L218" s="172">
        <v>0</v>
      </c>
      <c r="M218" s="90">
        <v>0</v>
      </c>
    </row>
    <row r="219" spans="1:13" ht="16.8">
      <c r="A219" s="86">
        <v>32</v>
      </c>
      <c r="B219" s="75" t="s">
        <v>267</v>
      </c>
      <c r="D219" s="96">
        <v>113.97553115199239</v>
      </c>
      <c r="E219" s="88">
        <v>117.24346896430818</v>
      </c>
      <c r="F219" s="88">
        <v>120.39300058545147</v>
      </c>
      <c r="G219" s="88">
        <v>137.55601536883614</v>
      </c>
      <c r="H219" s="88">
        <v>132.00818266001866</v>
      </c>
      <c r="I219" s="88">
        <v>147.60793053697995</v>
      </c>
      <c r="J219" s="88">
        <v>221.76795857031487</v>
      </c>
      <c r="K219" s="88">
        <v>126.19115267024478</v>
      </c>
      <c r="L219" s="172">
        <v>1116.7432405081465</v>
      </c>
      <c r="M219" s="90">
        <v>139.59290506351832</v>
      </c>
    </row>
    <row r="220" spans="1:13" ht="16.8">
      <c r="A220" s="80"/>
      <c r="B220" s="81" t="s">
        <v>268</v>
      </c>
      <c r="D220" s="91"/>
      <c r="E220" s="92"/>
      <c r="F220" s="92"/>
      <c r="G220" s="92"/>
      <c r="H220" s="92"/>
      <c r="I220" s="92"/>
      <c r="J220" s="92"/>
      <c r="K220" s="93"/>
      <c r="L220" s="91"/>
      <c r="M220" s="184"/>
    </row>
    <row r="221" spans="1:13" ht="16.8">
      <c r="A221" s="86">
        <f>A219+1</f>
        <v>33</v>
      </c>
      <c r="B221" s="75" t="s">
        <v>268</v>
      </c>
      <c r="D221" s="87">
        <v>120.39179446656594</v>
      </c>
      <c r="E221" s="88">
        <v>120.30319795974431</v>
      </c>
      <c r="F221" s="88">
        <v>127.90763025461563</v>
      </c>
      <c r="G221" s="88">
        <v>139.56445858031933</v>
      </c>
      <c r="H221" s="88">
        <v>151.50475187929985</v>
      </c>
      <c r="I221" s="88">
        <v>169.47659991499475</v>
      </c>
      <c r="J221" s="88">
        <v>154.81547281318657</v>
      </c>
      <c r="K221" s="89">
        <v>154.67957007559119</v>
      </c>
      <c r="L221" s="172">
        <v>1138.6434759443177</v>
      </c>
      <c r="M221" s="90">
        <v>142.33043449303972</v>
      </c>
    </row>
    <row r="222" spans="1:13" ht="16.8">
      <c r="A222" s="86">
        <f>+A221+1</f>
        <v>34</v>
      </c>
      <c r="B222" s="75" t="s">
        <v>269</v>
      </c>
      <c r="D222" s="87">
        <v>120.39173696994975</v>
      </c>
      <c r="E222" s="88">
        <v>120.30089481548148</v>
      </c>
      <c r="F222" s="88">
        <v>126.51106656737041</v>
      </c>
      <c r="G222" s="88">
        <v>136.3704967271002</v>
      </c>
      <c r="H222" s="88">
        <v>134.28594503047006</v>
      </c>
      <c r="I222" s="88">
        <v>128.04679365575933</v>
      </c>
      <c r="J222" s="88">
        <v>135.23275716088972</v>
      </c>
      <c r="K222" s="89">
        <v>136.91508042247841</v>
      </c>
      <c r="L222" s="172">
        <v>1038.0547713494993</v>
      </c>
      <c r="M222" s="90">
        <v>129.75684641868742</v>
      </c>
    </row>
    <row r="223" spans="1:13" ht="16.8">
      <c r="A223" s="80"/>
      <c r="B223" s="81" t="s">
        <v>270</v>
      </c>
      <c r="D223" s="91"/>
      <c r="E223" s="92"/>
      <c r="F223" s="92"/>
      <c r="G223" s="92"/>
      <c r="H223" s="92"/>
      <c r="I223" s="92"/>
      <c r="J223" s="92"/>
      <c r="K223" s="93"/>
      <c r="L223" s="91"/>
      <c r="M223" s="184"/>
    </row>
    <row r="224" spans="1:13" ht="16.8">
      <c r="A224" s="86">
        <f>A222+1</f>
        <v>35</v>
      </c>
      <c r="B224" s="98">
        <v>41729</v>
      </c>
      <c r="D224" s="96">
        <v>113.97553115199239</v>
      </c>
      <c r="E224" s="88">
        <v>113.53286514020465</v>
      </c>
      <c r="F224" s="88">
        <v>114.35655675002086</v>
      </c>
      <c r="G224" s="88">
        <v>116.7054339196653</v>
      </c>
      <c r="H224" s="88">
        <v>122.83308772040758</v>
      </c>
      <c r="I224" s="88">
        <v>117.52358286418433</v>
      </c>
      <c r="J224" s="88">
        <v>124.73063970685706</v>
      </c>
      <c r="K224" s="88">
        <v>126.19115267024478</v>
      </c>
      <c r="L224" s="172">
        <v>949.84884992357684</v>
      </c>
      <c r="M224" s="90">
        <v>118.7311062404471</v>
      </c>
    </row>
    <row r="225" spans="1:13" ht="16.8">
      <c r="A225" s="86">
        <f>+A224+1</f>
        <v>36</v>
      </c>
      <c r="B225" s="98">
        <v>42094</v>
      </c>
      <c r="D225" s="96">
        <v>115.53670799497685</v>
      </c>
      <c r="E225" s="88">
        <v>115.61122735143105</v>
      </c>
      <c r="F225" s="88">
        <v>116.47439523516735</v>
      </c>
      <c r="G225" s="88">
        <v>118.86672348468946</v>
      </c>
      <c r="H225" s="88">
        <v>125.04587518183425</v>
      </c>
      <c r="I225" s="88">
        <v>119.71032959263032</v>
      </c>
      <c r="J225" s="88">
        <v>127.14773990713464</v>
      </c>
      <c r="K225" s="88">
        <v>128.59194647511799</v>
      </c>
      <c r="L225" s="172">
        <v>966.98494522298199</v>
      </c>
      <c r="M225" s="90">
        <v>120.87311815287275</v>
      </c>
    </row>
    <row r="226" spans="1:13" ht="16.8">
      <c r="A226" s="86">
        <f>+A225+1</f>
        <v>37</v>
      </c>
      <c r="B226" s="98">
        <v>42460</v>
      </c>
      <c r="D226" s="96">
        <v>114.12213945854668</v>
      </c>
      <c r="E226" s="88">
        <v>117.48816120419283</v>
      </c>
      <c r="F226" s="88">
        <v>119.97738821427971</v>
      </c>
      <c r="G226" s="88">
        <v>120.81569999206685</v>
      </c>
      <c r="H226" s="88">
        <v>126.97143119028321</v>
      </c>
      <c r="I226" s="88">
        <v>121.62192724489044</v>
      </c>
      <c r="J226" s="88">
        <v>129.05222106199386</v>
      </c>
      <c r="K226" s="88">
        <v>130.49285587456652</v>
      </c>
      <c r="L226" s="172">
        <v>980.54182424082012</v>
      </c>
      <c r="M226" s="90">
        <v>122.56772803010251</v>
      </c>
    </row>
    <row r="227" spans="1:13" ht="16.8">
      <c r="A227" s="86">
        <f>A226+1</f>
        <v>38</v>
      </c>
      <c r="B227" s="98">
        <v>42825</v>
      </c>
      <c r="D227" s="96">
        <v>119.69994390743108</v>
      </c>
      <c r="E227" s="88">
        <v>118.58883728716589</v>
      </c>
      <c r="F227" s="88">
        <v>124.24009563853161</v>
      </c>
      <c r="G227" s="88">
        <v>125.55563156558647</v>
      </c>
      <c r="H227" s="88">
        <v>131.81503475003785</v>
      </c>
      <c r="I227" s="88">
        <v>126.68543752505576</v>
      </c>
      <c r="J227" s="88">
        <v>134.38616451554529</v>
      </c>
      <c r="K227" s="88">
        <v>135.95691657439207</v>
      </c>
      <c r="L227" s="172">
        <v>1016.9280617637459</v>
      </c>
      <c r="M227" s="90">
        <v>127.11600772046823</v>
      </c>
    </row>
    <row r="228" spans="1:13" ht="16.8">
      <c r="A228" s="86">
        <f>A227+1</f>
        <v>39</v>
      </c>
      <c r="B228" s="98">
        <v>43190</v>
      </c>
      <c r="D228" s="96">
        <v>119.69211564141293</v>
      </c>
      <c r="E228" s="88">
        <v>118.58202939873651</v>
      </c>
      <c r="F228" s="88">
        <v>124.66581524861344</v>
      </c>
      <c r="G228" s="88">
        <v>125.48039851967327</v>
      </c>
      <c r="H228" s="88">
        <v>131.64069004089222</v>
      </c>
      <c r="I228" s="88">
        <v>126.52192213062875</v>
      </c>
      <c r="J228" s="88">
        <v>134.23014729630094</v>
      </c>
      <c r="K228" s="88">
        <v>135.80588783982361</v>
      </c>
      <c r="L228" s="172">
        <v>1016.6190061160817</v>
      </c>
      <c r="M228" s="90">
        <v>127.07737576451021</v>
      </c>
    </row>
    <row r="229" spans="1:13" ht="16.8">
      <c r="A229" s="86">
        <f>A228+1</f>
        <v>40</v>
      </c>
      <c r="B229" s="98">
        <v>43555</v>
      </c>
      <c r="D229" s="96">
        <v>120.39173696994975</v>
      </c>
      <c r="E229" s="88">
        <v>120.30089481548148</v>
      </c>
      <c r="F229" s="88">
        <v>126.51106656737041</v>
      </c>
      <c r="G229" s="88">
        <v>136.3704967271002</v>
      </c>
      <c r="H229" s="88">
        <v>134.28594503047006</v>
      </c>
      <c r="I229" s="88">
        <v>128.04679365575933</v>
      </c>
      <c r="J229" s="88">
        <v>135.23275716088972</v>
      </c>
      <c r="K229" s="88">
        <v>136.91508042247841</v>
      </c>
      <c r="L229" s="172">
        <v>1038.0547713494993</v>
      </c>
      <c r="M229" s="90">
        <v>129.75684641868742</v>
      </c>
    </row>
    <row r="230" spans="1:13" ht="16.8">
      <c r="A230" s="86">
        <f>A229+1</f>
        <v>41</v>
      </c>
      <c r="B230" s="98">
        <v>43921</v>
      </c>
      <c r="D230" s="96">
        <v>120.39179446656594</v>
      </c>
      <c r="E230" s="88">
        <v>120.30319795974431</v>
      </c>
      <c r="F230" s="88">
        <v>127.90763025461563</v>
      </c>
      <c r="G230" s="88">
        <v>139.56445858031933</v>
      </c>
      <c r="H230" s="88">
        <v>151.50475187929985</v>
      </c>
      <c r="I230" s="88">
        <v>169.47659991499475</v>
      </c>
      <c r="J230" s="88">
        <v>154.81547281318657</v>
      </c>
      <c r="K230" s="88">
        <v>154.67957007559119</v>
      </c>
      <c r="L230" s="172">
        <v>1138.6434759443177</v>
      </c>
      <c r="M230" s="90">
        <v>142.33043449303972</v>
      </c>
    </row>
    <row r="231" spans="1:13" ht="17.399999999999999" thickBot="1">
      <c r="A231" s="103">
        <f>A230+1</f>
        <v>42</v>
      </c>
      <c r="B231" s="211">
        <v>44286</v>
      </c>
      <c r="D231" s="214" t="s">
        <v>455</v>
      </c>
      <c r="E231" s="106" t="s">
        <v>455</v>
      </c>
      <c r="F231" s="106" t="s">
        <v>455</v>
      </c>
      <c r="G231" s="106" t="s">
        <v>455</v>
      </c>
      <c r="H231" s="106" t="s">
        <v>455</v>
      </c>
      <c r="I231" s="106" t="s">
        <v>455</v>
      </c>
      <c r="J231" s="106" t="s">
        <v>455</v>
      </c>
      <c r="K231" s="106" t="s">
        <v>455</v>
      </c>
      <c r="L231" s="215">
        <v>0</v>
      </c>
      <c r="M231" s="108">
        <v>0</v>
      </c>
    </row>
    <row r="232" spans="1:13" ht="16.8">
      <c r="A232" s="80"/>
      <c r="B232" s="81" t="s">
        <v>313</v>
      </c>
      <c r="D232" s="91">
        <v>0</v>
      </c>
      <c r="E232" s="92">
        <v>0</v>
      </c>
      <c r="F232" s="92">
        <v>0</v>
      </c>
      <c r="G232" s="92">
        <v>0</v>
      </c>
      <c r="H232" s="92">
        <v>0</v>
      </c>
      <c r="I232" s="97">
        <v>0</v>
      </c>
      <c r="J232" s="92">
        <v>0</v>
      </c>
      <c r="K232" s="93">
        <v>0</v>
      </c>
      <c r="L232" s="95">
        <v>0</v>
      </c>
      <c r="M232" s="184">
        <v>0</v>
      </c>
    </row>
    <row r="233" spans="1:13" ht="16.8">
      <c r="A233" s="86">
        <f>A231+1</f>
        <v>43</v>
      </c>
      <c r="B233" s="98">
        <v>41729</v>
      </c>
      <c r="D233" s="96">
        <v>0</v>
      </c>
      <c r="E233" s="88">
        <v>0</v>
      </c>
      <c r="F233" s="88">
        <v>0</v>
      </c>
      <c r="G233" s="88">
        <v>0</v>
      </c>
      <c r="H233" s="88">
        <v>0</v>
      </c>
      <c r="I233" s="88">
        <v>0</v>
      </c>
      <c r="J233" s="88">
        <v>0</v>
      </c>
      <c r="K233" s="89">
        <v>0</v>
      </c>
      <c r="L233" s="90">
        <v>0</v>
      </c>
      <c r="M233" s="90">
        <v>0</v>
      </c>
    </row>
    <row r="234" spans="1:13" ht="16.8">
      <c r="A234" s="86">
        <f>+A233+1</f>
        <v>44</v>
      </c>
      <c r="B234" s="98">
        <v>42094</v>
      </c>
      <c r="D234" s="96">
        <v>0</v>
      </c>
      <c r="E234" s="88">
        <v>3.7106038241035293</v>
      </c>
      <c r="F234" s="88">
        <v>0</v>
      </c>
      <c r="G234" s="88">
        <v>0</v>
      </c>
      <c r="H234" s="88">
        <v>0</v>
      </c>
      <c r="I234" s="88">
        <v>0</v>
      </c>
      <c r="J234" s="88">
        <v>0</v>
      </c>
      <c r="K234" s="89">
        <v>0</v>
      </c>
      <c r="L234" s="90">
        <v>3.7106038241035293</v>
      </c>
      <c r="M234" s="90">
        <v>0</v>
      </c>
    </row>
    <row r="235" spans="1:13" ht="16.8">
      <c r="A235" s="86">
        <f>+A234+1</f>
        <v>45</v>
      </c>
      <c r="B235" s="98">
        <v>42460</v>
      </c>
      <c r="D235" s="96">
        <v>0</v>
      </c>
      <c r="E235" s="88">
        <v>3.7106038241035293</v>
      </c>
      <c r="F235" s="88">
        <v>6.0364438354306174</v>
      </c>
      <c r="G235" s="88">
        <v>0</v>
      </c>
      <c r="H235" s="88">
        <v>0</v>
      </c>
      <c r="I235" s="88">
        <v>0</v>
      </c>
      <c r="J235" s="88">
        <v>0</v>
      </c>
      <c r="K235" s="89">
        <v>0</v>
      </c>
      <c r="L235" s="90">
        <v>9.7470476595341466</v>
      </c>
      <c r="M235" s="90">
        <v>0</v>
      </c>
    </row>
    <row r="236" spans="1:13" ht="16.8">
      <c r="A236" s="86">
        <f>A235+1</f>
        <v>46</v>
      </c>
      <c r="B236" s="98">
        <v>42825</v>
      </c>
      <c r="D236" s="96">
        <v>0</v>
      </c>
      <c r="E236" s="88">
        <v>3.7106038241035293</v>
      </c>
      <c r="F236" s="88">
        <v>6.0364438354306174</v>
      </c>
      <c r="G236" s="88">
        <v>20.850581449170846</v>
      </c>
      <c r="H236" s="88">
        <v>0</v>
      </c>
      <c r="I236" s="88">
        <v>0</v>
      </c>
      <c r="J236" s="88">
        <v>0</v>
      </c>
      <c r="K236" s="89">
        <v>0</v>
      </c>
      <c r="L236" s="90">
        <v>30.597629108704993</v>
      </c>
      <c r="M236" s="90">
        <v>0</v>
      </c>
    </row>
    <row r="237" spans="1:13" ht="16.8">
      <c r="A237" s="86">
        <f>A236+1</f>
        <v>47</v>
      </c>
      <c r="B237" s="98">
        <v>43190</v>
      </c>
      <c r="D237" s="96">
        <v>0</v>
      </c>
      <c r="E237" s="88">
        <v>3.7106038241035293</v>
      </c>
      <c r="F237" s="88">
        <v>6.0364438354306174</v>
      </c>
      <c r="G237" s="88">
        <v>20.850581449170846</v>
      </c>
      <c r="H237" s="88">
        <v>9.1750949396110855</v>
      </c>
      <c r="I237" s="88">
        <v>0</v>
      </c>
      <c r="J237" s="88">
        <v>0</v>
      </c>
      <c r="K237" s="89">
        <v>0</v>
      </c>
      <c r="L237" s="90">
        <v>39.772724048316078</v>
      </c>
      <c r="M237" s="90">
        <v>0</v>
      </c>
    </row>
    <row r="238" spans="1:13" ht="16.8">
      <c r="A238" s="86">
        <f>A237+1</f>
        <v>48</v>
      </c>
      <c r="B238" s="98">
        <v>43555</v>
      </c>
      <c r="D238" s="96">
        <v>0</v>
      </c>
      <c r="E238" s="88">
        <v>3.7106038241035293</v>
      </c>
      <c r="F238" s="88">
        <v>6.0364438354306174</v>
      </c>
      <c r="G238" s="88">
        <v>20.850581449170846</v>
      </c>
      <c r="H238" s="88">
        <v>9.1750949396110855</v>
      </c>
      <c r="I238" s="88">
        <v>30.084347672795616</v>
      </c>
      <c r="J238" s="88">
        <v>0</v>
      </c>
      <c r="K238" s="89">
        <v>0</v>
      </c>
      <c r="L238" s="90">
        <v>69.857071721111694</v>
      </c>
      <c r="M238" s="90">
        <v>0</v>
      </c>
    </row>
    <row r="239" spans="1:13" ht="16.8">
      <c r="A239" s="86">
        <f>A238+1</f>
        <v>49</v>
      </c>
      <c r="B239" s="98">
        <v>43921</v>
      </c>
      <c r="D239" s="96">
        <v>0</v>
      </c>
      <c r="E239" s="88">
        <v>3.7106038241035293</v>
      </c>
      <c r="F239" s="88">
        <v>6.0364438354306174</v>
      </c>
      <c r="G239" s="88">
        <v>20.850581449170846</v>
      </c>
      <c r="H239" s="88">
        <v>9.1750949396110855</v>
      </c>
      <c r="I239" s="88">
        <v>30.084347672795616</v>
      </c>
      <c r="J239" s="88">
        <v>97.037318863457813</v>
      </c>
      <c r="K239" s="89">
        <v>0</v>
      </c>
      <c r="L239" s="90">
        <v>166.89439058456952</v>
      </c>
      <c r="M239" s="90">
        <v>0</v>
      </c>
    </row>
    <row r="240" spans="1:13" ht="16.8">
      <c r="A240" s="86">
        <f>A239+1</f>
        <v>50</v>
      </c>
      <c r="B240" s="98">
        <v>44286</v>
      </c>
      <c r="D240" s="96" t="s">
        <v>455</v>
      </c>
      <c r="E240" s="88" t="s">
        <v>455</v>
      </c>
      <c r="F240" s="88" t="s">
        <v>455</v>
      </c>
      <c r="G240" s="88" t="s">
        <v>455</v>
      </c>
      <c r="H240" s="88" t="s">
        <v>455</v>
      </c>
      <c r="I240" s="88" t="s">
        <v>455</v>
      </c>
      <c r="J240" s="88" t="s">
        <v>455</v>
      </c>
      <c r="K240" s="89" t="s">
        <v>455</v>
      </c>
      <c r="L240" s="90">
        <v>0</v>
      </c>
      <c r="M240" s="90">
        <v>0</v>
      </c>
    </row>
    <row r="241" spans="1:13" ht="16.8">
      <c r="A241" s="80"/>
      <c r="B241" s="81" t="s">
        <v>314</v>
      </c>
      <c r="D241" s="91">
        <v>0</v>
      </c>
      <c r="E241" s="92">
        <v>0</v>
      </c>
      <c r="F241" s="92">
        <v>0</v>
      </c>
      <c r="G241" s="92">
        <v>0</v>
      </c>
      <c r="H241" s="92">
        <v>0</v>
      </c>
      <c r="I241" s="97">
        <v>0</v>
      </c>
      <c r="J241" s="92">
        <v>0</v>
      </c>
      <c r="K241" s="93">
        <v>0</v>
      </c>
      <c r="L241" s="91">
        <v>0</v>
      </c>
      <c r="M241" s="184">
        <v>0</v>
      </c>
    </row>
    <row r="242" spans="1:13" ht="16.8">
      <c r="A242" s="86">
        <f>A240+1</f>
        <v>51</v>
      </c>
      <c r="B242" s="75" t="s">
        <v>273</v>
      </c>
      <c r="D242" s="87">
        <v>82.44898108911292</v>
      </c>
      <c r="E242" s="88">
        <v>98.818395575422585</v>
      </c>
      <c r="F242" s="88">
        <v>110.06069185095706</v>
      </c>
      <c r="G242" s="88">
        <v>120.31445290079611</v>
      </c>
      <c r="H242" s="88">
        <v>130.25963936142784</v>
      </c>
      <c r="I242" s="88">
        <v>141.39945951113569</v>
      </c>
      <c r="J242" s="88">
        <v>149.11624202422871</v>
      </c>
      <c r="K242" s="89">
        <v>150.63299934942029</v>
      </c>
      <c r="L242" s="90">
        <v>983.05086166250112</v>
      </c>
      <c r="M242" s="90">
        <v>122.88135770781264</v>
      </c>
    </row>
    <row r="243" spans="1:13" ht="16.8">
      <c r="A243" s="86">
        <f>A242+1</f>
        <v>52</v>
      </c>
      <c r="B243" s="75" t="s">
        <v>26</v>
      </c>
      <c r="D243" s="216">
        <v>0.6</v>
      </c>
      <c r="E243" s="217">
        <v>0.6</v>
      </c>
      <c r="F243" s="217">
        <v>0.6</v>
      </c>
      <c r="G243" s="217">
        <v>0.6</v>
      </c>
      <c r="H243" s="217">
        <v>0.6</v>
      </c>
      <c r="I243" s="217">
        <v>0.6</v>
      </c>
      <c r="J243" s="217">
        <v>0.6</v>
      </c>
      <c r="K243" s="218">
        <v>0.6</v>
      </c>
      <c r="L243" s="219">
        <v>0.59999999999999987</v>
      </c>
      <c r="M243" s="219">
        <v>0.6</v>
      </c>
    </row>
    <row r="244" spans="1:13" ht="16.8">
      <c r="A244" s="86">
        <f>A243+1</f>
        <v>53</v>
      </c>
      <c r="B244" s="75" t="s">
        <v>274</v>
      </c>
      <c r="D244" s="87">
        <v>32.979592435645166</v>
      </c>
      <c r="E244" s="88">
        <v>39.527358230169035</v>
      </c>
      <c r="F244" s="88">
        <v>44.024276740382824</v>
      </c>
      <c r="G244" s="88">
        <v>48.125781160318446</v>
      </c>
      <c r="H244" s="88">
        <v>52.103855744571142</v>
      </c>
      <c r="I244" s="88">
        <v>56.559783804454277</v>
      </c>
      <c r="J244" s="88">
        <v>59.646496809691484</v>
      </c>
      <c r="K244" s="89">
        <v>60.253199739768121</v>
      </c>
      <c r="L244" s="90">
        <v>393.22034466500054</v>
      </c>
      <c r="M244" s="90">
        <v>49.152543083125067</v>
      </c>
    </row>
    <row r="245" spans="1:13" ht="16.8">
      <c r="A245" s="86">
        <f>A244+1</f>
        <v>54</v>
      </c>
      <c r="B245" s="75" t="s">
        <v>275</v>
      </c>
      <c r="D245" s="87">
        <v>1.4445061486812585</v>
      </c>
      <c r="E245" s="88">
        <v>1.6127162157908965</v>
      </c>
      <c r="F245" s="88">
        <v>1.6839285853196426</v>
      </c>
      <c r="G245" s="88">
        <v>1.7180903874233684</v>
      </c>
      <c r="H245" s="88">
        <v>1.735058396294219</v>
      </c>
      <c r="I245" s="88">
        <v>1.6204378059976148</v>
      </c>
      <c r="J245" s="88">
        <v>1.4136219743896883</v>
      </c>
      <c r="K245" s="89">
        <v>1.4280008338325043</v>
      </c>
      <c r="L245" s="90">
        <v>12.656360347729191</v>
      </c>
      <c r="M245" s="90">
        <v>1.5820450434661488</v>
      </c>
    </row>
    <row r="246" spans="1:13" ht="17.399999999999999" thickBot="1">
      <c r="A246" s="103">
        <f>A245+1</f>
        <v>55</v>
      </c>
      <c r="B246" s="104" t="s">
        <v>276</v>
      </c>
      <c r="D246" s="105">
        <v>2.3085714704951621</v>
      </c>
      <c r="E246" s="106">
        <v>2.766915076111832</v>
      </c>
      <c r="F246" s="106">
        <v>3.0816993718267991</v>
      </c>
      <c r="G246" s="106">
        <v>3.3688046812222918</v>
      </c>
      <c r="H246" s="106">
        <v>3.6472699021199793</v>
      </c>
      <c r="I246" s="106">
        <v>3.9591848663118001</v>
      </c>
      <c r="J246" s="106">
        <v>4.1752547766784049</v>
      </c>
      <c r="K246" s="107">
        <v>4.2177239817837693</v>
      </c>
      <c r="L246" s="108">
        <v>27.525424126550039</v>
      </c>
      <c r="M246" s="108">
        <v>3.4406780158187549</v>
      </c>
    </row>
    <row r="247" spans="1:13" ht="16.8">
      <c r="A247" s="487"/>
      <c r="B247" s="110"/>
    </row>
    <row r="248" spans="1:13" ht="16.8">
      <c r="A248" s="487"/>
      <c r="B248" s="110"/>
    </row>
    <row r="249" spans="1:13">
      <c r="B249" t="s">
        <v>355</v>
      </c>
      <c r="D249" s="53">
        <v>0.5</v>
      </c>
      <c r="E249" s="53">
        <v>0.4</v>
      </c>
      <c r="F249" s="53">
        <v>0.4</v>
      </c>
      <c r="G249" s="53">
        <v>0.5</v>
      </c>
      <c r="H249" s="53">
        <v>0.4</v>
      </c>
      <c r="I249" s="53">
        <v>0.4</v>
      </c>
      <c r="J249" s="53">
        <v>0.5</v>
      </c>
      <c r="K249" s="53">
        <v>0.4</v>
      </c>
    </row>
    <row r="250" spans="1:13">
      <c r="B250" t="s">
        <v>356</v>
      </c>
      <c r="D250" s="53">
        <v>8.7961833442298172</v>
      </c>
      <c r="E250" s="53">
        <v>8.7961833442298172</v>
      </c>
      <c r="F250" s="53">
        <v>9.8951198747490885</v>
      </c>
      <c r="G250" s="53">
        <v>9.8951198747490885</v>
      </c>
      <c r="H250" s="53">
        <v>9.8951198747490885</v>
      </c>
      <c r="I250" s="53">
        <v>8.4743784799133763</v>
      </c>
      <c r="J250" s="53">
        <v>8.4743784799133763</v>
      </c>
      <c r="K250" s="53">
        <v>8.4743784799133763</v>
      </c>
    </row>
    <row r="251" spans="1:13">
      <c r="B251" t="s">
        <v>293</v>
      </c>
      <c r="D251" s="53">
        <v>0.97533863299335366</v>
      </c>
      <c r="E251" s="53">
        <v>1.0185656412076189</v>
      </c>
      <c r="F251" s="53">
        <v>1.0626695334719087</v>
      </c>
      <c r="G251" s="53">
        <v>1.1075992013471012</v>
      </c>
      <c r="H251" s="53">
        <v>1.1533652003467634</v>
      </c>
      <c r="I251" s="53">
        <v>1.1988769911524466</v>
      </c>
      <c r="J251" s="53">
        <v>1.2438109007808402</v>
      </c>
      <c r="K251" s="53">
        <v>1.290428933342106</v>
      </c>
    </row>
    <row r="252" spans="1:13">
      <c r="D252" s="53">
        <f>SUM(D249:D251)</f>
        <v>10.271521977223172</v>
      </c>
      <c r="E252" s="53">
        <f t="shared" ref="E252:K252" si="53">SUM(E249:E251)</f>
        <v>10.214748985437437</v>
      </c>
      <c r="F252" s="53">
        <f t="shared" si="53"/>
        <v>11.357789408220997</v>
      </c>
      <c r="G252" s="53">
        <f t="shared" si="53"/>
        <v>11.50271907609619</v>
      </c>
      <c r="H252" s="53">
        <f t="shared" si="53"/>
        <v>11.448485075095853</v>
      </c>
      <c r="I252" s="53">
        <f t="shared" si="53"/>
        <v>10.073255471065824</v>
      </c>
      <c r="J252" s="53">
        <f t="shared" si="53"/>
        <v>10.218189380694216</v>
      </c>
      <c r="K252" s="53">
        <f t="shared" si="53"/>
        <v>10.164807413255483</v>
      </c>
    </row>
    <row r="254" spans="1:13">
      <c r="B254" t="s">
        <v>357</v>
      </c>
      <c r="D254" s="53">
        <v>1.9673768800481106</v>
      </c>
      <c r="E254" s="53">
        <v>2.0545710233718428</v>
      </c>
      <c r="F254" s="53">
        <v>2.1435339486838436</v>
      </c>
      <c r="G254" s="53">
        <v>2.2341625640341967</v>
      </c>
      <c r="H254" s="53">
        <v>2.3264781611800895</v>
      </c>
      <c r="I254" s="53">
        <v>2.4182809894202562</v>
      </c>
      <c r="J254" s="53">
        <v>2.5089181609037272</v>
      </c>
      <c r="K254" s="53">
        <v>2.6029524135743989</v>
      </c>
    </row>
    <row r="258" spans="2:9">
      <c r="B258" t="s">
        <v>358</v>
      </c>
      <c r="D258" s="53">
        <v>2.9301486584244367</v>
      </c>
    </row>
    <row r="262" spans="2:9">
      <c r="B262" t="s">
        <v>317</v>
      </c>
      <c r="D262" s="207">
        <v>4.5520000000000005E-2</v>
      </c>
      <c r="E262" s="207">
        <v>4.4319999999999998E-2</v>
      </c>
      <c r="F262" s="207">
        <v>4.3300000000000005E-2</v>
      </c>
      <c r="G262" s="207">
        <v>4.2280000000000005E-2</v>
      </c>
      <c r="H262" s="207">
        <v>4.1320000000000003E-2</v>
      </c>
      <c r="I262" s="207">
        <v>3.9460000000000002E-2</v>
      </c>
    </row>
    <row r="263" spans="2:9">
      <c r="B263" t="s">
        <v>318</v>
      </c>
      <c r="D263">
        <f t="shared" ref="D263:I263" si="54">1/((1+D262)^0.5)</f>
        <v>0.97798867902505426</v>
      </c>
      <c r="E263">
        <f t="shared" si="54"/>
        <v>0.97855040793680914</v>
      </c>
      <c r="F263">
        <f t="shared" si="54"/>
        <v>0.97902863930730677</v>
      </c>
      <c r="G263">
        <f t="shared" si="54"/>
        <v>0.9795075725190564</v>
      </c>
      <c r="H263">
        <f t="shared" si="54"/>
        <v>0.97995897585613423</v>
      </c>
      <c r="I263">
        <f t="shared" si="54"/>
        <v>0.9808353487000252</v>
      </c>
    </row>
    <row r="264" spans="2:9">
      <c r="B264" t="s">
        <v>319</v>
      </c>
      <c r="D264">
        <f>1/(1+D262)</f>
        <v>0.95646185630117075</v>
      </c>
      <c r="E264">
        <f>1/(1+E262)*D264</f>
        <v>0.91587047677069366</v>
      </c>
      <c r="F264">
        <f>1/(1+F262)*E264</f>
        <v>0.87785917451422768</v>
      </c>
      <c r="G264">
        <f>1/(1+G262)*F264</f>
        <v>0.84224889138641024</v>
      </c>
      <c r="H264">
        <f>1/(1+H262)*G264</f>
        <v>0.8088281137272022</v>
      </c>
      <c r="I264">
        <f>1/(1+I262)*H264</f>
        <v>0.77812336571604701</v>
      </c>
    </row>
    <row r="265" spans="2:9">
      <c r="B265" t="s">
        <v>320</v>
      </c>
      <c r="D265">
        <f>D263</f>
        <v>0.97798867902505426</v>
      </c>
      <c r="E265">
        <f>D264*E263</f>
        <v>0.93594613965950835</v>
      </c>
      <c r="F265">
        <f>E264*F263</f>
        <v>0.89666342665454657</v>
      </c>
      <c r="G265">
        <f>F264*G263</f>
        <v>0.85986970904201387</v>
      </c>
      <c r="H265">
        <f>G264*H263</f>
        <v>0.82536936101899105</v>
      </c>
      <c r="I265">
        <f>H264*I263</f>
        <v>0.79332720496600406</v>
      </c>
    </row>
    <row r="266" spans="2:9">
      <c r="B266" t="s">
        <v>321</v>
      </c>
      <c r="D266">
        <f>1+D262</f>
        <v>1.04552</v>
      </c>
      <c r="E266">
        <f t="shared" ref="E266:I266" si="55">1+E262</f>
        <v>1.0443199999999999</v>
      </c>
      <c r="F266">
        <f t="shared" si="55"/>
        <v>1.0432999999999999</v>
      </c>
      <c r="G266">
        <f t="shared" si="55"/>
        <v>1.0422800000000001</v>
      </c>
      <c r="H266">
        <f t="shared" si="55"/>
        <v>1.04132</v>
      </c>
      <c r="I266">
        <f t="shared" si="55"/>
        <v>1.0394600000000001</v>
      </c>
    </row>
    <row r="267" spans="2:9">
      <c r="B267" t="s">
        <v>368</v>
      </c>
      <c r="D267" s="473">
        <f>PRODUCT(D266:I266)</f>
        <v>1.2851432614155944</v>
      </c>
      <c r="E267" s="473">
        <f>PRODUCT(E266:I266)</f>
        <v>1.2291905094265003</v>
      </c>
      <c r="F267" s="473">
        <f>PRODUCT(F266:I266)</f>
        <v>1.1770247715513447</v>
      </c>
      <c r="G267" s="473">
        <f>PRODUCT(G266:I266)</f>
        <v>1.1281748025988163</v>
      </c>
      <c r="H267" s="473">
        <f>PRODUCT(H266:I266)</f>
        <v>1.0824104872</v>
      </c>
      <c r="I267" s="473">
        <f>PRODUCT(I266)</f>
        <v>1.0394600000000001</v>
      </c>
    </row>
  </sheetData>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1"/>
  <sheetViews>
    <sheetView workbookViewId="0">
      <selection activeCell="H28" sqref="H28"/>
    </sheetView>
  </sheetViews>
  <sheetFormatPr defaultRowHeight="13.2"/>
  <cols>
    <col min="2" max="2" width="15" style="38" bestFit="1" customWidth="1"/>
  </cols>
  <sheetData>
    <row r="2" spans="2:3">
      <c r="B2" s="38" t="s">
        <v>323</v>
      </c>
      <c r="C2" t="s">
        <v>324</v>
      </c>
    </row>
    <row r="3" spans="2:3">
      <c r="B3" s="38" t="s">
        <v>325</v>
      </c>
      <c r="C3" t="s">
        <v>326</v>
      </c>
    </row>
    <row r="4" spans="2:3">
      <c r="C4" t="s">
        <v>327</v>
      </c>
    </row>
    <row r="5" spans="2:3">
      <c r="B5" s="38" t="s">
        <v>328</v>
      </c>
      <c r="C5" t="s">
        <v>329</v>
      </c>
    </row>
    <row r="6" spans="2:3">
      <c r="B6" s="38" t="s">
        <v>330</v>
      </c>
      <c r="C6" t="s">
        <v>331</v>
      </c>
    </row>
    <row r="7" spans="2:3">
      <c r="C7" t="s">
        <v>332</v>
      </c>
    </row>
    <row r="8" spans="2:3">
      <c r="C8" t="s">
        <v>333</v>
      </c>
    </row>
    <row r="9" spans="2:3">
      <c r="C9" t="s">
        <v>334</v>
      </c>
    </row>
    <row r="10" spans="2:3">
      <c r="B10" s="38" t="s">
        <v>335</v>
      </c>
      <c r="C10" t="s">
        <v>336</v>
      </c>
    </row>
    <row r="11" spans="2:3">
      <c r="C11" t="s">
        <v>337</v>
      </c>
    </row>
  </sheetData>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Y267"/>
  <sheetViews>
    <sheetView zoomScale="90" zoomScaleNormal="90" workbookViewId="0">
      <pane xSplit="2" ySplit="4" topLeftCell="C242" activePane="bottomRight" state="frozen"/>
      <selection pane="topRight" activeCell="L237" sqref="L237"/>
      <selection pane="bottomLeft" activeCell="L237" sqref="L237"/>
      <selection pane="bottomRight" activeCell="L237" sqref="L237"/>
    </sheetView>
  </sheetViews>
  <sheetFormatPr defaultRowHeight="13.2"/>
  <cols>
    <col min="1" max="1" width="3" customWidth="1"/>
    <col min="2" max="2" width="54.5546875" customWidth="1"/>
    <col min="3" max="3" width="1.88671875" customWidth="1"/>
    <col min="4" max="11" width="12.109375" customWidth="1"/>
    <col min="12" max="12" width="10.109375" customWidth="1"/>
    <col min="13" max="13" width="20.109375" customWidth="1"/>
    <col min="22" max="22" width="10.109375" customWidth="1"/>
  </cols>
  <sheetData>
    <row r="1" spans="1:22">
      <c r="M1" t="s">
        <v>196</v>
      </c>
      <c r="N1" s="55">
        <f>RPI!E2</f>
        <v>1.167</v>
      </c>
      <c r="O1" s="55">
        <f>RPI!F2</f>
        <v>1.19</v>
      </c>
      <c r="P1" s="55">
        <f>RPI!G2</f>
        <v>1.202</v>
      </c>
      <c r="Q1" s="55">
        <f>RPI!H2</f>
        <v>1.228</v>
      </c>
      <c r="R1" s="55">
        <f>RPI!I2</f>
        <v>1.274</v>
      </c>
      <c r="S1" s="55">
        <f>RPI!J2</f>
        <v>1.3129999999999999</v>
      </c>
      <c r="T1" s="55">
        <f>RPI!K2</f>
        <v>1.349</v>
      </c>
      <c r="U1" s="55">
        <f>RPI!L2</f>
        <v>1.3879999999999999</v>
      </c>
    </row>
    <row r="2" spans="1:22">
      <c r="M2" t="s">
        <v>197</v>
      </c>
      <c r="N2" s="55">
        <f>RPI!E3</f>
        <v>1.1809052989340341</v>
      </c>
      <c r="O2" s="55">
        <f>RPI!F3</f>
        <v>1.1915649621504716</v>
      </c>
      <c r="P2" s="55">
        <f>RPI!G3</f>
        <v>1.2101035068747106</v>
      </c>
      <c r="Q2" s="55">
        <f>RPI!H3</f>
        <v>1.2481075235594008</v>
      </c>
      <c r="R2" s="55">
        <f>RPI!I3</f>
        <v>1.2898192491889391</v>
      </c>
      <c r="S2" s="55">
        <f>RPI!J3</f>
        <v>1.3213347752201456</v>
      </c>
      <c r="T2" s="55">
        <f>RPI!K3</f>
        <v>1.3611926463772597</v>
      </c>
      <c r="U2" s="55">
        <f>RPI!L3</f>
        <v>1.4019774447705857</v>
      </c>
    </row>
    <row r="3" spans="1:22" ht="13.8" thickBot="1">
      <c r="M3" t="s">
        <v>198</v>
      </c>
      <c r="N3" s="55">
        <f>RPI!E4</f>
        <v>1.1495010041711728</v>
      </c>
      <c r="O3" s="55"/>
      <c r="P3" s="55"/>
      <c r="Q3" s="55"/>
      <c r="R3" s="55"/>
      <c r="S3" s="55"/>
      <c r="T3" s="55"/>
      <c r="U3" s="55"/>
    </row>
    <row r="4" spans="1:22" ht="14.4" thickBot="1">
      <c r="D4" s="56" t="s">
        <v>59</v>
      </c>
      <c r="E4" s="56" t="s">
        <v>60</v>
      </c>
      <c r="F4" s="56" t="s">
        <v>61</v>
      </c>
      <c r="G4" s="56" t="s">
        <v>62</v>
      </c>
      <c r="H4" s="56" t="s">
        <v>63</v>
      </c>
      <c r="I4" s="56" t="s">
        <v>64</v>
      </c>
      <c r="J4" s="56" t="s">
        <v>65</v>
      </c>
      <c r="K4" s="56" t="s">
        <v>66</v>
      </c>
      <c r="L4" s="56" t="s">
        <v>118</v>
      </c>
      <c r="M4" s="522" t="s">
        <v>201</v>
      </c>
      <c r="N4" s="56" t="s">
        <v>59</v>
      </c>
      <c r="O4" s="56" t="s">
        <v>60</v>
      </c>
      <c r="P4" s="56" t="s">
        <v>61</v>
      </c>
      <c r="Q4" s="56" t="s">
        <v>62</v>
      </c>
      <c r="R4" s="56" t="s">
        <v>63</v>
      </c>
      <c r="S4" s="56" t="s">
        <v>64</v>
      </c>
      <c r="T4" s="56" t="s">
        <v>65</v>
      </c>
      <c r="U4" s="56" t="s">
        <v>66</v>
      </c>
      <c r="V4" s="56" t="s">
        <v>118</v>
      </c>
    </row>
    <row r="5" spans="1:22">
      <c r="A5" t="s">
        <v>338</v>
      </c>
    </row>
    <row r="6" spans="1:22">
      <c r="B6" s="38" t="s">
        <v>339</v>
      </c>
    </row>
    <row r="7" spans="1:22">
      <c r="B7" t="s">
        <v>204</v>
      </c>
      <c r="D7" s="187">
        <v>74.117786922864468</v>
      </c>
      <c r="E7" s="187">
        <v>75.746790961588118</v>
      </c>
      <c r="F7" s="187">
        <v>79.100568175978466</v>
      </c>
      <c r="G7" s="187">
        <v>84.682738983648647</v>
      </c>
      <c r="H7" s="187">
        <v>88.375416158766043</v>
      </c>
      <c r="I7" s="187">
        <v>103.23047155081038</v>
      </c>
      <c r="J7" s="187">
        <v>91.458153412988253</v>
      </c>
      <c r="K7" s="187">
        <v>93.183297085259611</v>
      </c>
      <c r="L7" s="53">
        <f>SUM(D7:K7)</f>
        <v>689.89522325190387</v>
      </c>
      <c r="N7" s="53">
        <f>D7*N$1</f>
        <v>86.495457338982831</v>
      </c>
      <c r="O7" s="53">
        <f t="shared" ref="O7:U8" si="0">E7*O$1</f>
        <v>90.138681244289856</v>
      </c>
      <c r="P7" s="53">
        <f t="shared" si="0"/>
        <v>95.078882947526111</v>
      </c>
      <c r="Q7" s="53">
        <f t="shared" si="0"/>
        <v>103.99040347192054</v>
      </c>
      <c r="R7" s="53">
        <f t="shared" si="0"/>
        <v>112.59028018626795</v>
      </c>
      <c r="S7" s="53">
        <f t="shared" si="0"/>
        <v>135.54160914621403</v>
      </c>
      <c r="T7" s="53">
        <f t="shared" si="0"/>
        <v>123.37704895412115</v>
      </c>
      <c r="U7" s="53">
        <f t="shared" si="0"/>
        <v>129.33841635434032</v>
      </c>
      <c r="V7" s="53">
        <f>SUM(N7:U7)</f>
        <v>876.55077964366285</v>
      </c>
    </row>
    <row r="8" spans="1:22">
      <c r="B8" t="s">
        <v>206</v>
      </c>
      <c r="D8" s="187">
        <v>39.405926089795059</v>
      </c>
      <c r="E8" s="187">
        <v>35.962368284905509</v>
      </c>
      <c r="F8" s="187">
        <v>29.877361132181548</v>
      </c>
      <c r="G8" s="187">
        <v>28.846391499185597</v>
      </c>
      <c r="H8" s="187">
        <v>30.86762755052062</v>
      </c>
      <c r="I8" s="187">
        <v>30.561284205613454</v>
      </c>
      <c r="J8" s="187">
        <v>25.457651204161817</v>
      </c>
      <c r="K8" s="187">
        <v>25.43438563392731</v>
      </c>
      <c r="L8" s="53">
        <f>SUM(D8:K8)</f>
        <v>246.41299560029088</v>
      </c>
      <c r="N8" s="53">
        <f t="shared" ref="N8" si="1">D8*N$1</f>
        <v>45.986715746790836</v>
      </c>
      <c r="O8" s="53">
        <f t="shared" si="0"/>
        <v>42.795218259037554</v>
      </c>
      <c r="P8" s="53">
        <f t="shared" si="0"/>
        <v>35.912588080882216</v>
      </c>
      <c r="Q8" s="53">
        <f t="shared" si="0"/>
        <v>35.423368760999914</v>
      </c>
      <c r="R8" s="53">
        <f t="shared" si="0"/>
        <v>39.325357499363271</v>
      </c>
      <c r="S8" s="53">
        <f t="shared" si="0"/>
        <v>40.126966161970465</v>
      </c>
      <c r="T8" s="53">
        <f t="shared" si="0"/>
        <v>34.342371474414293</v>
      </c>
      <c r="U8" s="53">
        <f t="shared" si="0"/>
        <v>35.302927259891106</v>
      </c>
      <c r="V8" s="53">
        <f>SUM(N8:U8)</f>
        <v>309.21551324334962</v>
      </c>
    </row>
    <row r="9" spans="1:22">
      <c r="B9" s="38" t="s">
        <v>207</v>
      </c>
      <c r="D9" s="57">
        <f>SUM(D7:D8)</f>
        <v>113.52371301265953</v>
      </c>
      <c r="E9" s="57">
        <f t="shared" ref="E9:L9" si="2">SUM(E7:E8)</f>
        <v>111.70915924649363</v>
      </c>
      <c r="F9" s="57">
        <f t="shared" si="2"/>
        <v>108.97792930816001</v>
      </c>
      <c r="G9" s="57">
        <f t="shared" si="2"/>
        <v>113.52913048283425</v>
      </c>
      <c r="H9" s="57">
        <f t="shared" si="2"/>
        <v>119.24304370928667</v>
      </c>
      <c r="I9" s="57">
        <f t="shared" si="2"/>
        <v>133.79175575642384</v>
      </c>
      <c r="J9" s="57">
        <f t="shared" si="2"/>
        <v>116.91580461715007</v>
      </c>
      <c r="K9" s="57">
        <f t="shared" si="2"/>
        <v>118.61768271918692</v>
      </c>
      <c r="L9" s="57">
        <f t="shared" si="2"/>
        <v>936.30821885219473</v>
      </c>
      <c r="N9" s="57">
        <f>SUM(N7:N8)</f>
        <v>132.48217308577367</v>
      </c>
      <c r="O9" s="57">
        <f t="shared" ref="O9:V9" si="3">SUM(O7:O8)</f>
        <v>132.93389950332741</v>
      </c>
      <c r="P9" s="57">
        <f t="shared" si="3"/>
        <v>130.99147102840834</v>
      </c>
      <c r="Q9" s="57">
        <f t="shared" si="3"/>
        <v>139.41377223292045</v>
      </c>
      <c r="R9" s="57">
        <f t="shared" si="3"/>
        <v>151.91563768563122</v>
      </c>
      <c r="S9" s="57">
        <f t="shared" si="3"/>
        <v>175.6685753081845</v>
      </c>
      <c r="T9" s="57">
        <f t="shared" si="3"/>
        <v>157.71942042853544</v>
      </c>
      <c r="U9" s="57">
        <f t="shared" si="3"/>
        <v>164.64134361423143</v>
      </c>
      <c r="V9" s="57">
        <f t="shared" si="3"/>
        <v>1185.7662928870125</v>
      </c>
    </row>
    <row r="10" spans="1:22">
      <c r="D10" s="53"/>
      <c r="E10" s="53"/>
      <c r="F10" s="53"/>
      <c r="G10" s="53"/>
      <c r="H10" s="53"/>
      <c r="I10" s="53"/>
      <c r="J10" s="53"/>
      <c r="K10" s="53"/>
      <c r="N10" s="53"/>
      <c r="O10" s="53"/>
      <c r="P10" s="53"/>
      <c r="Q10" s="53"/>
      <c r="R10" s="53"/>
      <c r="S10" s="53"/>
      <c r="T10" s="53"/>
      <c r="U10" s="53"/>
      <c r="V10" s="53"/>
    </row>
    <row r="11" spans="1:22">
      <c r="B11" s="38" t="s">
        <v>340</v>
      </c>
      <c r="D11" s="53"/>
      <c r="E11" s="53"/>
      <c r="F11" s="53"/>
      <c r="G11" s="53"/>
      <c r="H11" s="53"/>
      <c r="I11" s="53"/>
      <c r="J11" s="53"/>
      <c r="K11" s="53"/>
      <c r="N11" s="53"/>
      <c r="O11" s="53"/>
      <c r="P11" s="53"/>
      <c r="Q11" s="53"/>
      <c r="R11" s="53"/>
      <c r="S11" s="53"/>
      <c r="T11" s="53"/>
      <c r="U11" s="53"/>
      <c r="V11" s="53"/>
    </row>
    <row r="12" spans="1:22">
      <c r="B12" t="s">
        <v>210</v>
      </c>
      <c r="D12" s="221">
        <v>12.6</v>
      </c>
      <c r="E12" s="221">
        <v>0.53225726739315926</v>
      </c>
      <c r="F12" s="221">
        <v>4.7325538657092654</v>
      </c>
      <c r="G12" s="221">
        <v>6.2057415565054814</v>
      </c>
      <c r="H12" s="221">
        <v>11.963477830534011</v>
      </c>
      <c r="I12" s="221">
        <v>22.775752596385871</v>
      </c>
      <c r="J12" s="221">
        <v>15.26781300294906</v>
      </c>
      <c r="K12" s="221">
        <v>12.066204036170738</v>
      </c>
      <c r="L12" s="53">
        <f>SUM(D12:K12)</f>
        <v>86.143800155647597</v>
      </c>
      <c r="N12" s="53">
        <f>D12*N$1</f>
        <v>14.7042</v>
      </c>
      <c r="O12" s="53">
        <f t="shared" ref="O12:U13" si="4">E12*O$1</f>
        <v>0.63338614819785954</v>
      </c>
      <c r="P12" s="53">
        <f t="shared" si="4"/>
        <v>5.6885297465825371</v>
      </c>
      <c r="Q12" s="53">
        <f t="shared" si="4"/>
        <v>7.620650631388731</v>
      </c>
      <c r="R12" s="53">
        <f t="shared" si="4"/>
        <v>15.24147075610033</v>
      </c>
      <c r="S12" s="53">
        <f t="shared" si="4"/>
        <v>29.904563159054646</v>
      </c>
      <c r="T12" s="53">
        <f t="shared" si="4"/>
        <v>20.596279740978282</v>
      </c>
      <c r="U12" s="53">
        <f t="shared" si="4"/>
        <v>16.747891202204983</v>
      </c>
      <c r="V12" s="53">
        <f>SUM(N12:U12)</f>
        <v>111.13697138450738</v>
      </c>
    </row>
    <row r="13" spans="1:22">
      <c r="B13" t="s">
        <v>212</v>
      </c>
      <c r="D13" s="221">
        <v>0</v>
      </c>
      <c r="E13" s="221">
        <v>2.2839187505600642</v>
      </c>
      <c r="F13" s="221">
        <v>6.3745194978318223</v>
      </c>
      <c r="G13" s="221">
        <v>6.5040550387616145</v>
      </c>
      <c r="H13" s="221">
        <v>6.1768069871062599</v>
      </c>
      <c r="I13" s="221">
        <v>5.2768748977192663</v>
      </c>
      <c r="J13" s="221">
        <v>5.9722769597443781</v>
      </c>
      <c r="K13" s="221">
        <v>5.7336585890712586</v>
      </c>
      <c r="L13" s="53">
        <f>SUM(D13:K13)</f>
        <v>38.322110720794669</v>
      </c>
      <c r="N13" s="53">
        <f>D13*N$1</f>
        <v>0</v>
      </c>
      <c r="O13" s="53">
        <f t="shared" si="4"/>
        <v>2.7178633131664762</v>
      </c>
      <c r="P13" s="53">
        <f t="shared" si="4"/>
        <v>7.6621724363938499</v>
      </c>
      <c r="Q13" s="53">
        <f t="shared" si="4"/>
        <v>7.9869795875992624</v>
      </c>
      <c r="R13" s="53">
        <f t="shared" si="4"/>
        <v>7.869252101573375</v>
      </c>
      <c r="S13" s="53">
        <f t="shared" si="4"/>
        <v>6.9285367407053968</v>
      </c>
      <c r="T13" s="53">
        <f t="shared" si="4"/>
        <v>8.0566016186951668</v>
      </c>
      <c r="U13" s="53">
        <f t="shared" si="4"/>
        <v>7.9583181216309065</v>
      </c>
      <c r="V13" s="53">
        <f>SUM(N13:U13)</f>
        <v>49.179723919764442</v>
      </c>
    </row>
    <row r="14" spans="1:22">
      <c r="D14" s="189"/>
      <c r="E14" s="189"/>
      <c r="F14" s="189"/>
      <c r="G14" s="189"/>
      <c r="H14" s="189"/>
      <c r="I14" s="189"/>
      <c r="J14" s="189"/>
      <c r="K14" s="189"/>
      <c r="L14" s="53"/>
      <c r="N14" s="53"/>
      <c r="O14" s="53"/>
      <c r="P14" s="53"/>
      <c r="Q14" s="53"/>
      <c r="R14" s="53"/>
      <c r="S14" s="53"/>
      <c r="T14" s="53"/>
      <c r="U14" s="53"/>
      <c r="V14" s="53"/>
    </row>
    <row r="15" spans="1:22">
      <c r="B15" s="38" t="s">
        <v>341</v>
      </c>
      <c r="N15" s="53"/>
      <c r="O15" s="53"/>
      <c r="P15" s="53"/>
      <c r="Q15" s="53"/>
      <c r="R15" s="53"/>
      <c r="S15" s="53"/>
      <c r="T15" s="53"/>
      <c r="U15" s="53"/>
      <c r="V15" s="53"/>
    </row>
    <row r="16" spans="1:22">
      <c r="B16" t="s">
        <v>342</v>
      </c>
      <c r="D16" s="187">
        <v>226.54482674025229</v>
      </c>
      <c r="E16" s="187">
        <v>189.76583863604765</v>
      </c>
      <c r="F16" s="187">
        <v>179.38344990371465</v>
      </c>
      <c r="G16" s="187">
        <v>186.89947200056383</v>
      </c>
      <c r="H16" s="187">
        <v>142.34099424420381</v>
      </c>
      <c r="I16" s="187">
        <v>123.51757213647369</v>
      </c>
      <c r="J16" s="187">
        <v>-21.093349498298281</v>
      </c>
      <c r="K16" s="187">
        <v>-36.616451358880617</v>
      </c>
      <c r="L16" s="53">
        <f>SUM(D16:K16)</f>
        <v>990.74235280407697</v>
      </c>
      <c r="N16" s="53">
        <f>D16*N$1</f>
        <v>264.37781280587444</v>
      </c>
      <c r="O16" s="53">
        <f t="shared" ref="O16:U18" si="5">E16*O$1</f>
        <v>225.8213479768967</v>
      </c>
      <c r="P16" s="53">
        <f t="shared" si="5"/>
        <v>215.61890678426499</v>
      </c>
      <c r="Q16" s="53">
        <f t="shared" si="5"/>
        <v>229.51255161669238</v>
      </c>
      <c r="R16" s="53">
        <f t="shared" si="5"/>
        <v>181.34242666711566</v>
      </c>
      <c r="S16" s="53">
        <f t="shared" si="5"/>
        <v>162.17857221518994</v>
      </c>
      <c r="T16" s="53">
        <f t="shared" si="5"/>
        <v>-28.454928473204379</v>
      </c>
      <c r="U16" s="53">
        <f t="shared" si="5"/>
        <v>-50.823634486126295</v>
      </c>
      <c r="V16" s="53">
        <f t="shared" ref="V16:V18" si="6">SUM(N16:U16)</f>
        <v>1199.5730551067034</v>
      </c>
    </row>
    <row r="17" spans="1:22">
      <c r="B17" t="s">
        <v>343</v>
      </c>
      <c r="D17" s="187">
        <v>506.11836500601339</v>
      </c>
      <c r="E17" s="187">
        <v>499.20409814951984</v>
      </c>
      <c r="F17" s="187">
        <v>485.07329761796098</v>
      </c>
      <c r="G17" s="187">
        <v>489.14143160750723</v>
      </c>
      <c r="H17" s="187">
        <v>622.61892466629627</v>
      </c>
      <c r="I17" s="187">
        <v>715.79753719305393</v>
      </c>
      <c r="J17" s="187">
        <v>609.25081046797004</v>
      </c>
      <c r="K17" s="187">
        <v>529.21301595565285</v>
      </c>
      <c r="L17" s="53">
        <f t="shared" ref="L17:L18" si="7">SUM(D17:K17)</f>
        <v>4456.4174806639749</v>
      </c>
      <c r="N17" s="53">
        <f>D17*N$1</f>
        <v>590.64013196201768</v>
      </c>
      <c r="O17" s="53">
        <f t="shared" si="5"/>
        <v>594.05287679792855</v>
      </c>
      <c r="P17" s="53">
        <f t="shared" si="5"/>
        <v>583.05810373678912</v>
      </c>
      <c r="Q17" s="53">
        <f t="shared" si="5"/>
        <v>600.66567801401891</v>
      </c>
      <c r="R17" s="53">
        <f t="shared" si="5"/>
        <v>793.21651002486146</v>
      </c>
      <c r="S17" s="53">
        <f t="shared" si="5"/>
        <v>939.84216633447977</v>
      </c>
      <c r="T17" s="53">
        <f t="shared" si="5"/>
        <v>821.87934332129157</v>
      </c>
      <c r="U17" s="53">
        <f t="shared" si="5"/>
        <v>734.54766614644609</v>
      </c>
      <c r="V17" s="53">
        <f t="shared" ref="V17" si="8">SUM(N17:U17)</f>
        <v>5657.9024763378329</v>
      </c>
    </row>
    <row r="18" spans="1:22">
      <c r="B18" t="s">
        <v>204</v>
      </c>
      <c r="D18" s="187">
        <v>192.21282629439594</v>
      </c>
      <c r="E18" s="187">
        <v>196.41204072355288</v>
      </c>
      <c r="F18" s="187">
        <v>203.04710659109347</v>
      </c>
      <c r="G18" s="187">
        <v>204.35171680440774</v>
      </c>
      <c r="H18" s="187">
        <v>205.72203973741003</v>
      </c>
      <c r="I18" s="187">
        <v>206.0644404839947</v>
      </c>
      <c r="J18" s="187">
        <v>207.83890997781467</v>
      </c>
      <c r="K18" s="187">
        <v>208.20405529640865</v>
      </c>
      <c r="L18" s="53">
        <f t="shared" si="7"/>
        <v>1623.853135909078</v>
      </c>
      <c r="N18" s="53">
        <f>D18*N$1</f>
        <v>224.31236828556007</v>
      </c>
      <c r="O18" s="53">
        <f t="shared" si="5"/>
        <v>233.73032846102791</v>
      </c>
      <c r="P18" s="53">
        <f t="shared" si="5"/>
        <v>244.06262212249433</v>
      </c>
      <c r="Q18" s="53">
        <f t="shared" si="5"/>
        <v>250.9439082358127</v>
      </c>
      <c r="R18" s="53">
        <f t="shared" si="5"/>
        <v>262.08987862546036</v>
      </c>
      <c r="S18" s="53">
        <f t="shared" si="5"/>
        <v>270.56261035548505</v>
      </c>
      <c r="T18" s="53">
        <f t="shared" si="5"/>
        <v>280.374689560072</v>
      </c>
      <c r="U18" s="53">
        <f t="shared" si="5"/>
        <v>288.98722875141522</v>
      </c>
      <c r="V18" s="53">
        <f t="shared" si="6"/>
        <v>2055.0636343973279</v>
      </c>
    </row>
    <row r="19" spans="1:22">
      <c r="N19" s="53"/>
      <c r="O19" s="53"/>
      <c r="P19" s="53"/>
      <c r="Q19" s="53"/>
      <c r="R19" s="53"/>
      <c r="S19" s="53"/>
      <c r="T19" s="53"/>
      <c r="U19" s="53"/>
      <c r="V19" s="53"/>
    </row>
    <row r="20" spans="1:22">
      <c r="B20" s="38" t="s">
        <v>344</v>
      </c>
      <c r="N20" s="53"/>
      <c r="O20" s="53"/>
      <c r="P20" s="53"/>
      <c r="Q20" s="53"/>
      <c r="R20" s="53"/>
      <c r="S20" s="53"/>
      <c r="T20" s="53"/>
      <c r="U20" s="53"/>
      <c r="V20" s="53"/>
    </row>
    <row r="21" spans="1:22">
      <c r="B21" t="s">
        <v>206</v>
      </c>
      <c r="D21" s="187">
        <v>611.17984582528948</v>
      </c>
      <c r="E21" s="187">
        <v>463.27328221312342</v>
      </c>
      <c r="F21" s="187">
        <v>261.20647408680634</v>
      </c>
      <c r="G21" s="187">
        <v>164.31890424337803</v>
      </c>
      <c r="H21" s="187">
        <v>59.747560322737066</v>
      </c>
      <c r="I21" s="187">
        <v>214.66493185250332</v>
      </c>
      <c r="J21" s="187">
        <v>304.48296594648957</v>
      </c>
      <c r="K21" s="187">
        <v>290.23686299589383</v>
      </c>
      <c r="L21" s="53">
        <f t="shared" ref="L21:L22" si="9">SUM(D21:K21)</f>
        <v>2369.1108274862208</v>
      </c>
      <c r="N21" s="53">
        <f>D21*N$1</f>
        <v>713.24688007811289</v>
      </c>
      <c r="O21" s="53">
        <f t="shared" ref="O21:U22" si="10">E21*O$1</f>
        <v>551.29520583361682</v>
      </c>
      <c r="P21" s="53">
        <f t="shared" si="10"/>
        <v>313.97018185234123</v>
      </c>
      <c r="Q21" s="53">
        <f t="shared" si="10"/>
        <v>201.78361441086821</v>
      </c>
      <c r="R21" s="53">
        <f t="shared" si="10"/>
        <v>76.118391851167019</v>
      </c>
      <c r="S21" s="53">
        <f t="shared" si="10"/>
        <v>281.85505552233684</v>
      </c>
      <c r="T21" s="53">
        <f t="shared" si="10"/>
        <v>410.74752106181444</v>
      </c>
      <c r="U21" s="53">
        <f t="shared" si="10"/>
        <v>402.84876583830061</v>
      </c>
      <c r="V21" s="53">
        <f t="shared" ref="V21:V22" si="11">SUM(N21:U21)</f>
        <v>2951.8656164485583</v>
      </c>
    </row>
    <row r="22" spans="1:22">
      <c r="B22" t="s">
        <v>204</v>
      </c>
      <c r="D22" s="187">
        <v>1.0905502475471596</v>
      </c>
      <c r="E22" s="187">
        <v>3.187886630798479</v>
      </c>
      <c r="F22" s="187">
        <v>8.7780181940086308</v>
      </c>
      <c r="G22" s="187">
        <v>13.747332444010851</v>
      </c>
      <c r="H22" s="187">
        <v>38.154827130556669</v>
      </c>
      <c r="I22" s="187">
        <v>31.711382344696709</v>
      </c>
      <c r="J22" s="187">
        <v>15.103658493510443</v>
      </c>
      <c r="K22" s="187">
        <v>6.0315217291061529</v>
      </c>
      <c r="L22" s="53">
        <f t="shared" si="9"/>
        <v>117.80517721423507</v>
      </c>
      <c r="N22" s="53">
        <f>D22*N$1</f>
        <v>1.2726721388875353</v>
      </c>
      <c r="O22" s="53">
        <f t="shared" si="10"/>
        <v>3.7935850906501898</v>
      </c>
      <c r="P22" s="53">
        <f t="shared" si="10"/>
        <v>10.551177869198375</v>
      </c>
      <c r="Q22" s="53">
        <f t="shared" si="10"/>
        <v>16.881724241245326</v>
      </c>
      <c r="R22" s="53">
        <f t="shared" si="10"/>
        <v>48.609249764329199</v>
      </c>
      <c r="S22" s="53">
        <f t="shared" si="10"/>
        <v>41.637045018586775</v>
      </c>
      <c r="T22" s="53">
        <f t="shared" si="10"/>
        <v>20.374835307745588</v>
      </c>
      <c r="U22" s="53">
        <f t="shared" si="10"/>
        <v>8.371752159999339</v>
      </c>
      <c r="V22" s="53">
        <f t="shared" si="11"/>
        <v>151.49204159064234</v>
      </c>
    </row>
    <row r="23" spans="1:22">
      <c r="N23" s="53"/>
      <c r="O23" s="53"/>
      <c r="P23" s="53"/>
      <c r="Q23" s="53"/>
      <c r="R23" s="53"/>
      <c r="S23" s="53"/>
      <c r="T23" s="53"/>
      <c r="U23" s="53"/>
      <c r="V23" s="53"/>
    </row>
    <row r="24" spans="1:22" ht="15.6">
      <c r="B24" s="59" t="s">
        <v>345</v>
      </c>
      <c r="C24" s="60"/>
      <c r="D24" s="61">
        <f>SUM(D16:D22)</f>
        <v>1537.1464141134982</v>
      </c>
      <c r="E24" s="61">
        <f t="shared" ref="E24:L24" si="12">SUM(E16:E22)</f>
        <v>1351.8431463530421</v>
      </c>
      <c r="F24" s="61">
        <f t="shared" si="12"/>
        <v>1137.4883463935842</v>
      </c>
      <c r="G24" s="61">
        <f t="shared" si="12"/>
        <v>1058.4588570998678</v>
      </c>
      <c r="H24" s="61">
        <f t="shared" si="12"/>
        <v>1068.5843461012039</v>
      </c>
      <c r="I24" s="61">
        <f t="shared" si="12"/>
        <v>1291.7558640107222</v>
      </c>
      <c r="J24" s="61">
        <f t="shared" si="12"/>
        <v>1115.5829953874863</v>
      </c>
      <c r="K24" s="61">
        <f t="shared" si="12"/>
        <v>997.06900461818088</v>
      </c>
      <c r="L24" s="61">
        <f t="shared" si="12"/>
        <v>9557.9289740775857</v>
      </c>
      <c r="M24" s="116" t="s">
        <v>223</v>
      </c>
      <c r="N24" s="61">
        <f>SUM(N16:N22)</f>
        <v>1793.8498652704529</v>
      </c>
      <c r="O24" s="61">
        <f t="shared" ref="O24:V24" si="13">SUM(O16:O22)</f>
        <v>1608.6933441601202</v>
      </c>
      <c r="P24" s="61">
        <f t="shared" si="13"/>
        <v>1367.2609923650882</v>
      </c>
      <c r="Q24" s="61">
        <f t="shared" si="13"/>
        <v>1299.7874765186375</v>
      </c>
      <c r="R24" s="61">
        <f t="shared" si="13"/>
        <v>1361.3764569329337</v>
      </c>
      <c r="S24" s="61">
        <f t="shared" si="13"/>
        <v>1696.0754494460784</v>
      </c>
      <c r="T24" s="61">
        <f t="shared" si="13"/>
        <v>1504.9214607777192</v>
      </c>
      <c r="U24" s="61">
        <f t="shared" si="13"/>
        <v>1383.9317784100349</v>
      </c>
      <c r="V24" s="61">
        <f t="shared" si="13"/>
        <v>12015.896823881065</v>
      </c>
    </row>
    <row r="25" spans="1:22">
      <c r="N25" s="53"/>
      <c r="O25" s="53"/>
      <c r="P25" s="53"/>
      <c r="Q25" s="53"/>
      <c r="R25" s="53"/>
      <c r="S25" s="53"/>
      <c r="T25" s="53"/>
      <c r="U25" s="53"/>
      <c r="V25" s="53"/>
    </row>
    <row r="26" spans="1:22">
      <c r="B26" s="38" t="s">
        <v>224</v>
      </c>
      <c r="C26" s="38"/>
      <c r="N26" s="53"/>
      <c r="O26" s="53"/>
      <c r="P26" s="53"/>
      <c r="Q26" s="53"/>
      <c r="R26" s="53"/>
      <c r="S26" s="53"/>
      <c r="T26" s="53"/>
      <c r="U26" s="53"/>
      <c r="V26" s="53"/>
    </row>
    <row r="27" spans="1:22">
      <c r="B27" t="s">
        <v>226</v>
      </c>
      <c r="D27" s="191">
        <v>94.24723304227993</v>
      </c>
      <c r="E27" s="191">
        <v>87.678224204681584</v>
      </c>
      <c r="F27" s="191">
        <v>87.676243763178761</v>
      </c>
      <c r="G27" s="191">
        <v>87.677481779017953</v>
      </c>
      <c r="H27" s="191">
        <v>87.676244486345595</v>
      </c>
      <c r="I27" s="191">
        <v>87.676244488148086</v>
      </c>
      <c r="J27" s="191">
        <v>87.676244492723825</v>
      </c>
      <c r="K27" s="191">
        <v>87.676244462267519</v>
      </c>
      <c r="L27" s="58">
        <f>SUM(D27:K27)</f>
        <v>707.98416071864324</v>
      </c>
      <c r="N27" s="58">
        <f>D27*N$1</f>
        <v>109.98652096034068</v>
      </c>
      <c r="O27" s="58">
        <f t="shared" ref="O27:U27" si="14">E27*O$1</f>
        <v>104.33708680357108</v>
      </c>
      <c r="P27" s="58">
        <f t="shared" si="14"/>
        <v>105.38684500334087</v>
      </c>
      <c r="Q27" s="58">
        <f t="shared" si="14"/>
        <v>107.66794762463404</v>
      </c>
      <c r="R27" s="58">
        <f t="shared" si="14"/>
        <v>111.69953547560429</v>
      </c>
      <c r="S27" s="58">
        <f t="shared" si="14"/>
        <v>115.11890901293843</v>
      </c>
      <c r="T27" s="58">
        <f t="shared" si="14"/>
        <v>118.27525382068444</v>
      </c>
      <c r="U27" s="58">
        <f t="shared" si="14"/>
        <v>121.69462731362731</v>
      </c>
      <c r="V27" s="58">
        <f t="shared" ref="V27" si="15">SUM(N27:U27)</f>
        <v>894.16672601474102</v>
      </c>
    </row>
    <row r="28" spans="1:22">
      <c r="D28" s="191"/>
      <c r="E28" s="191"/>
      <c r="F28" s="191"/>
      <c r="G28" s="191"/>
      <c r="H28" s="191"/>
      <c r="I28" s="191"/>
      <c r="J28" s="191"/>
      <c r="K28" s="191"/>
      <c r="L28" s="58"/>
      <c r="N28" s="58"/>
      <c r="O28" s="58"/>
      <c r="P28" s="58"/>
      <c r="Q28" s="58"/>
      <c r="R28" s="58"/>
      <c r="S28" s="58"/>
      <c r="T28" s="58"/>
      <c r="U28" s="58"/>
      <c r="V28" s="58"/>
    </row>
    <row r="29" spans="1:22">
      <c r="A29" t="s">
        <v>346</v>
      </c>
      <c r="N29" s="53"/>
      <c r="O29" s="53"/>
      <c r="P29" s="53"/>
      <c r="Q29" s="53"/>
      <c r="R29" s="53"/>
      <c r="S29" s="53"/>
      <c r="T29" s="53"/>
      <c r="U29" s="53"/>
      <c r="V29" s="53"/>
    </row>
    <row r="30" spans="1:22">
      <c r="B30" s="38" t="s">
        <v>339</v>
      </c>
    </row>
    <row r="31" spans="1:22">
      <c r="B31" t="s">
        <v>204</v>
      </c>
      <c r="D31" s="223">
        <v>81.990982577070014</v>
      </c>
      <c r="E31" s="223">
        <v>79.325370564392955</v>
      </c>
      <c r="F31" s="223">
        <v>82.444959949703602</v>
      </c>
      <c r="G31" s="223">
        <v>87.244218866382454</v>
      </c>
      <c r="H31" s="223">
        <v>93.13512278909549</v>
      </c>
      <c r="I31" s="223">
        <v>107.70371493088014</v>
      </c>
      <c r="J31" s="223">
        <v>97.43043037273263</v>
      </c>
      <c r="K31" s="223">
        <v>98.916955674330865</v>
      </c>
      <c r="L31" s="53">
        <f>SUM(D31:K31)</f>
        <v>728.19175572458812</v>
      </c>
      <c r="N31" s="53">
        <f>D31*N$1</f>
        <v>95.683476667440715</v>
      </c>
      <c r="O31" s="53">
        <f t="shared" ref="O31:U32" si="16">E31*O$1</f>
        <v>94.397190971627609</v>
      </c>
      <c r="P31" s="53">
        <f t="shared" si="16"/>
        <v>99.098841859543725</v>
      </c>
      <c r="Q31" s="53">
        <f t="shared" si="16"/>
        <v>107.13590076791765</v>
      </c>
      <c r="R31" s="53">
        <f t="shared" si="16"/>
        <v>118.65414643330766</v>
      </c>
      <c r="S31" s="53">
        <f t="shared" si="16"/>
        <v>141.41497770424562</v>
      </c>
      <c r="T31" s="53">
        <f t="shared" si="16"/>
        <v>131.4336505728163</v>
      </c>
      <c r="U31" s="53">
        <f t="shared" si="16"/>
        <v>137.29673447597122</v>
      </c>
      <c r="V31" s="53">
        <f>SUM(N31:U31)</f>
        <v>925.11491945287048</v>
      </c>
    </row>
    <row r="32" spans="1:22">
      <c r="B32" t="s">
        <v>206</v>
      </c>
      <c r="D32" s="223">
        <v>32.211047115864659</v>
      </c>
      <c r="E32" s="223">
        <v>34.412038344731393</v>
      </c>
      <c r="F32" s="223">
        <v>33.431784730351907</v>
      </c>
      <c r="G32" s="223">
        <v>45.046194512275676</v>
      </c>
      <c r="H32" s="223">
        <v>48.724532627252877</v>
      </c>
      <c r="I32" s="223">
        <v>59.278336906445745</v>
      </c>
      <c r="J32" s="223">
        <v>40.725464207110875</v>
      </c>
      <c r="K32" s="223">
        <v>37.500589670098051</v>
      </c>
      <c r="L32" s="53">
        <f>SUM(D32:K32)</f>
        <v>331.3299881141312</v>
      </c>
      <c r="N32" s="53">
        <f t="shared" ref="N32" si="17">D32*N$1</f>
        <v>37.590291984214055</v>
      </c>
      <c r="O32" s="53">
        <f t="shared" si="16"/>
        <v>40.950325630230353</v>
      </c>
      <c r="P32" s="53">
        <f t="shared" si="16"/>
        <v>40.185005245882991</v>
      </c>
      <c r="Q32" s="53">
        <f t="shared" si="16"/>
        <v>55.316726861074528</v>
      </c>
      <c r="R32" s="53">
        <f t="shared" si="16"/>
        <v>62.075054567120169</v>
      </c>
      <c r="S32" s="53">
        <f t="shared" si="16"/>
        <v>77.832456358163256</v>
      </c>
      <c r="T32" s="53">
        <f t="shared" si="16"/>
        <v>54.938651215392568</v>
      </c>
      <c r="U32" s="53">
        <f t="shared" si="16"/>
        <v>52.050818462096089</v>
      </c>
      <c r="V32" s="53">
        <f>SUM(N32:U32)</f>
        <v>420.93933032417397</v>
      </c>
    </row>
    <row r="33" spans="2:22">
      <c r="B33" s="38" t="s">
        <v>207</v>
      </c>
      <c r="D33" s="57">
        <f>SUM(D31:D32)</f>
        <v>114.20202969293467</v>
      </c>
      <c r="E33" s="57">
        <f t="shared" ref="E33:L33" si="18">SUM(E31:E32)</f>
        <v>113.73740890912435</v>
      </c>
      <c r="F33" s="57">
        <f t="shared" si="18"/>
        <v>115.87674468005551</v>
      </c>
      <c r="G33" s="57">
        <f t="shared" si="18"/>
        <v>132.29041337865812</v>
      </c>
      <c r="H33" s="57">
        <f t="shared" si="18"/>
        <v>141.85965541634837</v>
      </c>
      <c r="I33" s="57">
        <f t="shared" si="18"/>
        <v>166.98205183732588</v>
      </c>
      <c r="J33" s="57">
        <f t="shared" si="18"/>
        <v>138.1558945798435</v>
      </c>
      <c r="K33" s="57">
        <f>SUM(K31:K32)</f>
        <v>136.4175453444289</v>
      </c>
      <c r="L33" s="57">
        <f t="shared" si="18"/>
        <v>1059.5217438387194</v>
      </c>
      <c r="M33" s="116" t="s">
        <v>223</v>
      </c>
      <c r="N33" s="57">
        <f>SUM(N31:N32)</f>
        <v>133.27376865165476</v>
      </c>
      <c r="O33" s="57">
        <f t="shared" ref="O33:V33" si="19">SUM(O31:O32)</f>
        <v>135.34751660185796</v>
      </c>
      <c r="P33" s="57">
        <f t="shared" si="19"/>
        <v>139.28384710542673</v>
      </c>
      <c r="Q33" s="57">
        <f t="shared" si="19"/>
        <v>162.45262762899216</v>
      </c>
      <c r="R33" s="57">
        <f t="shared" si="19"/>
        <v>180.72920100042782</v>
      </c>
      <c r="S33" s="57">
        <f t="shared" si="19"/>
        <v>219.24743406240887</v>
      </c>
      <c r="T33" s="57">
        <f t="shared" si="19"/>
        <v>186.37230178820886</v>
      </c>
      <c r="U33" s="57">
        <f t="shared" si="19"/>
        <v>189.34755293806731</v>
      </c>
      <c r="V33" s="57">
        <f t="shared" si="19"/>
        <v>1346.0542497770443</v>
      </c>
    </row>
    <row r="34" spans="2:22">
      <c r="D34" s="53"/>
      <c r="E34" s="53"/>
      <c r="F34" s="53"/>
      <c r="G34" s="53"/>
      <c r="H34" s="53"/>
      <c r="I34" s="53"/>
      <c r="J34" s="53"/>
      <c r="K34" s="53"/>
      <c r="N34" s="53"/>
      <c r="O34" s="53"/>
      <c r="P34" s="53"/>
      <c r="Q34" s="53"/>
      <c r="R34" s="53"/>
      <c r="S34" s="53"/>
      <c r="T34" s="53"/>
      <c r="U34" s="53"/>
      <c r="V34" s="53"/>
    </row>
    <row r="35" spans="2:22">
      <c r="B35" s="38" t="s">
        <v>340</v>
      </c>
      <c r="D35" s="53"/>
      <c r="E35" s="53"/>
      <c r="F35" s="53"/>
      <c r="G35" s="53"/>
      <c r="H35" s="53"/>
      <c r="I35" s="53"/>
      <c r="J35" s="53"/>
      <c r="K35" s="53"/>
      <c r="N35" s="53"/>
      <c r="O35" s="53"/>
      <c r="P35" s="53"/>
      <c r="Q35" s="53"/>
      <c r="R35" s="53"/>
      <c r="S35" s="53"/>
      <c r="T35" s="53"/>
      <c r="U35" s="53"/>
      <c r="V35" s="53"/>
    </row>
    <row r="36" spans="2:22">
      <c r="B36" t="s">
        <v>210</v>
      </c>
      <c r="D36" s="222">
        <v>0</v>
      </c>
      <c r="E36" s="222">
        <v>0</v>
      </c>
      <c r="F36" s="222">
        <v>0</v>
      </c>
      <c r="G36" s="222">
        <v>0</v>
      </c>
      <c r="H36" s="222">
        <v>0</v>
      </c>
      <c r="I36" s="222">
        <v>0</v>
      </c>
      <c r="J36" s="222">
        <v>0</v>
      </c>
      <c r="K36" s="222">
        <v>0</v>
      </c>
      <c r="L36" s="53">
        <f>SUM(D36:K36)</f>
        <v>0</v>
      </c>
      <c r="N36" s="53">
        <f>D36*N$1</f>
        <v>0</v>
      </c>
      <c r="O36" s="53">
        <f t="shared" ref="O36:U37" si="20">E36*O$1</f>
        <v>0</v>
      </c>
      <c r="P36" s="53">
        <f t="shared" si="20"/>
        <v>0</v>
      </c>
      <c r="Q36" s="53">
        <f t="shared" si="20"/>
        <v>0</v>
      </c>
      <c r="R36" s="53">
        <f t="shared" si="20"/>
        <v>0</v>
      </c>
      <c r="S36" s="53">
        <f t="shared" si="20"/>
        <v>0</v>
      </c>
      <c r="T36" s="53">
        <f t="shared" si="20"/>
        <v>0</v>
      </c>
      <c r="U36" s="53">
        <f t="shared" si="20"/>
        <v>0</v>
      </c>
      <c r="V36" s="53">
        <f>SUM(N36:U36)</f>
        <v>0</v>
      </c>
    </row>
    <row r="37" spans="2:22">
      <c r="B37" t="s">
        <v>212</v>
      </c>
      <c r="D37" s="222">
        <v>0</v>
      </c>
      <c r="E37" s="222">
        <v>0</v>
      </c>
      <c r="F37" s="222">
        <v>0</v>
      </c>
      <c r="G37" s="222">
        <v>0</v>
      </c>
      <c r="H37" s="222">
        <v>0</v>
      </c>
      <c r="I37" s="222">
        <v>0</v>
      </c>
      <c r="J37" s="222">
        <v>0</v>
      </c>
      <c r="K37" s="222">
        <v>0</v>
      </c>
      <c r="L37" s="53">
        <f>SUM(D37:K37)</f>
        <v>0</v>
      </c>
      <c r="N37" s="53">
        <f>D37*N$1</f>
        <v>0</v>
      </c>
      <c r="O37" s="53">
        <f t="shared" si="20"/>
        <v>0</v>
      </c>
      <c r="P37" s="53">
        <f t="shared" si="20"/>
        <v>0</v>
      </c>
      <c r="Q37" s="53">
        <f t="shared" si="20"/>
        <v>0</v>
      </c>
      <c r="R37" s="53">
        <f t="shared" si="20"/>
        <v>0</v>
      </c>
      <c r="S37" s="53">
        <f t="shared" si="20"/>
        <v>0</v>
      </c>
      <c r="T37" s="53">
        <f t="shared" si="20"/>
        <v>0</v>
      </c>
      <c r="U37" s="53">
        <f t="shared" si="20"/>
        <v>0</v>
      </c>
      <c r="V37" s="53">
        <f>SUM(N37:U37)</f>
        <v>0</v>
      </c>
    </row>
    <row r="38" spans="2:22">
      <c r="B38" s="38" t="s">
        <v>341</v>
      </c>
      <c r="N38" s="53"/>
      <c r="O38" s="53"/>
      <c r="P38" s="53"/>
      <c r="Q38" s="53"/>
      <c r="R38" s="53"/>
      <c r="S38" s="53"/>
      <c r="T38" s="53"/>
      <c r="U38" s="53"/>
      <c r="V38" s="53"/>
    </row>
    <row r="39" spans="2:22">
      <c r="B39" t="s">
        <v>342</v>
      </c>
      <c r="D39" s="223">
        <v>567.31107043976681</v>
      </c>
      <c r="E39" s="223">
        <v>437.45333836790246</v>
      </c>
      <c r="F39" s="223">
        <v>400.75604129773484</v>
      </c>
      <c r="G39" s="223">
        <v>298.52074101881811</v>
      </c>
      <c r="H39" s="223">
        <v>201.55524519629097</v>
      </c>
      <c r="I39" s="223">
        <v>180.76399262080596</v>
      </c>
      <c r="J39" s="223">
        <v>232.89727494170171</v>
      </c>
      <c r="K39" s="223">
        <v>228.69293336611935</v>
      </c>
      <c r="L39" s="53">
        <f t="shared" ref="L39:L41" si="21">SUM(D39:K39)</f>
        <v>2547.9506372491401</v>
      </c>
      <c r="M39" s="116" t="s">
        <v>223</v>
      </c>
      <c r="N39" s="53">
        <f>D39*N$1</f>
        <v>662.05201920320792</v>
      </c>
      <c r="O39" s="53">
        <f t="shared" ref="O39:U41" si="22">E39*O$1</f>
        <v>520.56947265780389</v>
      </c>
      <c r="P39" s="53">
        <f t="shared" si="22"/>
        <v>481.70876163987725</v>
      </c>
      <c r="Q39" s="53">
        <f t="shared" si="22"/>
        <v>366.58346997110863</v>
      </c>
      <c r="R39" s="53">
        <f t="shared" si="22"/>
        <v>256.78138238007472</v>
      </c>
      <c r="S39" s="53">
        <f t="shared" si="22"/>
        <v>237.34312231111821</v>
      </c>
      <c r="T39" s="53">
        <f t="shared" si="22"/>
        <v>314.17842389635558</v>
      </c>
      <c r="U39" s="53">
        <f t="shared" si="22"/>
        <v>317.42579151217365</v>
      </c>
      <c r="V39" s="53">
        <f t="shared" ref="V39" si="23">SUM(N39:U39)</f>
        <v>3156.6424435717199</v>
      </c>
    </row>
    <row r="40" spans="2:22">
      <c r="B40" t="s">
        <v>343</v>
      </c>
      <c r="D40" s="223">
        <v>431.60359266344881</v>
      </c>
      <c r="E40" s="223">
        <v>241.52168903502007</v>
      </c>
      <c r="F40" s="223">
        <v>341.69695682175035</v>
      </c>
      <c r="G40" s="223">
        <v>400.69326266340892</v>
      </c>
      <c r="H40" s="223">
        <v>418.93431117534499</v>
      </c>
      <c r="I40" s="223">
        <v>392.89837799338949</v>
      </c>
      <c r="J40" s="223">
        <v>659.74315197445958</v>
      </c>
      <c r="K40" s="223">
        <v>554.14049422654671</v>
      </c>
      <c r="L40" s="53">
        <f t="shared" si="21"/>
        <v>3441.2318365533688</v>
      </c>
      <c r="M40" s="116" t="s">
        <v>223</v>
      </c>
      <c r="N40" s="53">
        <f>D40*N$1</f>
        <v>503.6813926382448</v>
      </c>
      <c r="O40" s="53">
        <f t="shared" si="22"/>
        <v>287.41080995167385</v>
      </c>
      <c r="P40" s="53">
        <f t="shared" si="22"/>
        <v>410.71974209974388</v>
      </c>
      <c r="Q40" s="53">
        <f t="shared" si="22"/>
        <v>492.05132655066615</v>
      </c>
      <c r="R40" s="53">
        <f t="shared" si="22"/>
        <v>533.72231243738952</v>
      </c>
      <c r="S40" s="53">
        <f t="shared" si="22"/>
        <v>515.87557030532037</v>
      </c>
      <c r="T40" s="53">
        <f t="shared" si="22"/>
        <v>889.99351201354591</v>
      </c>
      <c r="U40" s="53">
        <f t="shared" si="22"/>
        <v>769.14700598644674</v>
      </c>
      <c r="V40" s="53">
        <f t="shared" ref="V40" si="24">SUM(N40:U40)</f>
        <v>4402.6016719830313</v>
      </c>
    </row>
    <row r="41" spans="2:22">
      <c r="B41" t="s">
        <v>204</v>
      </c>
      <c r="D41" s="223">
        <v>205.79764574271053</v>
      </c>
      <c r="E41" s="223">
        <v>225.57798057867012</v>
      </c>
      <c r="F41" s="223">
        <v>229.53296594785181</v>
      </c>
      <c r="G41" s="223">
        <v>210.576624426726</v>
      </c>
      <c r="H41" s="223">
        <v>216.9500736914016</v>
      </c>
      <c r="I41" s="223">
        <v>230.7043043441075</v>
      </c>
      <c r="J41" s="223">
        <v>222.9425684713251</v>
      </c>
      <c r="K41" s="223">
        <v>214.2355770255148</v>
      </c>
      <c r="L41" s="53">
        <f t="shared" si="21"/>
        <v>1756.3177402283075</v>
      </c>
      <c r="M41" s="116" t="s">
        <v>223</v>
      </c>
      <c r="N41" s="53">
        <f>D41*N$1</f>
        <v>240.1658525817432</v>
      </c>
      <c r="O41" s="53">
        <f t="shared" si="22"/>
        <v>268.43779688861741</v>
      </c>
      <c r="P41" s="53">
        <f t="shared" si="22"/>
        <v>275.89862506931786</v>
      </c>
      <c r="Q41" s="53">
        <f t="shared" si="22"/>
        <v>258.5880947960195</v>
      </c>
      <c r="R41" s="53">
        <f t="shared" si="22"/>
        <v>276.39439388284563</v>
      </c>
      <c r="S41" s="53">
        <f t="shared" si="22"/>
        <v>302.91475160381316</v>
      </c>
      <c r="T41" s="53">
        <f t="shared" si="22"/>
        <v>300.74952486781757</v>
      </c>
      <c r="U41" s="53">
        <f t="shared" si="22"/>
        <v>297.35898091141451</v>
      </c>
      <c r="V41" s="53">
        <f t="shared" ref="V41" si="25">SUM(N41:U41)</f>
        <v>2220.5080206015887</v>
      </c>
    </row>
    <row r="42" spans="2:22">
      <c r="N42" s="53"/>
      <c r="O42" s="53"/>
      <c r="P42" s="53"/>
      <c r="Q42" s="53"/>
      <c r="R42" s="53"/>
      <c r="S42" s="53"/>
      <c r="T42" s="53"/>
      <c r="U42" s="53"/>
      <c r="V42" s="53"/>
    </row>
    <row r="43" spans="2:22">
      <c r="B43" s="38" t="s">
        <v>344</v>
      </c>
      <c r="N43" s="53"/>
      <c r="O43" s="53"/>
      <c r="P43" s="53"/>
      <c r="Q43" s="53"/>
      <c r="R43" s="53"/>
      <c r="S43" s="53"/>
      <c r="T43" s="53"/>
      <c r="U43" s="53"/>
      <c r="V43" s="53"/>
    </row>
    <row r="44" spans="2:22">
      <c r="B44" t="s">
        <v>206</v>
      </c>
      <c r="D44" s="223">
        <v>0</v>
      </c>
      <c r="E44" s="223">
        <v>0</v>
      </c>
      <c r="F44" s="223">
        <v>0</v>
      </c>
      <c r="G44" s="223">
        <v>0</v>
      </c>
      <c r="H44" s="223">
        <v>0</v>
      </c>
      <c r="I44" s="223">
        <v>0</v>
      </c>
      <c r="J44" s="223">
        <v>0</v>
      </c>
      <c r="K44" s="223">
        <v>0</v>
      </c>
      <c r="L44" s="53">
        <f t="shared" ref="L44:L45" si="26">SUM(D44:K44)</f>
        <v>0</v>
      </c>
      <c r="N44" s="53">
        <f>D44*N$1</f>
        <v>0</v>
      </c>
      <c r="O44" s="53">
        <f t="shared" ref="O44:U45" si="27">E44*O$1</f>
        <v>0</v>
      </c>
      <c r="P44" s="53">
        <f t="shared" si="27"/>
        <v>0</v>
      </c>
      <c r="Q44" s="53">
        <f t="shared" si="27"/>
        <v>0</v>
      </c>
      <c r="R44" s="53">
        <f t="shared" si="27"/>
        <v>0</v>
      </c>
      <c r="S44" s="53">
        <f t="shared" si="27"/>
        <v>0</v>
      </c>
      <c r="T44" s="53">
        <f t="shared" si="27"/>
        <v>0</v>
      </c>
      <c r="U44" s="53">
        <f t="shared" si="27"/>
        <v>0</v>
      </c>
      <c r="V44" s="53">
        <f t="shared" ref="V44:V45" si="28">SUM(N44:U44)</f>
        <v>0</v>
      </c>
    </row>
    <row r="45" spans="2:22">
      <c r="B45" t="s">
        <v>204</v>
      </c>
      <c r="D45" s="223">
        <v>0</v>
      </c>
      <c r="E45" s="223">
        <v>0</v>
      </c>
      <c r="F45" s="223">
        <v>0</v>
      </c>
      <c r="G45" s="223">
        <v>0</v>
      </c>
      <c r="H45" s="223">
        <v>0</v>
      </c>
      <c r="I45" s="223">
        <v>0</v>
      </c>
      <c r="J45" s="223">
        <v>0</v>
      </c>
      <c r="K45" s="223">
        <v>0</v>
      </c>
      <c r="L45" s="53">
        <f t="shared" si="26"/>
        <v>0</v>
      </c>
      <c r="N45" s="53">
        <f>D45*N$1</f>
        <v>0</v>
      </c>
      <c r="O45" s="53">
        <f t="shared" si="27"/>
        <v>0</v>
      </c>
      <c r="P45" s="53">
        <f t="shared" si="27"/>
        <v>0</v>
      </c>
      <c r="Q45" s="53">
        <f t="shared" si="27"/>
        <v>0</v>
      </c>
      <c r="R45" s="53">
        <f t="shared" si="27"/>
        <v>0</v>
      </c>
      <c r="S45" s="53">
        <f t="shared" si="27"/>
        <v>0</v>
      </c>
      <c r="T45" s="53">
        <f t="shared" si="27"/>
        <v>0</v>
      </c>
      <c r="U45" s="53">
        <f t="shared" si="27"/>
        <v>0</v>
      </c>
      <c r="V45" s="53">
        <f t="shared" si="28"/>
        <v>0</v>
      </c>
    </row>
    <row r="46" spans="2:22">
      <c r="N46" s="53"/>
      <c r="O46" s="53"/>
      <c r="P46" s="53"/>
      <c r="Q46" s="53"/>
      <c r="R46" s="53"/>
      <c r="S46" s="53"/>
      <c r="T46" s="53"/>
      <c r="U46" s="53"/>
      <c r="V46" s="53"/>
    </row>
    <row r="47" spans="2:22" ht="15.6">
      <c r="B47" s="59" t="s">
        <v>347</v>
      </c>
      <c r="C47" s="60"/>
      <c r="D47" s="61">
        <f>SUM(D39:D45)</f>
        <v>1204.7123088459261</v>
      </c>
      <c r="E47" s="61">
        <f t="shared" ref="E47:L47" si="29">SUM(E39:E45)</f>
        <v>904.5530079815926</v>
      </c>
      <c r="F47" s="61">
        <f t="shared" si="29"/>
        <v>971.98596406733702</v>
      </c>
      <c r="G47" s="61">
        <f t="shared" si="29"/>
        <v>909.790628108953</v>
      </c>
      <c r="H47" s="61">
        <f t="shared" si="29"/>
        <v>837.4396300630375</v>
      </c>
      <c r="I47" s="61">
        <f t="shared" si="29"/>
        <v>804.36667495830295</v>
      </c>
      <c r="J47" s="61">
        <f t="shared" si="29"/>
        <v>1115.5829953874863</v>
      </c>
      <c r="K47" s="61">
        <f t="shared" si="29"/>
        <v>997.06900461818088</v>
      </c>
      <c r="L47" s="61">
        <f t="shared" si="29"/>
        <v>7745.5002140308161</v>
      </c>
      <c r="M47" s="116" t="s">
        <v>223</v>
      </c>
      <c r="N47" s="61">
        <f>SUM(N39:N45)</f>
        <v>1405.899264423196</v>
      </c>
      <c r="O47" s="61">
        <f t="shared" ref="O47:V47" si="30">SUM(O39:O45)</f>
        <v>1076.4180794980953</v>
      </c>
      <c r="P47" s="61">
        <f t="shared" si="30"/>
        <v>1168.3271288089391</v>
      </c>
      <c r="Q47" s="61">
        <f t="shared" si="30"/>
        <v>1117.2228913177942</v>
      </c>
      <c r="R47" s="61">
        <f t="shared" si="30"/>
        <v>1066.8980887003099</v>
      </c>
      <c r="S47" s="61">
        <f t="shared" si="30"/>
        <v>1056.1334442202517</v>
      </c>
      <c r="T47" s="61">
        <f t="shared" si="30"/>
        <v>1504.9214607777192</v>
      </c>
      <c r="U47" s="61">
        <f t="shared" si="30"/>
        <v>1383.9317784100349</v>
      </c>
      <c r="V47" s="61">
        <f t="shared" si="30"/>
        <v>9779.7521361563395</v>
      </c>
    </row>
    <row r="48" spans="2:22">
      <c r="N48" s="53"/>
      <c r="O48" s="53"/>
      <c r="P48" s="53"/>
      <c r="Q48" s="53"/>
      <c r="R48" s="53"/>
      <c r="S48" s="53"/>
      <c r="T48" s="53"/>
      <c r="U48" s="53"/>
      <c r="V48" s="53"/>
    </row>
    <row r="50" spans="1:12" s="188" customFormat="1"/>
    <row r="51" spans="1:12" ht="13.8" thickBot="1"/>
    <row r="52" spans="1:12" ht="16.8">
      <c r="A52" s="68"/>
      <c r="B52" s="69" t="s">
        <v>237</v>
      </c>
      <c r="D52" s="70">
        <v>41729</v>
      </c>
      <c r="E52" s="71">
        <v>42094</v>
      </c>
      <c r="F52" s="71">
        <v>42460</v>
      </c>
      <c r="G52" s="71">
        <v>42825</v>
      </c>
      <c r="H52" s="71">
        <v>43190</v>
      </c>
      <c r="I52" s="71">
        <v>43555</v>
      </c>
      <c r="J52" s="71">
        <v>43921</v>
      </c>
      <c r="K52" s="72">
        <v>44286</v>
      </c>
      <c r="L52" s="73" t="s">
        <v>238</v>
      </c>
    </row>
    <row r="53" spans="1:12" ht="16.8">
      <c r="A53" s="74"/>
      <c r="B53" s="75" t="s">
        <v>239</v>
      </c>
      <c r="D53" s="76" t="s">
        <v>240</v>
      </c>
      <c r="E53" s="77" t="s">
        <v>240</v>
      </c>
      <c r="F53" s="77" t="s">
        <v>240</v>
      </c>
      <c r="G53" s="77" t="s">
        <v>240</v>
      </c>
      <c r="H53" s="77" t="s">
        <v>240</v>
      </c>
      <c r="I53" s="77" t="s">
        <v>240</v>
      </c>
      <c r="J53" s="77" t="s">
        <v>240</v>
      </c>
      <c r="K53" s="78" t="s">
        <v>240</v>
      </c>
      <c r="L53" s="79" t="s">
        <v>240</v>
      </c>
    </row>
    <row r="54" spans="1:12" ht="16.8">
      <c r="A54" s="80"/>
      <c r="B54" s="81" t="s">
        <v>207</v>
      </c>
      <c r="D54" s="82"/>
      <c r="E54" s="83"/>
      <c r="F54" s="83"/>
      <c r="G54" s="83"/>
      <c r="H54" s="83"/>
      <c r="I54" s="83"/>
      <c r="J54" s="83"/>
      <c r="K54" s="84"/>
      <c r="L54" s="85"/>
    </row>
    <row r="55" spans="1:12" ht="16.8">
      <c r="A55" s="86">
        <v>1</v>
      </c>
      <c r="B55" s="75" t="s">
        <v>241</v>
      </c>
      <c r="D55" s="87">
        <v>1156.5020616850072</v>
      </c>
      <c r="E55" s="88">
        <v>947.14425078437068</v>
      </c>
      <c r="F55" s="88">
        <v>892.15152646909701</v>
      </c>
      <c r="G55" s="88">
        <v>832.57598658037398</v>
      </c>
      <c r="H55" s="88">
        <v>803.94987930133368</v>
      </c>
      <c r="I55" s="88">
        <v>877.96794584923498</v>
      </c>
      <c r="J55" s="88">
        <v>948.24554607936352</v>
      </c>
      <c r="K55" s="89">
        <v>847.5086539254537</v>
      </c>
      <c r="L55" s="90">
        <v>7306.0458506742343</v>
      </c>
    </row>
    <row r="56" spans="1:12" ht="16.8">
      <c r="A56" s="86">
        <v>2</v>
      </c>
      <c r="B56" s="75" t="s">
        <v>242</v>
      </c>
      <c r="D56" s="87">
        <v>204.08859912088366</v>
      </c>
      <c r="E56" s="88">
        <v>167.14310307959485</v>
      </c>
      <c r="F56" s="88">
        <v>157.43850467101714</v>
      </c>
      <c r="G56" s="88">
        <v>146.92517410241885</v>
      </c>
      <c r="H56" s="88">
        <v>141.87350811200008</v>
      </c>
      <c r="I56" s="88">
        <v>154.93551985574737</v>
      </c>
      <c r="J56" s="88">
        <v>167.33744930812301</v>
      </c>
      <c r="K56" s="89">
        <v>149.56035069272716</v>
      </c>
      <c r="L56" s="90">
        <v>1289.3022089425119</v>
      </c>
    </row>
    <row r="57" spans="1:12" ht="16.8">
      <c r="A57" s="86">
        <v>3</v>
      </c>
      <c r="B57" s="75" t="s">
        <v>243</v>
      </c>
      <c r="D57" s="87">
        <v>1360.5906608058908</v>
      </c>
      <c r="E57" s="88">
        <v>1114.2873538639656</v>
      </c>
      <c r="F57" s="88">
        <v>1049.5900311401142</v>
      </c>
      <c r="G57" s="88">
        <v>979.50116068279283</v>
      </c>
      <c r="H57" s="88">
        <v>945.82338741333376</v>
      </c>
      <c r="I57" s="88">
        <v>1032.9034657049824</v>
      </c>
      <c r="J57" s="88">
        <v>1115.5829953874866</v>
      </c>
      <c r="K57" s="89">
        <v>997.06900461818088</v>
      </c>
      <c r="L57" s="90">
        <v>8595.3480596167465</v>
      </c>
    </row>
    <row r="58" spans="1:12" ht="16.8">
      <c r="A58" s="80"/>
      <c r="B58" s="81" t="s">
        <v>244</v>
      </c>
      <c r="D58" s="82"/>
      <c r="E58" s="83"/>
      <c r="F58" s="83"/>
      <c r="G58" s="83"/>
      <c r="H58" s="83"/>
      <c r="I58" s="83"/>
      <c r="J58" s="83"/>
      <c r="K58" s="84"/>
      <c r="L58" s="85"/>
    </row>
    <row r="59" spans="1:12" ht="16.8">
      <c r="A59" s="86">
        <v>4</v>
      </c>
      <c r="B59" s="75" t="s">
        <v>245</v>
      </c>
      <c r="D59" s="87">
        <v>8691.0913006079008</v>
      </c>
      <c r="E59" s="88">
        <v>9107.0798269710467</v>
      </c>
      <c r="F59" s="88">
        <v>9468.0884627756895</v>
      </c>
      <c r="G59" s="88">
        <v>9751.0340048836915</v>
      </c>
      <c r="H59" s="88">
        <v>10034.081942552006</v>
      </c>
      <c r="I59" s="88">
        <v>10193.237060710235</v>
      </c>
      <c r="J59" s="88">
        <v>10415.113914509911</v>
      </c>
      <c r="K59" s="89">
        <v>10704.13946354331</v>
      </c>
      <c r="L59" s="90">
        <v>0</v>
      </c>
    </row>
    <row r="60" spans="1:12" ht="16.8">
      <c r="A60" s="86">
        <v>5</v>
      </c>
      <c r="B60" s="75" t="s">
        <v>246</v>
      </c>
      <c r="D60" s="87">
        <v>0</v>
      </c>
      <c r="E60" s="88">
        <v>0</v>
      </c>
      <c r="F60" s="88">
        <v>0</v>
      </c>
      <c r="G60" s="88">
        <v>82.388628473992952</v>
      </c>
      <c r="H60" s="88">
        <v>0</v>
      </c>
      <c r="I60" s="88">
        <v>0</v>
      </c>
      <c r="J60" s="88">
        <v>0</v>
      </c>
      <c r="K60" s="89">
        <v>0</v>
      </c>
      <c r="L60" s="90">
        <v>82.388628473992952</v>
      </c>
    </row>
    <row r="61" spans="1:12" ht="16.8">
      <c r="A61" s="86">
        <v>6</v>
      </c>
      <c r="B61" s="75" t="s">
        <v>247</v>
      </c>
      <c r="D61" s="87">
        <v>8691.0913006079008</v>
      </c>
      <c r="E61" s="88">
        <v>9107.0798269710467</v>
      </c>
      <c r="F61" s="88">
        <v>9468.0884627756895</v>
      </c>
      <c r="G61" s="88">
        <v>9833.4226333576844</v>
      </c>
      <c r="H61" s="88">
        <v>10034.081942552006</v>
      </c>
      <c r="I61" s="88">
        <v>10193.237060710235</v>
      </c>
      <c r="J61" s="88">
        <v>10415.113914509911</v>
      </c>
      <c r="K61" s="89">
        <v>10704.13946354331</v>
      </c>
      <c r="L61" s="90">
        <v>0</v>
      </c>
    </row>
    <row r="62" spans="1:12" ht="16.8">
      <c r="A62" s="86">
        <v>7</v>
      </c>
      <c r="B62" s="75" t="s">
        <v>248</v>
      </c>
      <c r="D62" s="87">
        <v>979.73559189042385</v>
      </c>
      <c r="E62" s="88">
        <v>947.14425078437068</v>
      </c>
      <c r="F62" s="88">
        <v>892.15152646909701</v>
      </c>
      <c r="G62" s="88">
        <v>832.57598658037398</v>
      </c>
      <c r="H62" s="88">
        <v>803.94987930133368</v>
      </c>
      <c r="I62" s="88">
        <v>877.96794584923498</v>
      </c>
      <c r="J62" s="88">
        <v>948.24554607936352</v>
      </c>
      <c r="K62" s="89">
        <v>847.5086539254537</v>
      </c>
      <c r="L62" s="90">
        <v>7129.2793808796505</v>
      </c>
    </row>
    <row r="63" spans="1:12" ht="16.8">
      <c r="A63" s="86">
        <v>8</v>
      </c>
      <c r="B63" s="75" t="s">
        <v>249</v>
      </c>
      <c r="D63" s="87">
        <v>-563.74706552727753</v>
      </c>
      <c r="E63" s="88">
        <v>-586.13561497972955</v>
      </c>
      <c r="F63" s="88">
        <v>-609.2059843610939</v>
      </c>
      <c r="G63" s="88">
        <v>-631.91667738605349</v>
      </c>
      <c r="H63" s="88">
        <v>-644.7947611431033</v>
      </c>
      <c r="I63" s="88">
        <v>-656.09109204955996</v>
      </c>
      <c r="J63" s="88">
        <v>-659.21999704596612</v>
      </c>
      <c r="K63" s="89">
        <v>-664.51645043175597</v>
      </c>
      <c r="L63" s="90">
        <v>-5015.6276429245399</v>
      </c>
    </row>
    <row r="64" spans="1:12" ht="16.8">
      <c r="A64" s="86">
        <v>9</v>
      </c>
      <c r="B64" s="75" t="s">
        <v>250</v>
      </c>
      <c r="D64" s="87">
        <v>9107.0798269710467</v>
      </c>
      <c r="E64" s="88">
        <v>9468.0884627756877</v>
      </c>
      <c r="F64" s="88">
        <v>9751.0340048836933</v>
      </c>
      <c r="G64" s="88">
        <v>10034.081942552004</v>
      </c>
      <c r="H64" s="88">
        <v>10193.237060710237</v>
      </c>
      <c r="I64" s="88">
        <v>10415.11391450991</v>
      </c>
      <c r="J64" s="88">
        <v>10704.13946354331</v>
      </c>
      <c r="K64" s="89">
        <v>10887.131667037007</v>
      </c>
      <c r="L64" s="90">
        <v>0</v>
      </c>
    </row>
    <row r="65" spans="1:12" ht="16.8">
      <c r="A65" s="80"/>
      <c r="B65" s="81" t="s">
        <v>251</v>
      </c>
      <c r="D65" s="91"/>
      <c r="E65" s="92"/>
      <c r="F65" s="92"/>
      <c r="G65" s="92"/>
      <c r="H65" s="92"/>
      <c r="I65" s="92"/>
      <c r="J65" s="92"/>
      <c r="K65" s="93"/>
      <c r="L65" s="94"/>
    </row>
    <row r="66" spans="1:12" ht="16.8">
      <c r="A66" s="86">
        <v>10</v>
      </c>
      <c r="B66" s="75" t="s">
        <v>252</v>
      </c>
      <c r="D66" s="87">
        <v>237.40620856945091</v>
      </c>
      <c r="E66" s="88">
        <v>258.79192954230029</v>
      </c>
      <c r="F66" s="88">
        <v>247.54958686774498</v>
      </c>
      <c r="G66" s="88">
        <v>235.53222598536234</v>
      </c>
      <c r="H66" s="88">
        <v>202.1447606835556</v>
      </c>
      <c r="I66" s="88">
        <v>194.23112140673624</v>
      </c>
      <c r="J66" s="88">
        <v>171.88650500853097</v>
      </c>
      <c r="K66" s="89">
        <v>146.13577701809621</v>
      </c>
      <c r="L66" s="90">
        <v>1693.6781150817776</v>
      </c>
    </row>
    <row r="67" spans="1:12" ht="16.8">
      <c r="A67" s="86">
        <v>11</v>
      </c>
      <c r="B67" s="75" t="s">
        <v>253</v>
      </c>
      <c r="D67" s="87">
        <v>94.24723304227993</v>
      </c>
      <c r="E67" s="88">
        <v>87.678224204681584</v>
      </c>
      <c r="F67" s="88">
        <v>87.676243763178761</v>
      </c>
      <c r="G67" s="88">
        <v>87.677481779017953</v>
      </c>
      <c r="H67" s="88">
        <v>87.676244486345595</v>
      </c>
      <c r="I67" s="88">
        <v>87.676244488148086</v>
      </c>
      <c r="J67" s="88">
        <v>87.676244492723825</v>
      </c>
      <c r="K67" s="89">
        <v>87.676244462267519</v>
      </c>
      <c r="L67" s="90">
        <v>707.98416071864324</v>
      </c>
    </row>
    <row r="68" spans="1:12" ht="16.8">
      <c r="A68" s="86">
        <v>12</v>
      </c>
      <c r="B68" s="75" t="s">
        <v>254</v>
      </c>
      <c r="D68" s="87">
        <v>563.74706552727753</v>
      </c>
      <c r="E68" s="88">
        <v>601.9438855384235</v>
      </c>
      <c r="F68" s="88">
        <v>644.79876348951439</v>
      </c>
      <c r="G68" s="88">
        <v>684.89258726448122</v>
      </c>
      <c r="H68" s="88">
        <v>713.22010570881355</v>
      </c>
      <c r="I68" s="88">
        <v>734.1034428722661</v>
      </c>
      <c r="J68" s="88">
        <v>742.97880142881684</v>
      </c>
      <c r="K68" s="89">
        <v>748.89084842182604</v>
      </c>
      <c r="L68" s="90">
        <v>5434.5755002514197</v>
      </c>
    </row>
    <row r="69" spans="1:12" ht="16.8">
      <c r="A69" s="86">
        <v>13</v>
      </c>
      <c r="B69" s="75" t="s">
        <v>255</v>
      </c>
      <c r="D69" s="87">
        <v>404.01995120068966</v>
      </c>
      <c r="E69" s="88">
        <v>440.62845231569594</v>
      </c>
      <c r="F69" s="88">
        <v>476.8060368721554</v>
      </c>
      <c r="G69" s="88">
        <v>511.8717273328827</v>
      </c>
      <c r="H69" s="88">
        <v>536.07099692325698</v>
      </c>
      <c r="I69" s="88">
        <v>553.88861733710439</v>
      </c>
      <c r="J69" s="88">
        <v>567.26068740369476</v>
      </c>
      <c r="K69" s="89">
        <v>574.24363467064757</v>
      </c>
      <c r="L69" s="90">
        <v>4064.7901040561273</v>
      </c>
    </row>
    <row r="70" spans="1:12" ht="16.8">
      <c r="A70" s="86">
        <v>14</v>
      </c>
      <c r="B70" s="75" t="s">
        <v>256</v>
      </c>
      <c r="D70" s="87">
        <v>0</v>
      </c>
      <c r="E70" s="88">
        <v>16.036529091209541</v>
      </c>
      <c r="F70" s="88">
        <v>0</v>
      </c>
      <c r="G70" s="88">
        <v>22.217944632295964</v>
      </c>
      <c r="H70" s="88">
        <v>0</v>
      </c>
      <c r="I70" s="88">
        <v>0</v>
      </c>
      <c r="J70" s="88">
        <v>0</v>
      </c>
      <c r="K70" s="89">
        <v>0</v>
      </c>
      <c r="L70" s="90">
        <v>38.254473723505505</v>
      </c>
    </row>
    <row r="71" spans="1:12" ht="16.8">
      <c r="A71" s="86">
        <v>15</v>
      </c>
      <c r="B71" s="75" t="s">
        <v>257</v>
      </c>
      <c r="D71" s="87">
        <v>15.168246288518162</v>
      </c>
      <c r="E71" s="88">
        <v>16.275110005972994</v>
      </c>
      <c r="F71" s="88">
        <v>15.614702904478012</v>
      </c>
      <c r="G71" s="88">
        <v>14.911674359737152</v>
      </c>
      <c r="H71" s="88">
        <v>13.033415757853545</v>
      </c>
      <c r="I71" s="88">
        <v>12.556067765830047</v>
      </c>
      <c r="J71" s="88">
        <v>11.285100906339711</v>
      </c>
      <c r="K71" s="89">
        <v>9.8268179419485548</v>
      </c>
      <c r="L71" s="90">
        <v>108.67113593067819</v>
      </c>
    </row>
    <row r="72" spans="1:12" ht="16.8">
      <c r="A72" s="86">
        <v>16</v>
      </c>
      <c r="B72" s="75" t="s">
        <v>258</v>
      </c>
      <c r="D72" s="87">
        <v>-57.649451741429942</v>
      </c>
      <c r="E72" s="88">
        <v>-57.528171097000921</v>
      </c>
      <c r="F72" s="88">
        <v>-63.872795597637484</v>
      </c>
      <c r="G72" s="88">
        <v>-60.310726285543012</v>
      </c>
      <c r="H72" s="88">
        <v>-60.778245898362016</v>
      </c>
      <c r="I72" s="88">
        <v>-60.785513483956521</v>
      </c>
      <c r="J72" s="88">
        <v>-60.686558770047299</v>
      </c>
      <c r="K72" s="89">
        <v>-60.81527627756094</v>
      </c>
      <c r="L72" s="90">
        <v>-482.42673915153813</v>
      </c>
    </row>
    <row r="73" spans="1:12" ht="16.8">
      <c r="A73" s="86">
        <v>17</v>
      </c>
      <c r="B73" s="75" t="s">
        <v>259</v>
      </c>
      <c r="D73" s="87">
        <v>85.34203792729511</v>
      </c>
      <c r="E73" s="88">
        <v>80.003502133565092</v>
      </c>
      <c r="F73" s="88">
        <v>67.020034930168393</v>
      </c>
      <c r="G73" s="88">
        <v>74.593894624638367</v>
      </c>
      <c r="H73" s="88">
        <v>63.574864578134445</v>
      </c>
      <c r="I73" s="88">
        <v>65.957440437742321</v>
      </c>
      <c r="J73" s="88">
        <v>64.827342012712734</v>
      </c>
      <c r="K73" s="89">
        <v>65.626062802495454</v>
      </c>
      <c r="L73" s="90">
        <v>566.94517944675192</v>
      </c>
    </row>
    <row r="74" spans="1:12" ht="16.8">
      <c r="A74" s="80"/>
      <c r="B74" s="81" t="s">
        <v>260</v>
      </c>
      <c r="D74" s="91"/>
      <c r="E74" s="92"/>
      <c r="F74" s="92"/>
      <c r="G74" s="92"/>
      <c r="H74" s="92"/>
      <c r="I74" s="92"/>
      <c r="J74" s="92"/>
      <c r="K74" s="93"/>
      <c r="L74" s="94"/>
    </row>
    <row r="75" spans="1:12" ht="16.8">
      <c r="A75" s="86">
        <v>18</v>
      </c>
      <c r="B75" s="75" t="s">
        <v>252</v>
      </c>
      <c r="D75" s="87">
        <v>204.08859912088366</v>
      </c>
      <c r="E75" s="88">
        <v>167.14310307959485</v>
      </c>
      <c r="F75" s="88">
        <v>157.43850467101714</v>
      </c>
      <c r="G75" s="88">
        <v>146.92517410241885</v>
      </c>
      <c r="H75" s="88">
        <v>141.87350811200008</v>
      </c>
      <c r="I75" s="88">
        <v>154.93551985574737</v>
      </c>
      <c r="J75" s="88">
        <v>167.33744930812301</v>
      </c>
      <c r="K75" s="89">
        <v>149.56035069272716</v>
      </c>
      <c r="L75" s="90">
        <v>1289.3022089425119</v>
      </c>
    </row>
    <row r="76" spans="1:12" ht="16.8">
      <c r="A76" s="86">
        <v>19</v>
      </c>
      <c r="B76" s="75" t="s">
        <v>253</v>
      </c>
      <c r="D76" s="87">
        <v>94.24723304227993</v>
      </c>
      <c r="E76" s="88">
        <v>87.678224204681584</v>
      </c>
      <c r="F76" s="88">
        <v>87.676243763178761</v>
      </c>
      <c r="G76" s="88">
        <v>87.677481779017953</v>
      </c>
      <c r="H76" s="88">
        <v>87.676244486345595</v>
      </c>
      <c r="I76" s="88">
        <v>87.676244488148086</v>
      </c>
      <c r="J76" s="88">
        <v>87.676244492723825</v>
      </c>
      <c r="K76" s="89">
        <v>87.676244462267519</v>
      </c>
      <c r="L76" s="90">
        <v>707.98416071864324</v>
      </c>
    </row>
    <row r="77" spans="1:12" ht="16.8">
      <c r="A77" s="86">
        <v>20</v>
      </c>
      <c r="B77" s="75" t="s">
        <v>254</v>
      </c>
      <c r="D77" s="87">
        <v>563.74706552727753</v>
      </c>
      <c r="E77" s="88">
        <v>586.13561497972955</v>
      </c>
      <c r="F77" s="88">
        <v>609.2059843610939</v>
      </c>
      <c r="G77" s="88">
        <v>631.91667738605349</v>
      </c>
      <c r="H77" s="88">
        <v>644.7947611431033</v>
      </c>
      <c r="I77" s="88">
        <v>656.09109204955996</v>
      </c>
      <c r="J77" s="88">
        <v>659.21999704596612</v>
      </c>
      <c r="K77" s="89">
        <v>664.51645043175597</v>
      </c>
      <c r="L77" s="90">
        <v>5015.6276429245399</v>
      </c>
    </row>
    <row r="78" spans="1:12" ht="16.8">
      <c r="A78" s="86">
        <v>21</v>
      </c>
      <c r="B78" s="75" t="s">
        <v>255</v>
      </c>
      <c r="D78" s="87">
        <v>396.06191309352329</v>
      </c>
      <c r="E78" s="88">
        <v>402.72146137175048</v>
      </c>
      <c r="F78" s="88">
        <v>407.33232398525109</v>
      </c>
      <c r="G78" s="88">
        <v>411.39439691607618</v>
      </c>
      <c r="H78" s="88">
        <v>409.54002360484253</v>
      </c>
      <c r="I78" s="88">
        <v>398.80194201134606</v>
      </c>
      <c r="J78" s="88">
        <v>388.52809309427079</v>
      </c>
      <c r="K78" s="89">
        <v>366.60383716350697</v>
      </c>
      <c r="L78" s="90">
        <v>3180.9839912405673</v>
      </c>
    </row>
    <row r="79" spans="1:12" ht="16.8">
      <c r="A79" s="86">
        <v>22</v>
      </c>
      <c r="B79" s="75" t="s">
        <v>256</v>
      </c>
      <c r="D79" s="87">
        <v>0</v>
      </c>
      <c r="E79" s="88">
        <v>0</v>
      </c>
      <c r="F79" s="88">
        <v>0</v>
      </c>
      <c r="G79" s="88">
        <v>0</v>
      </c>
      <c r="H79" s="88">
        <v>0</v>
      </c>
      <c r="I79" s="88">
        <v>0</v>
      </c>
      <c r="J79" s="88">
        <v>0</v>
      </c>
      <c r="K79" s="89">
        <v>0</v>
      </c>
      <c r="L79" s="90">
        <v>0</v>
      </c>
    </row>
    <row r="80" spans="1:12" ht="16.8">
      <c r="A80" s="86">
        <v>23</v>
      </c>
      <c r="B80" s="75" t="s">
        <v>257</v>
      </c>
      <c r="D80" s="87">
        <v>15.168246288518162</v>
      </c>
      <c r="E80" s="88">
        <v>16.275110005972994</v>
      </c>
      <c r="F80" s="88">
        <v>15.614702904478012</v>
      </c>
      <c r="G80" s="88">
        <v>14.911674359737152</v>
      </c>
      <c r="H80" s="88">
        <v>13.033415757853545</v>
      </c>
      <c r="I80" s="88">
        <v>12.556067765830047</v>
      </c>
      <c r="J80" s="88">
        <v>11.285100906339711</v>
      </c>
      <c r="K80" s="89">
        <v>9.8268179419485548</v>
      </c>
      <c r="L80" s="90">
        <v>108.67113593067819</v>
      </c>
    </row>
    <row r="81" spans="1:12" ht="16.8">
      <c r="A81" s="86">
        <v>24</v>
      </c>
      <c r="B81" s="75" t="s">
        <v>258</v>
      </c>
      <c r="D81" s="87">
        <v>-45.715157548655313</v>
      </c>
      <c r="E81" s="88">
        <v>-45.098014380446855</v>
      </c>
      <c r="F81" s="88">
        <v>-47.31166807558472</v>
      </c>
      <c r="G81" s="88">
        <v>-43.301588881117283</v>
      </c>
      <c r="H81" s="88">
        <v>-43.349648930046129</v>
      </c>
      <c r="I81" s="88">
        <v>-47.748734624979988</v>
      </c>
      <c r="J81" s="88">
        <v>-47.397483693543194</v>
      </c>
      <c r="K81" s="89">
        <v>-47.425101217496561</v>
      </c>
      <c r="L81" s="90">
        <v>-367.34739735187003</v>
      </c>
    </row>
    <row r="82" spans="1:12" ht="16.8">
      <c r="A82" s="86">
        <v>25</v>
      </c>
      <c r="B82" s="75" t="s">
        <v>259</v>
      </c>
      <c r="D82" s="87">
        <v>82.264011770871065</v>
      </c>
      <c r="E82" s="88">
        <v>64.806428228901396</v>
      </c>
      <c r="F82" s="88">
        <v>67.809125400968739</v>
      </c>
      <c r="G82" s="88">
        <v>76.244523273100185</v>
      </c>
      <c r="H82" s="88">
        <v>76.196719205149606</v>
      </c>
      <c r="I82" s="88">
        <v>82.818622071104187</v>
      </c>
      <c r="J82" s="88">
        <v>93.18782296837513</v>
      </c>
      <c r="K82" s="89">
        <v>89.053828907896246</v>
      </c>
      <c r="L82" s="90">
        <v>632.38108182636654</v>
      </c>
    </row>
    <row r="83" spans="1:12" ht="16.8">
      <c r="A83" s="80"/>
      <c r="B83" s="81" t="s">
        <v>261</v>
      </c>
      <c r="D83" s="91"/>
      <c r="E83" s="92"/>
      <c r="F83" s="92"/>
      <c r="G83" s="92"/>
      <c r="H83" s="92"/>
      <c r="I83" s="92"/>
      <c r="J83" s="92"/>
      <c r="K83" s="93"/>
      <c r="L83" s="95"/>
    </row>
    <row r="84" spans="1:12" ht="16.8">
      <c r="A84" s="86">
        <v>26</v>
      </c>
      <c r="B84" s="75" t="s">
        <v>262</v>
      </c>
      <c r="D84" s="87">
        <v>1342.2812908140818</v>
      </c>
      <c r="E84" s="88">
        <v>1443.8294617348479</v>
      </c>
      <c r="F84" s="88">
        <v>1475.5925732296025</v>
      </c>
      <c r="G84" s="88">
        <v>1571.3868096928727</v>
      </c>
      <c r="H84" s="88">
        <v>1554.9421422395978</v>
      </c>
      <c r="I84" s="88">
        <v>1587.6274208238706</v>
      </c>
      <c r="J84" s="88">
        <v>1585.2281224827718</v>
      </c>
      <c r="K84" s="89">
        <v>1571.5841090397205</v>
      </c>
      <c r="L84" s="90">
        <v>12132.471930057365</v>
      </c>
    </row>
    <row r="85" spans="1:12" ht="16.8">
      <c r="A85" s="86">
        <v>27</v>
      </c>
      <c r="B85" s="75" t="s">
        <v>263</v>
      </c>
      <c r="D85" s="87">
        <v>0</v>
      </c>
      <c r="E85" s="88">
        <v>-5.4472436134815325</v>
      </c>
      <c r="F85" s="88">
        <v>-114.38240781754212</v>
      </c>
      <c r="G85" s="88">
        <v>-185.40168515778055</v>
      </c>
      <c r="H85" s="88">
        <v>-253.26047854710714</v>
      </c>
      <c r="I85" s="88">
        <v>-310.24084085461686</v>
      </c>
      <c r="J85" s="88">
        <v>-378.00470840034291</v>
      </c>
      <c r="K85" s="89">
        <v>-382.4355080858702</v>
      </c>
      <c r="L85" s="90">
        <v>-1629.1728724767413</v>
      </c>
    </row>
    <row r="86" spans="1:12" ht="16.8">
      <c r="A86" s="86">
        <v>28</v>
      </c>
      <c r="B86" s="75" t="s">
        <v>264</v>
      </c>
      <c r="D86" s="96">
        <v>1342.2812908140818</v>
      </c>
      <c r="E86" s="88">
        <v>1438.3822181213663</v>
      </c>
      <c r="F86" s="88">
        <v>1361.2101654120604</v>
      </c>
      <c r="G86" s="88">
        <v>1385.9851245350922</v>
      </c>
      <c r="H86" s="88">
        <v>1301.6816636924907</v>
      </c>
      <c r="I86" s="88">
        <v>1277.3865799692537</v>
      </c>
      <c r="J86" s="88">
        <v>1207.2234140824289</v>
      </c>
      <c r="K86" s="89">
        <v>1189.1486009538503</v>
      </c>
      <c r="L86" s="90">
        <v>10503.299057580625</v>
      </c>
    </row>
    <row r="87" spans="1:12" ht="16.8">
      <c r="A87" s="86">
        <v>29</v>
      </c>
      <c r="B87" s="75" t="s">
        <v>168</v>
      </c>
      <c r="D87" s="96">
        <v>13.751034124367685</v>
      </c>
      <c r="E87" s="88">
        <v>13.274690050778315</v>
      </c>
      <c r="F87" s="88">
        <v>12.798257977175346</v>
      </c>
      <c r="G87" s="88">
        <v>0</v>
      </c>
      <c r="H87" s="88">
        <v>0</v>
      </c>
      <c r="I87" s="88">
        <v>0</v>
      </c>
      <c r="J87" s="88">
        <v>0</v>
      </c>
      <c r="K87" s="89">
        <v>0</v>
      </c>
      <c r="L87" s="90">
        <v>39.823982152321349</v>
      </c>
    </row>
    <row r="88" spans="1:12" ht="16.8">
      <c r="A88" s="86">
        <v>30</v>
      </c>
      <c r="B88" s="75" t="s">
        <v>265</v>
      </c>
      <c r="D88" s="96">
        <v>0</v>
      </c>
      <c r="E88" s="88">
        <v>0</v>
      </c>
      <c r="F88" s="88">
        <v>0</v>
      </c>
      <c r="G88" s="88">
        <v>0</v>
      </c>
      <c r="H88" s="88">
        <v>0</v>
      </c>
      <c r="I88" s="88">
        <v>0</v>
      </c>
      <c r="J88" s="88">
        <v>0</v>
      </c>
      <c r="K88" s="89">
        <v>0</v>
      </c>
      <c r="L88" s="90">
        <v>0</v>
      </c>
    </row>
    <row r="89" spans="1:12" ht="16.8">
      <c r="A89" s="86">
        <v>31</v>
      </c>
      <c r="B89" s="75" t="s">
        <v>266</v>
      </c>
      <c r="D89" s="96">
        <v>123</v>
      </c>
      <c r="E89" s="88">
        <v>122.8</v>
      </c>
      <c r="F89" s="88">
        <v>129.80000000000001</v>
      </c>
      <c r="G89" s="88">
        <v>125.6</v>
      </c>
      <c r="H89" s="88">
        <v>127.3</v>
      </c>
      <c r="I89" s="88">
        <v>128.6</v>
      </c>
      <c r="J89" s="88">
        <v>130.19999999999999</v>
      </c>
      <c r="K89" s="89">
        <v>131.69999999999999</v>
      </c>
      <c r="L89" s="90">
        <v>1019</v>
      </c>
    </row>
    <row r="90" spans="1:12" ht="16.8">
      <c r="A90" s="86">
        <v>32</v>
      </c>
      <c r="B90" s="75" t="s">
        <v>267</v>
      </c>
      <c r="D90" s="96">
        <v>1479.0323249384494</v>
      </c>
      <c r="E90" s="88">
        <v>1574.4569081721447</v>
      </c>
      <c r="F90" s="88">
        <v>1503.8084233892357</v>
      </c>
      <c r="G90" s="88">
        <v>1511.5851245350921</v>
      </c>
      <c r="H90" s="88">
        <v>1428.9816636924907</v>
      </c>
      <c r="I90" s="88">
        <v>1405.9865799692536</v>
      </c>
      <c r="J90" s="88">
        <v>1337.423414082429</v>
      </c>
      <c r="K90" s="89">
        <v>1320.8486009538503</v>
      </c>
      <c r="L90" s="90">
        <v>11562.123039732945</v>
      </c>
    </row>
    <row r="91" spans="1:12" ht="16.8">
      <c r="A91" s="80"/>
      <c r="B91" s="81" t="s">
        <v>268</v>
      </c>
      <c r="D91" s="91"/>
      <c r="E91" s="92"/>
      <c r="F91" s="92"/>
      <c r="G91" s="92"/>
      <c r="H91" s="92"/>
      <c r="I91" s="97"/>
      <c r="J91" s="92"/>
      <c r="K91" s="93"/>
      <c r="L91" s="95"/>
    </row>
    <row r="92" spans="1:12" ht="16.8">
      <c r="A92" s="86">
        <v>33</v>
      </c>
      <c r="B92" s="75" t="s">
        <v>268</v>
      </c>
      <c r="D92" s="87"/>
      <c r="E92" s="88"/>
      <c r="F92" s="88"/>
      <c r="G92" s="88"/>
      <c r="H92" s="88"/>
      <c r="I92" s="88"/>
      <c r="J92" s="88"/>
      <c r="K92" s="89"/>
      <c r="L92" s="90"/>
    </row>
    <row r="93" spans="1:12" ht="16.8">
      <c r="A93" s="86">
        <v>34</v>
      </c>
      <c r="B93" s="75" t="s">
        <v>269</v>
      </c>
      <c r="D93" s="87">
        <v>1309.8619112946983</v>
      </c>
      <c r="E93" s="88">
        <v>1279.6619038420088</v>
      </c>
      <c r="F93" s="88">
        <v>1303.6615664216968</v>
      </c>
      <c r="G93" s="88">
        <v>1339.1083503624304</v>
      </c>
      <c r="H93" s="88">
        <v>1349.7048740319897</v>
      </c>
      <c r="I93" s="88">
        <v>1412.711340799927</v>
      </c>
      <c r="J93" s="88">
        <v>1371.9602848113248</v>
      </c>
      <c r="K93" s="89">
        <v>1370.5844468848989</v>
      </c>
      <c r="L93" s="90">
        <v>10737.254678448975</v>
      </c>
    </row>
    <row r="94" spans="1:12" ht="16.8">
      <c r="A94" s="80"/>
      <c r="B94" s="81" t="s">
        <v>270</v>
      </c>
      <c r="D94" s="91"/>
      <c r="E94" s="92"/>
      <c r="F94" s="92"/>
      <c r="G94" s="92"/>
      <c r="H94" s="92"/>
      <c r="I94" s="97"/>
      <c r="J94" s="92"/>
      <c r="K94" s="93"/>
      <c r="L94" s="95"/>
    </row>
    <row r="95" spans="1:12" ht="16.8">
      <c r="A95" s="86">
        <v>35</v>
      </c>
      <c r="B95" s="98">
        <v>41729</v>
      </c>
      <c r="D95" s="96">
        <v>1342.2812908140818</v>
      </c>
      <c r="E95" s="88">
        <v>1443.8294617348479</v>
      </c>
      <c r="F95" s="88">
        <v>1475.5925732296025</v>
      </c>
      <c r="G95" s="88">
        <v>1571.3868096928727</v>
      </c>
      <c r="H95" s="88">
        <v>1554.9421422395978</v>
      </c>
      <c r="I95" s="88">
        <v>1587.6274208238706</v>
      </c>
      <c r="J95" s="88">
        <v>1585.2281224827718</v>
      </c>
      <c r="K95" s="89">
        <v>1571.5841090397205</v>
      </c>
      <c r="L95" s="90">
        <v>12132.471930057365</v>
      </c>
    </row>
    <row r="96" spans="1:12" ht="16.8">
      <c r="A96" s="86">
        <v>36</v>
      </c>
      <c r="B96" s="98">
        <v>42094</v>
      </c>
      <c r="D96" s="96">
        <v>1351.1261049786092</v>
      </c>
      <c r="E96" s="88">
        <v>1429.1347880160697</v>
      </c>
      <c r="F96" s="88">
        <v>1462.0086804414825</v>
      </c>
      <c r="G96" s="88">
        <v>1556.4385291950655</v>
      </c>
      <c r="H96" s="88">
        <v>1541.5803660033087</v>
      </c>
      <c r="I96" s="88">
        <v>1574.9318791583714</v>
      </c>
      <c r="J96" s="88">
        <v>1573.331994601642</v>
      </c>
      <c r="K96" s="89">
        <v>1560.6623383935998</v>
      </c>
      <c r="L96" s="90">
        <v>12049.214680788149</v>
      </c>
    </row>
    <row r="97" spans="1:12" ht="16.8">
      <c r="A97" s="86">
        <v>37</v>
      </c>
      <c r="B97" s="98">
        <v>42460</v>
      </c>
      <c r="D97" s="96">
        <v>1331.3980597308034</v>
      </c>
      <c r="E97" s="88">
        <v>1388.0073542188395</v>
      </c>
      <c r="F97" s="88">
        <v>1425.7005801819166</v>
      </c>
      <c r="G97" s="88">
        <v>1502.8891669978711</v>
      </c>
      <c r="H97" s="88">
        <v>1493.8347922847654</v>
      </c>
      <c r="I97" s="88">
        <v>1529.0587066230266</v>
      </c>
      <c r="J97" s="88">
        <v>1527.233008413152</v>
      </c>
      <c r="K97" s="89">
        <v>1517.1067542547255</v>
      </c>
      <c r="L97" s="90">
        <v>11715.2284227051</v>
      </c>
    </row>
    <row r="98" spans="1:12" ht="16.8">
      <c r="A98" s="86">
        <v>38</v>
      </c>
      <c r="B98" s="98">
        <v>42825</v>
      </c>
      <c r="D98" s="96">
        <v>1332.2747656182278</v>
      </c>
      <c r="E98" s="88">
        <v>1323.6480136651101</v>
      </c>
      <c r="F98" s="88">
        <v>1420.8350447387188</v>
      </c>
      <c r="G98" s="88">
        <v>1460.184666564217</v>
      </c>
      <c r="H98" s="88">
        <v>1472.5319844041626</v>
      </c>
      <c r="I98" s="88">
        <v>1510.0552888971874</v>
      </c>
      <c r="J98" s="88">
        <v>1511.2026889994647</v>
      </c>
      <c r="K98" s="89">
        <v>1502.4240557110998</v>
      </c>
      <c r="L98" s="90">
        <v>11533.156508598189</v>
      </c>
    </row>
    <row r="99" spans="1:12" ht="16.8">
      <c r="A99" s="86">
        <v>39</v>
      </c>
      <c r="B99" s="98">
        <v>43190</v>
      </c>
      <c r="D99" s="96">
        <v>1318.6363284613724</v>
      </c>
      <c r="E99" s="88">
        <v>1306.4720309915479</v>
      </c>
      <c r="F99" s="88">
        <v>1347.2820676486554</v>
      </c>
      <c r="G99" s="88">
        <v>1440.1193513858889</v>
      </c>
      <c r="H99" s="88">
        <v>1438.2756465630735</v>
      </c>
      <c r="I99" s="88">
        <v>1477.89520728143</v>
      </c>
      <c r="J99" s="88">
        <v>1478.2110765100506</v>
      </c>
      <c r="K99" s="89">
        <v>1469.3642364009108</v>
      </c>
      <c r="L99" s="90">
        <v>11276.25594524293</v>
      </c>
    </row>
    <row r="100" spans="1:12" ht="16.8">
      <c r="A100" s="86">
        <v>40</v>
      </c>
      <c r="B100" s="98">
        <v>43555</v>
      </c>
      <c r="D100" s="96">
        <v>1308.7290743937444</v>
      </c>
      <c r="E100" s="88">
        <v>1287.0308504668881</v>
      </c>
      <c r="F100" s="88">
        <v>1321.6133236113992</v>
      </c>
      <c r="G100" s="88">
        <v>1368.8552685387717</v>
      </c>
      <c r="H100" s="88">
        <v>1413.3651174821453</v>
      </c>
      <c r="I100" s="88">
        <v>1444.977120731663</v>
      </c>
      <c r="J100" s="88">
        <v>1423.9020205383406</v>
      </c>
      <c r="K100" s="89">
        <v>1425.0889232802176</v>
      </c>
      <c r="L100" s="90">
        <v>10993.56169904317</v>
      </c>
    </row>
    <row r="101" spans="1:12" ht="16.8">
      <c r="A101" s="86">
        <v>41</v>
      </c>
      <c r="B101" s="98">
        <v>43921</v>
      </c>
      <c r="D101" s="96">
        <v>1309.8619112946983</v>
      </c>
      <c r="E101" s="88">
        <v>1279.6619038420088</v>
      </c>
      <c r="F101" s="88">
        <v>1303.6615664216968</v>
      </c>
      <c r="G101" s="88">
        <v>1339.1083503624304</v>
      </c>
      <c r="H101" s="88">
        <v>1349.7048740319897</v>
      </c>
      <c r="I101" s="88">
        <v>1412.711340799927</v>
      </c>
      <c r="J101" s="88">
        <v>1371.9602848113248</v>
      </c>
      <c r="K101" s="89">
        <v>1370.5844468848989</v>
      </c>
      <c r="L101" s="90">
        <v>10737.254678448975</v>
      </c>
    </row>
    <row r="102" spans="1:12" ht="16.8">
      <c r="A102" s="86">
        <v>42</v>
      </c>
      <c r="B102" s="98">
        <v>44286</v>
      </c>
      <c r="D102" s="96">
        <v>1309.8619112946983</v>
      </c>
      <c r="E102" s="88">
        <v>1279.6619274901841</v>
      </c>
      <c r="F102" s="88">
        <v>1297.7652170104029</v>
      </c>
      <c r="G102" s="88">
        <v>1325.7683389352865</v>
      </c>
      <c r="H102" s="88">
        <v>1329.7650233792483</v>
      </c>
      <c r="I102" s="88">
        <v>1345.1307536167556</v>
      </c>
      <c r="J102" s="88">
        <v>1359.8372241222555</v>
      </c>
      <c r="K102" s="89">
        <v>1319.812428382606</v>
      </c>
      <c r="L102" s="90">
        <v>10567.602824231435</v>
      </c>
    </row>
    <row r="103" spans="1:12" ht="16.8">
      <c r="A103" s="80"/>
      <c r="B103" s="81" t="s">
        <v>271</v>
      </c>
      <c r="D103" s="91"/>
      <c r="E103" s="92"/>
      <c r="F103" s="92"/>
      <c r="G103" s="92"/>
      <c r="H103" s="92"/>
      <c r="I103" s="97"/>
      <c r="J103" s="92"/>
      <c r="K103" s="93"/>
      <c r="L103" s="95"/>
    </row>
    <row r="104" spans="1:12" ht="16.8">
      <c r="A104" s="86">
        <v>43</v>
      </c>
      <c r="B104" s="98">
        <v>41729</v>
      </c>
      <c r="D104" s="96">
        <v>0</v>
      </c>
      <c r="E104" s="88">
        <v>0</v>
      </c>
      <c r="F104" s="88">
        <v>0</v>
      </c>
      <c r="G104" s="88">
        <v>0</v>
      </c>
      <c r="H104" s="88">
        <v>0</v>
      </c>
      <c r="I104" s="88">
        <v>0</v>
      </c>
      <c r="J104" s="88">
        <v>0</v>
      </c>
      <c r="K104" s="89">
        <v>0</v>
      </c>
      <c r="L104" s="90">
        <v>0</v>
      </c>
    </row>
    <row r="105" spans="1:12" ht="16.8">
      <c r="A105" s="86">
        <v>44</v>
      </c>
      <c r="B105" s="98">
        <v>42094</v>
      </c>
      <c r="D105" s="96">
        <v>0</v>
      </c>
      <c r="E105" s="88">
        <v>-5.4472436134815325</v>
      </c>
      <c r="F105" s="88">
        <v>0</v>
      </c>
      <c r="G105" s="88">
        <v>0</v>
      </c>
      <c r="H105" s="88">
        <v>0</v>
      </c>
      <c r="I105" s="88">
        <v>0</v>
      </c>
      <c r="J105" s="88">
        <v>0</v>
      </c>
      <c r="K105" s="89">
        <v>0</v>
      </c>
      <c r="L105" s="90">
        <v>-5.4472436134815325</v>
      </c>
    </row>
    <row r="106" spans="1:12" ht="16.8">
      <c r="A106" s="86">
        <v>45</v>
      </c>
      <c r="B106" s="98">
        <v>42460</v>
      </c>
      <c r="D106" s="96">
        <v>0</v>
      </c>
      <c r="E106" s="88">
        <v>-5.4472436134815325</v>
      </c>
      <c r="F106" s="88">
        <v>-114.38240781754212</v>
      </c>
      <c r="G106" s="88">
        <v>0</v>
      </c>
      <c r="H106" s="88">
        <v>0</v>
      </c>
      <c r="I106" s="88">
        <v>0</v>
      </c>
      <c r="J106" s="88">
        <v>0</v>
      </c>
      <c r="K106" s="89">
        <v>0</v>
      </c>
      <c r="L106" s="90">
        <v>-119.82965143102365</v>
      </c>
    </row>
    <row r="107" spans="1:12" ht="16.8">
      <c r="A107" s="86">
        <v>46</v>
      </c>
      <c r="B107" s="98">
        <v>42825</v>
      </c>
      <c r="D107" s="96">
        <v>0</v>
      </c>
      <c r="E107" s="88">
        <v>-5.4472436134815325</v>
      </c>
      <c r="F107" s="88">
        <v>-114.38240781754212</v>
      </c>
      <c r="G107" s="88">
        <v>-185.40168515778055</v>
      </c>
      <c r="H107" s="88">
        <v>0</v>
      </c>
      <c r="I107" s="88">
        <v>0</v>
      </c>
      <c r="J107" s="88">
        <v>0</v>
      </c>
      <c r="K107" s="89">
        <v>0</v>
      </c>
      <c r="L107" s="90">
        <v>-305.2313365888042</v>
      </c>
    </row>
    <row r="108" spans="1:12" ht="16.8">
      <c r="A108" s="86">
        <v>47</v>
      </c>
      <c r="B108" s="98">
        <v>43190</v>
      </c>
      <c r="D108" s="96">
        <v>0</v>
      </c>
      <c r="E108" s="88">
        <v>-5.4472436134815325</v>
      </c>
      <c r="F108" s="88">
        <v>-114.38240781754212</v>
      </c>
      <c r="G108" s="88">
        <v>-185.40168515778055</v>
      </c>
      <c r="H108" s="88">
        <v>-253.26047854710714</v>
      </c>
      <c r="I108" s="88">
        <v>0</v>
      </c>
      <c r="J108" s="88">
        <v>0</v>
      </c>
      <c r="K108" s="89">
        <v>0</v>
      </c>
      <c r="L108" s="90">
        <v>-558.49181513591134</v>
      </c>
    </row>
    <row r="109" spans="1:12" ht="16.8">
      <c r="A109" s="86">
        <v>48</v>
      </c>
      <c r="B109" s="98">
        <v>43555</v>
      </c>
      <c r="D109" s="96">
        <v>0</v>
      </c>
      <c r="E109" s="88">
        <v>-5.4472436134815325</v>
      </c>
      <c r="F109" s="88">
        <v>-114.38240781754212</v>
      </c>
      <c r="G109" s="88">
        <v>-185.40168515778055</v>
      </c>
      <c r="H109" s="88">
        <v>-253.26047854710714</v>
      </c>
      <c r="I109" s="88">
        <v>-310.24084085461686</v>
      </c>
      <c r="J109" s="88">
        <v>0</v>
      </c>
      <c r="K109" s="89">
        <v>0</v>
      </c>
      <c r="L109" s="90">
        <v>-868.7326559905282</v>
      </c>
    </row>
    <row r="110" spans="1:12" ht="16.8">
      <c r="A110" s="86">
        <v>49</v>
      </c>
      <c r="B110" s="98">
        <v>43921</v>
      </c>
      <c r="D110" s="96">
        <v>0</v>
      </c>
      <c r="E110" s="88">
        <v>-5.4472436134815325</v>
      </c>
      <c r="F110" s="88">
        <v>-114.38240781754212</v>
      </c>
      <c r="G110" s="88">
        <v>-185.40168515778055</v>
      </c>
      <c r="H110" s="88">
        <v>-253.26047854710714</v>
      </c>
      <c r="I110" s="88">
        <v>-310.24084085461686</v>
      </c>
      <c r="J110" s="88">
        <v>-378.00470840034291</v>
      </c>
      <c r="K110" s="89">
        <v>0</v>
      </c>
      <c r="L110" s="90">
        <v>-1246.7373643908711</v>
      </c>
    </row>
    <row r="111" spans="1:12" ht="16.8">
      <c r="A111" s="86">
        <v>50</v>
      </c>
      <c r="B111" s="98">
        <v>44286</v>
      </c>
      <c r="D111" s="96">
        <v>0</v>
      </c>
      <c r="E111" s="88">
        <v>-5.4472436134815325</v>
      </c>
      <c r="F111" s="88">
        <v>-114.38240781754212</v>
      </c>
      <c r="G111" s="88">
        <v>-185.40168515778055</v>
      </c>
      <c r="H111" s="88">
        <v>-253.26047854710714</v>
      </c>
      <c r="I111" s="88">
        <v>-310.24084085461686</v>
      </c>
      <c r="J111" s="88">
        <v>-378.00470840034291</v>
      </c>
      <c r="K111" s="89">
        <v>-382.4355080858702</v>
      </c>
      <c r="L111" s="90">
        <v>-1629.1728724767413</v>
      </c>
    </row>
    <row r="112" spans="1:12" ht="16.8">
      <c r="A112" s="80"/>
      <c r="B112" s="81" t="s">
        <v>272</v>
      </c>
      <c r="D112" s="91"/>
      <c r="E112" s="92"/>
      <c r="F112" s="92"/>
      <c r="G112" s="92"/>
      <c r="H112" s="92"/>
      <c r="I112" s="97"/>
      <c r="J112" s="92"/>
      <c r="K112" s="93"/>
      <c r="L112" s="95"/>
    </row>
    <row r="113" spans="1:13" ht="16.8">
      <c r="A113" s="86">
        <v>51</v>
      </c>
      <c r="B113" s="75" t="s">
        <v>273</v>
      </c>
      <c r="D113" s="87">
        <v>8700.832888697787</v>
      </c>
      <c r="E113" s="88">
        <v>9086.6755724672948</v>
      </c>
      <c r="F113" s="88">
        <v>9407.2130250635346</v>
      </c>
      <c r="G113" s="88">
        <v>9730.2364455079496</v>
      </c>
      <c r="H113" s="88">
        <v>9911.4236109594021</v>
      </c>
      <c r="I113" s="88">
        <v>10106.486112806539</v>
      </c>
      <c r="J113" s="88">
        <v>10366.277830690255</v>
      </c>
      <c r="K113" s="89">
        <v>10613.892216662043</v>
      </c>
      <c r="L113" s="90">
        <v>77923.037702854795</v>
      </c>
    </row>
    <row r="114" spans="1:13" ht="16.8">
      <c r="A114" s="86">
        <v>52</v>
      </c>
      <c r="B114" s="75" t="s">
        <v>26</v>
      </c>
      <c r="D114" s="99">
        <v>0.6</v>
      </c>
      <c r="E114" s="100">
        <v>0.6</v>
      </c>
      <c r="F114" s="100">
        <v>0.6</v>
      </c>
      <c r="G114" s="100">
        <v>0.6</v>
      </c>
      <c r="H114" s="100">
        <v>0.6</v>
      </c>
      <c r="I114" s="100">
        <v>0.6</v>
      </c>
      <c r="J114" s="100">
        <v>0.6</v>
      </c>
      <c r="K114" s="101">
        <v>0.6</v>
      </c>
      <c r="L114" s="102">
        <v>0.59999999999999987</v>
      </c>
    </row>
    <row r="115" spans="1:13" ht="16.8">
      <c r="A115" s="86">
        <v>53</v>
      </c>
      <c r="B115" s="75" t="s">
        <v>274</v>
      </c>
      <c r="D115" s="87">
        <v>3480.3331554791148</v>
      </c>
      <c r="E115" s="88">
        <v>3634.6702289869181</v>
      </c>
      <c r="F115" s="88">
        <v>3762.8852100254139</v>
      </c>
      <c r="G115" s="88">
        <v>3892.0945782031799</v>
      </c>
      <c r="H115" s="88">
        <v>3964.569444383761</v>
      </c>
      <c r="I115" s="88">
        <v>4042.5944451226155</v>
      </c>
      <c r="J115" s="88">
        <v>4146.5111322761022</v>
      </c>
      <c r="K115" s="89">
        <v>4245.5568866648173</v>
      </c>
      <c r="L115" s="90">
        <v>31169.215081141927</v>
      </c>
    </row>
    <row r="116" spans="1:13" ht="16.8">
      <c r="A116" s="86">
        <v>54</v>
      </c>
      <c r="B116" s="75" t="s">
        <v>275</v>
      </c>
      <c r="D116" s="87">
        <v>152.43859220998522</v>
      </c>
      <c r="E116" s="88">
        <v>148.29454534266623</v>
      </c>
      <c r="F116" s="88">
        <v>143.93035928347206</v>
      </c>
      <c r="G116" s="88">
        <v>138.94777644185351</v>
      </c>
      <c r="H116" s="88">
        <v>132.02016249797924</v>
      </c>
      <c r="I116" s="88">
        <v>115.82033085276292</v>
      </c>
      <c r="J116" s="88">
        <v>98.272313834943617</v>
      </c>
      <c r="K116" s="89">
        <v>69.41485509696976</v>
      </c>
      <c r="L116" s="90">
        <v>999.1389355606326</v>
      </c>
    </row>
    <row r="117" spans="1:13" ht="17.399999999999999" thickBot="1">
      <c r="A117" s="103">
        <v>55</v>
      </c>
      <c r="B117" s="104" t="s">
        <v>276</v>
      </c>
      <c r="D117" s="105">
        <v>243.62332088353807</v>
      </c>
      <c r="E117" s="106">
        <v>254.42691602908425</v>
      </c>
      <c r="F117" s="106">
        <v>263.40196470177904</v>
      </c>
      <c r="G117" s="106">
        <v>272.44662047422264</v>
      </c>
      <c r="H117" s="106">
        <v>277.51986110686329</v>
      </c>
      <c r="I117" s="106">
        <v>282.98161115858312</v>
      </c>
      <c r="J117" s="106">
        <v>290.25577925932714</v>
      </c>
      <c r="K117" s="107">
        <v>297.18898206653722</v>
      </c>
      <c r="L117" s="108">
        <v>2181.8450556799348</v>
      </c>
      <c r="M117" s="116" t="s">
        <v>223</v>
      </c>
    </row>
    <row r="121" spans="1:13">
      <c r="B121" t="s">
        <v>348</v>
      </c>
      <c r="D121" s="53">
        <v>-176.76646979458337</v>
      </c>
    </row>
    <row r="124" spans="1:13">
      <c r="D124" s="53"/>
      <c r="E124" s="53"/>
    </row>
    <row r="125" spans="1:13">
      <c r="D125" s="53">
        <f>D132+D129-D128</f>
        <v>1074.38611670654</v>
      </c>
      <c r="E125" s="53">
        <f t="shared" ref="E125:K125" si="31">E132+E129-E128</f>
        <v>1035.6638274294251</v>
      </c>
      <c r="F125" s="53">
        <f t="shared" si="31"/>
        <v>974.54015494308999</v>
      </c>
      <c r="G125" s="53">
        <f t="shared" si="31"/>
        <v>832.57598658037398</v>
      </c>
      <c r="H125" s="53">
        <f t="shared" si="31"/>
        <v>803.94987930133368</v>
      </c>
      <c r="I125" s="53">
        <f t="shared" si="31"/>
        <v>877.96794584923498</v>
      </c>
      <c r="J125" s="53">
        <f t="shared" si="31"/>
        <v>948.24554607936352</v>
      </c>
      <c r="K125" s="53">
        <f t="shared" si="31"/>
        <v>847.5086539254537</v>
      </c>
    </row>
    <row r="128" spans="1:13" ht="16.8">
      <c r="B128" s="110" t="s">
        <v>287</v>
      </c>
      <c r="D128" s="187">
        <v>5.1119303278452115</v>
      </c>
      <c r="E128" s="187">
        <v>6.1309481710615064</v>
      </c>
      <c r="F128" s="187">
        <v>6.1309481710615064</v>
      </c>
      <c r="G128" s="187">
        <v>0</v>
      </c>
      <c r="H128" s="187">
        <v>0</v>
      </c>
      <c r="I128" s="187">
        <v>0</v>
      </c>
      <c r="J128" s="187">
        <v>0</v>
      </c>
      <c r="K128" s="187">
        <v>0</v>
      </c>
    </row>
    <row r="129" spans="2:25" ht="16.8">
      <c r="B129" s="110" t="s">
        <v>349</v>
      </c>
      <c r="D129" s="187">
        <v>99.762455143961176</v>
      </c>
      <c r="E129" s="187">
        <v>94.650524816115961</v>
      </c>
      <c r="F129" s="187">
        <v>88.519576645054457</v>
      </c>
      <c r="G129" s="187">
        <v>0</v>
      </c>
      <c r="H129" s="187">
        <v>0</v>
      </c>
      <c r="I129" s="187">
        <v>0</v>
      </c>
      <c r="J129" s="187">
        <v>0</v>
      </c>
      <c r="K129" s="187">
        <v>0</v>
      </c>
    </row>
    <row r="130" spans="2:25">
      <c r="D130" s="53"/>
      <c r="E130" s="53"/>
      <c r="F130" s="53"/>
      <c r="G130" s="53"/>
      <c r="H130" s="53"/>
      <c r="I130" s="53"/>
      <c r="J130" s="53"/>
      <c r="K130" s="53"/>
    </row>
    <row r="131" spans="2:25">
      <c r="B131" t="s">
        <v>289</v>
      </c>
      <c r="D131" s="53">
        <f>D129+D61</f>
        <v>8790.8537557518612</v>
      </c>
      <c r="E131" s="53">
        <f t="shared" ref="E131:K131" si="32">E129+E61</f>
        <v>9201.7303517871624</v>
      </c>
      <c r="F131" s="53">
        <f t="shared" si="32"/>
        <v>9556.6080394207438</v>
      </c>
      <c r="G131" s="53">
        <f t="shared" si="32"/>
        <v>9833.4226333576844</v>
      </c>
      <c r="H131" s="53">
        <f t="shared" si="32"/>
        <v>10034.081942552006</v>
      </c>
      <c r="I131" s="53">
        <f t="shared" si="32"/>
        <v>10193.237060710235</v>
      </c>
      <c r="J131" s="53">
        <f t="shared" si="32"/>
        <v>10415.113914509911</v>
      </c>
      <c r="K131" s="53">
        <f t="shared" si="32"/>
        <v>10704.13946354331</v>
      </c>
      <c r="L131" s="53"/>
      <c r="N131" s="53">
        <f>D131*N$1</f>
        <v>10258.926332962423</v>
      </c>
      <c r="O131" s="53">
        <f t="shared" ref="O131:U131" si="33">E131*O$1</f>
        <v>10950.059118626723</v>
      </c>
      <c r="P131" s="53">
        <f t="shared" si="33"/>
        <v>11487.042863383733</v>
      </c>
      <c r="Q131" s="53">
        <f t="shared" si="33"/>
        <v>12075.442993763236</v>
      </c>
      <c r="R131" s="53">
        <f t="shared" si="33"/>
        <v>12783.420394811255</v>
      </c>
      <c r="S131" s="53">
        <f t="shared" si="33"/>
        <v>13383.720260712538</v>
      </c>
      <c r="T131" s="53">
        <f t="shared" si="33"/>
        <v>14049.988670673871</v>
      </c>
      <c r="U131" s="53">
        <f t="shared" si="33"/>
        <v>14857.345575398112</v>
      </c>
    </row>
    <row r="132" spans="2:25">
      <c r="B132" t="str">
        <f>B62</f>
        <v>RAV additions (after disposals)</v>
      </c>
      <c r="D132" s="53">
        <f>D62</f>
        <v>979.73559189042385</v>
      </c>
      <c r="E132" s="53">
        <f t="shared" ref="E132:K132" si="34">E62</f>
        <v>947.14425078437068</v>
      </c>
      <c r="F132" s="53">
        <f t="shared" si="34"/>
        <v>892.15152646909701</v>
      </c>
      <c r="G132" s="53">
        <f t="shared" si="34"/>
        <v>832.57598658037398</v>
      </c>
      <c r="H132" s="53">
        <f t="shared" si="34"/>
        <v>803.94987930133368</v>
      </c>
      <c r="I132" s="53">
        <f t="shared" si="34"/>
        <v>877.96794584923498</v>
      </c>
      <c r="J132" s="53">
        <f t="shared" si="34"/>
        <v>948.24554607936352</v>
      </c>
      <c r="K132" s="53">
        <f t="shared" si="34"/>
        <v>847.5086539254537</v>
      </c>
    </row>
    <row r="133" spans="2:25">
      <c r="B133" t="str">
        <f t="shared" ref="B133:B134" si="35">B63</f>
        <v>Depreciation</v>
      </c>
      <c r="D133" s="53">
        <f>D63-D128</f>
        <v>-568.85899585512277</v>
      </c>
      <c r="E133" s="53">
        <f t="shared" ref="E133:K133" si="36">E63-E128</f>
        <v>-592.26656315079106</v>
      </c>
      <c r="F133" s="53">
        <f t="shared" si="36"/>
        <v>-615.3369325321554</v>
      </c>
      <c r="G133" s="53">
        <f t="shared" si="36"/>
        <v>-631.91667738605349</v>
      </c>
      <c r="H133" s="53">
        <f t="shared" si="36"/>
        <v>-644.7947611431033</v>
      </c>
      <c r="I133" s="53">
        <f t="shared" si="36"/>
        <v>-656.09109204955996</v>
      </c>
      <c r="J133" s="53">
        <f t="shared" si="36"/>
        <v>-659.21999704596612</v>
      </c>
      <c r="K133" s="53">
        <f t="shared" si="36"/>
        <v>-664.51645043175597</v>
      </c>
    </row>
    <row r="134" spans="2:25">
      <c r="B134" t="str">
        <f t="shared" si="35"/>
        <v>Closing asset value</v>
      </c>
      <c r="D134" s="53">
        <f>SUM(D131:D133)</f>
        <v>9201.7303517871624</v>
      </c>
      <c r="E134" s="53">
        <f t="shared" ref="E134:J134" si="37">SUM(E131:E133)</f>
        <v>9556.608039420742</v>
      </c>
      <c r="F134" s="53">
        <f t="shared" si="37"/>
        <v>9833.4226333576862</v>
      </c>
      <c r="G134" s="53">
        <f t="shared" si="37"/>
        <v>10034.081942552004</v>
      </c>
      <c r="H134" s="53">
        <f t="shared" si="37"/>
        <v>10193.237060710237</v>
      </c>
      <c r="I134" s="53">
        <f t="shared" si="37"/>
        <v>10415.11391450991</v>
      </c>
      <c r="J134" s="53">
        <f t="shared" si="37"/>
        <v>10704.13946354331</v>
      </c>
      <c r="K134" s="53">
        <f>SUM(K131:K133)</f>
        <v>10887.131667037007</v>
      </c>
      <c r="N134" s="53">
        <f>D134*N$1</f>
        <v>10738.419320535619</v>
      </c>
      <c r="O134" s="53">
        <f t="shared" ref="O134:U134" si="38">E134*O$1</f>
        <v>11372.363566910682</v>
      </c>
      <c r="P134" s="53">
        <f t="shared" si="38"/>
        <v>11819.774005295938</v>
      </c>
      <c r="Q134" s="53">
        <f t="shared" si="38"/>
        <v>12321.852625453861</v>
      </c>
      <c r="R134" s="53">
        <f t="shared" si="38"/>
        <v>12986.184015344841</v>
      </c>
      <c r="S134" s="53">
        <f t="shared" si="38"/>
        <v>13675.044569751512</v>
      </c>
      <c r="T134" s="53">
        <f t="shared" si="38"/>
        <v>14439.884136319924</v>
      </c>
      <c r="U134" s="53">
        <f t="shared" si="38"/>
        <v>15111.338753847365</v>
      </c>
      <c r="V134" s="53"/>
      <c r="W134" s="53"/>
      <c r="X134" s="53"/>
      <c r="Y134" s="53"/>
    </row>
    <row r="135" spans="2:25">
      <c r="D135" s="53"/>
      <c r="E135" s="53"/>
      <c r="F135" s="53"/>
      <c r="G135" s="53"/>
      <c r="H135" s="53"/>
      <c r="I135" s="53"/>
      <c r="J135" s="53"/>
      <c r="K135" s="53"/>
    </row>
    <row r="136" spans="2:25">
      <c r="D136" s="53"/>
      <c r="E136" s="53"/>
      <c r="F136" s="53"/>
      <c r="G136" s="53"/>
      <c r="H136" s="53"/>
      <c r="I136" s="53"/>
      <c r="J136" s="53"/>
      <c r="K136" s="53"/>
    </row>
    <row r="137" spans="2:25">
      <c r="B137" t="s">
        <v>290</v>
      </c>
      <c r="D137" s="187">
        <v>1.5</v>
      </c>
      <c r="E137" s="187">
        <v>1.3</v>
      </c>
      <c r="F137" s="187">
        <v>1.3</v>
      </c>
      <c r="G137" s="187">
        <v>1.5</v>
      </c>
      <c r="H137" s="187">
        <v>1.3</v>
      </c>
      <c r="I137" s="187">
        <v>1.3</v>
      </c>
      <c r="J137" s="187">
        <v>1.5</v>
      </c>
      <c r="K137" s="187">
        <v>1.3</v>
      </c>
    </row>
    <row r="138" spans="2:25">
      <c r="B138" t="s">
        <v>291</v>
      </c>
      <c r="D138" s="187">
        <v>28.929052554944597</v>
      </c>
      <c r="E138" s="187">
        <v>28.929052554944597</v>
      </c>
      <c r="F138" s="187">
        <v>32.585753058109198</v>
      </c>
      <c r="G138" s="187">
        <v>32.585753058109198</v>
      </c>
      <c r="H138" s="187">
        <v>32.585753058109198</v>
      </c>
      <c r="I138" s="187">
        <v>27.850019605627921</v>
      </c>
      <c r="J138" s="187">
        <v>27.850019605627921</v>
      </c>
      <c r="K138" s="187">
        <v>27.850019605627921</v>
      </c>
    </row>
    <row r="139" spans="2:25">
      <c r="B139" t="s">
        <v>292</v>
      </c>
      <c r="D139" s="187">
        <v>30.429052554944597</v>
      </c>
      <c r="E139" s="187">
        <v>30.229052554944598</v>
      </c>
      <c r="F139" s="187">
        <v>33.885753058109195</v>
      </c>
      <c r="G139" s="187">
        <v>34.085753058109198</v>
      </c>
      <c r="H139" s="187">
        <v>33.885753058109195</v>
      </c>
      <c r="I139" s="187">
        <v>29.150019605627921</v>
      </c>
      <c r="J139" s="187">
        <v>29.350019605627921</v>
      </c>
      <c r="K139" s="187">
        <v>29.150019605627921</v>
      </c>
    </row>
    <row r="140" spans="2:25">
      <c r="B140" t="s">
        <v>293</v>
      </c>
      <c r="D140" s="187">
        <v>1.6281727480620216</v>
      </c>
      <c r="E140" s="187">
        <v>1.7003333642561302</v>
      </c>
      <c r="F140" s="187">
        <v>1.7739577989284205</v>
      </c>
      <c r="G140" s="187">
        <v>1.8489607346671144</v>
      </c>
      <c r="H140" s="187">
        <v>1.9253597922235597</v>
      </c>
      <c r="I140" s="187">
        <v>2.0013344896247016</v>
      </c>
      <c r="J140" s="187">
        <v>2.0763445062958352</v>
      </c>
      <c r="K140" s="187">
        <v>2.1480614455432936</v>
      </c>
    </row>
    <row r="141" spans="2:25">
      <c r="B141" s="38" t="s">
        <v>294</v>
      </c>
      <c r="C141" s="38"/>
      <c r="D141" s="58">
        <f>D139+D140</f>
        <v>32.057225303006618</v>
      </c>
      <c r="E141" s="58">
        <f t="shared" ref="E141:K141" si="39">E139+E140</f>
        <v>31.92938591920073</v>
      </c>
      <c r="F141" s="58">
        <f t="shared" si="39"/>
        <v>35.659710857037616</v>
      </c>
      <c r="G141" s="58">
        <f t="shared" si="39"/>
        <v>35.934713792776314</v>
      </c>
      <c r="H141" s="58">
        <f t="shared" si="39"/>
        <v>35.811112850332755</v>
      </c>
      <c r="I141" s="58">
        <f t="shared" si="39"/>
        <v>31.151354095252621</v>
      </c>
      <c r="J141" s="58">
        <f t="shared" si="39"/>
        <v>31.426364111923757</v>
      </c>
      <c r="K141" s="58">
        <f t="shared" si="39"/>
        <v>31.298081051171216</v>
      </c>
    </row>
    <row r="142" spans="2:25">
      <c r="D142" s="53"/>
      <c r="E142" s="53"/>
      <c r="F142" s="53"/>
      <c r="G142" s="53"/>
      <c r="H142" s="53"/>
      <c r="I142" s="53"/>
      <c r="J142" s="53"/>
      <c r="K142" s="53"/>
    </row>
    <row r="143" spans="2:25">
      <c r="B143" t="s">
        <v>350</v>
      </c>
      <c r="D143" s="187">
        <v>19.092223163426969</v>
      </c>
      <c r="E143" s="187">
        <v>19.938390494030049</v>
      </c>
      <c r="F143" s="187">
        <v>20.801722802421548</v>
      </c>
      <c r="G143" s="187">
        <v>21.681219642507934</v>
      </c>
      <c r="H143" s="187">
        <v>22.577087638136362</v>
      </c>
      <c r="I143" s="187">
        <v>23.467979516337223</v>
      </c>
      <c r="J143" s="187">
        <v>24.347559388609543</v>
      </c>
      <c r="K143" s="187">
        <v>25.188524089892116</v>
      </c>
    </row>
    <row r="144" spans="2:25">
      <c r="B144" t="s">
        <v>296</v>
      </c>
      <c r="D144" s="187">
        <v>18.768393984911107</v>
      </c>
      <c r="E144" s="187">
        <v>19.600209206322365</v>
      </c>
      <c r="F144" s="187">
        <v>20.448898264956121</v>
      </c>
      <c r="G144" s="187">
        <v>21.313477683598467</v>
      </c>
      <c r="H144" s="187">
        <v>22.194150581484756</v>
      </c>
      <c r="I144" s="187">
        <v>23.069931763430148</v>
      </c>
      <c r="J144" s="187">
        <v>23.934592805923508</v>
      </c>
      <c r="K144" s="187">
        <v>24.761293641440108</v>
      </c>
    </row>
    <row r="145" spans="2:21" ht="16.8">
      <c r="B145" s="179" t="s">
        <v>266</v>
      </c>
      <c r="D145" s="187">
        <f>-D89</f>
        <v>-123</v>
      </c>
      <c r="E145" s="187">
        <f t="shared" ref="E145:K145" si="40">-E89</f>
        <v>-122.8</v>
      </c>
      <c r="F145" s="187">
        <f t="shared" si="40"/>
        <v>-129.80000000000001</v>
      </c>
      <c r="G145" s="187">
        <f t="shared" si="40"/>
        <v>-125.6</v>
      </c>
      <c r="H145" s="187">
        <f t="shared" si="40"/>
        <v>-127.3</v>
      </c>
      <c r="I145" s="187">
        <f t="shared" si="40"/>
        <v>-128.6</v>
      </c>
      <c r="J145" s="187">
        <f t="shared" si="40"/>
        <v>-130.19999999999999</v>
      </c>
      <c r="K145" s="187">
        <f t="shared" si="40"/>
        <v>-131.69999999999999</v>
      </c>
    </row>
    <row r="146" spans="2:21" ht="16.8">
      <c r="B146" s="179" t="s">
        <v>351</v>
      </c>
      <c r="D146" s="187">
        <v>7.367</v>
      </c>
      <c r="E146" s="187">
        <v>6.234</v>
      </c>
      <c r="F146" s="187">
        <v>5.5780000000000003</v>
      </c>
      <c r="G146" s="187">
        <v>3.3689999999999998</v>
      </c>
      <c r="H146" s="187">
        <v>3.3680000000000003</v>
      </c>
      <c r="I146" s="187">
        <v>3.1619999999999999</v>
      </c>
      <c r="J146" s="187">
        <v>3.0940000000000003</v>
      </c>
      <c r="K146" s="187">
        <v>3.0270000000000001</v>
      </c>
    </row>
    <row r="147" spans="2:21">
      <c r="B147" s="38" t="s">
        <v>298</v>
      </c>
      <c r="D147" s="58">
        <f>SUM(D141:D146)</f>
        <v>-45.71515754865532</v>
      </c>
      <c r="E147" s="58">
        <f t="shared" ref="E147:K147" si="41">SUM(E141:E146)</f>
        <v>-45.098014380446848</v>
      </c>
      <c r="F147" s="58">
        <f t="shared" si="41"/>
        <v>-47.31166807558472</v>
      </c>
      <c r="G147" s="58">
        <f t="shared" si="41"/>
        <v>-43.301588881117283</v>
      </c>
      <c r="H147" s="58">
        <f t="shared" si="41"/>
        <v>-43.349648930046122</v>
      </c>
      <c r="I147" s="58">
        <f t="shared" si="41"/>
        <v>-47.748734624979996</v>
      </c>
      <c r="J147" s="58">
        <f t="shared" si="41"/>
        <v>-47.397483693543187</v>
      </c>
      <c r="K147" s="58">
        <f t="shared" si="41"/>
        <v>-47.425101217496547</v>
      </c>
    </row>
    <row r="148" spans="2:21">
      <c r="B148" t="s">
        <v>299</v>
      </c>
      <c r="D148" s="187">
        <v>13.751034124367685</v>
      </c>
      <c r="E148" s="187">
        <v>13.274690050778315</v>
      </c>
      <c r="F148" s="187">
        <v>12.798257977175346</v>
      </c>
      <c r="G148" s="187">
        <v>0</v>
      </c>
      <c r="H148" s="187">
        <v>0</v>
      </c>
      <c r="I148" s="187">
        <v>0</v>
      </c>
      <c r="J148" s="187">
        <v>0</v>
      </c>
      <c r="K148" s="187">
        <v>0</v>
      </c>
    </row>
    <row r="149" spans="2:21">
      <c r="D149" s="53"/>
      <c r="E149" s="53"/>
      <c r="F149" s="53"/>
      <c r="G149" s="53"/>
      <c r="H149" s="53"/>
      <c r="I149" s="53"/>
      <c r="J149" s="53"/>
      <c r="K149" s="53"/>
    </row>
    <row r="150" spans="2:21">
      <c r="B150" t="s">
        <v>300</v>
      </c>
      <c r="D150" s="53">
        <f>SUM(D143:D146,D148)</f>
        <v>-64.021348727294225</v>
      </c>
      <c r="E150" s="53">
        <f t="shared" ref="E150:K150" si="42">SUM(E143:E146,E148)</f>
        <v>-63.752710248869278</v>
      </c>
      <c r="F150" s="53">
        <f t="shared" si="42"/>
        <v>-70.17312095544699</v>
      </c>
      <c r="G150" s="53">
        <f t="shared" si="42"/>
        <v>-79.23630267389359</v>
      </c>
      <c r="H150" s="53">
        <f t="shared" si="42"/>
        <v>-79.160761780378891</v>
      </c>
      <c r="I150" s="53">
        <f t="shared" si="42"/>
        <v>-78.900088720232617</v>
      </c>
      <c r="J150" s="53">
        <f t="shared" si="42"/>
        <v>-78.82384780546694</v>
      </c>
      <c r="K150" s="53">
        <f t="shared" si="42"/>
        <v>-78.72318226866777</v>
      </c>
    </row>
    <row r="153" spans="2:21" ht="16.8">
      <c r="B153" s="75" t="s">
        <v>247</v>
      </c>
      <c r="D153" s="87">
        <f>D190</f>
        <v>74.160747515587701</v>
      </c>
      <c r="E153" s="88">
        <f t="shared" ref="E153:K156" si="43">E190</f>
        <v>94.867572674081416</v>
      </c>
      <c r="F153" s="88">
        <f t="shared" si="43"/>
        <v>107.32395023965394</v>
      </c>
      <c r="G153" s="88">
        <f t="shared" si="43"/>
        <v>117.68156233117602</v>
      </c>
      <c r="H153" s="88">
        <f t="shared" si="43"/>
        <v>128.4084006791667</v>
      </c>
      <c r="I153" s="88">
        <f t="shared" si="43"/>
        <v>138.31724479594911</v>
      </c>
      <c r="J153" s="88">
        <f t="shared" si="43"/>
        <v>152.08614270900932</v>
      </c>
      <c r="K153" s="89">
        <f t="shared" si="43"/>
        <v>154.77335393325794</v>
      </c>
    </row>
    <row r="154" spans="2:21" ht="16.8">
      <c r="B154" s="75" t="s">
        <v>248</v>
      </c>
      <c r="D154" s="87">
        <f>D191</f>
        <v>36.35214651185791</v>
      </c>
      <c r="E154" s="88">
        <f t="shared" si="43"/>
        <v>31.83581605402069</v>
      </c>
      <c r="F154" s="88">
        <f t="shared" si="43"/>
        <v>32.88014912180234</v>
      </c>
      <c r="G154" s="88">
        <f t="shared" si="43"/>
        <v>36.11735113519925</v>
      </c>
      <c r="H154" s="88">
        <f t="shared" si="43"/>
        <v>38.993236900873733</v>
      </c>
      <c r="I154" s="88">
        <f t="shared" si="43"/>
        <v>45.915866731316541</v>
      </c>
      <c r="J154" s="88">
        <f t="shared" si="43"/>
        <v>38.545494587776346</v>
      </c>
      <c r="K154" s="89">
        <f t="shared" si="43"/>
        <v>38.060495151095672</v>
      </c>
    </row>
    <row r="155" spans="2:21" ht="16.8">
      <c r="B155" s="75" t="s">
        <v>249</v>
      </c>
      <c r="D155" s="87">
        <f>D192</f>
        <v>-15.645321353364194</v>
      </c>
      <c r="E155" s="88">
        <f t="shared" si="43"/>
        <v>-19.379438488448173</v>
      </c>
      <c r="F155" s="88">
        <f t="shared" si="43"/>
        <v>-22.522537030280255</v>
      </c>
      <c r="G155" s="88">
        <f t="shared" si="43"/>
        <v>-25.390512787208571</v>
      </c>
      <c r="H155" s="88">
        <f t="shared" si="43"/>
        <v>-29.084392784091335</v>
      </c>
      <c r="I155" s="88">
        <f t="shared" si="43"/>
        <v>-32.146968818256298</v>
      </c>
      <c r="J155" s="88">
        <f t="shared" si="43"/>
        <v>-35.85828336352774</v>
      </c>
      <c r="K155" s="89">
        <f t="shared" si="43"/>
        <v>-37.234294434692401</v>
      </c>
    </row>
    <row r="156" spans="2:21" ht="16.8">
      <c r="B156" s="75" t="s">
        <v>250</v>
      </c>
      <c r="D156" s="87">
        <f>D193</f>
        <v>94.867572674081416</v>
      </c>
      <c r="E156" s="88">
        <f t="shared" si="43"/>
        <v>107.32395023965394</v>
      </c>
      <c r="F156" s="88">
        <f t="shared" si="43"/>
        <v>117.68156233117602</v>
      </c>
      <c r="G156" s="88">
        <f t="shared" si="43"/>
        <v>128.4084006791667</v>
      </c>
      <c r="H156" s="88">
        <f t="shared" si="43"/>
        <v>138.31724479594911</v>
      </c>
      <c r="I156" s="88">
        <f t="shared" si="43"/>
        <v>152.08614270900932</v>
      </c>
      <c r="J156" s="88">
        <f t="shared" si="43"/>
        <v>154.77335393325794</v>
      </c>
      <c r="K156" s="89">
        <f t="shared" si="43"/>
        <v>155.5995546496612</v>
      </c>
    </row>
    <row r="158" spans="2:21" ht="15.6">
      <c r="L158" s="119" t="s">
        <v>301</v>
      </c>
    </row>
    <row r="159" spans="2:21" ht="15.6">
      <c r="B159" t="s">
        <v>289</v>
      </c>
      <c r="D159" s="122">
        <f>D131+D153</f>
        <v>8865.0145032674482</v>
      </c>
      <c r="E159" s="122">
        <f t="shared" ref="E159:K159" si="44">E131+E153</f>
        <v>9296.5979244612445</v>
      </c>
      <c r="F159" s="122">
        <f t="shared" si="44"/>
        <v>9663.9319896603974</v>
      </c>
      <c r="G159" s="122">
        <f t="shared" si="44"/>
        <v>9951.1041956888603</v>
      </c>
      <c r="H159" s="122">
        <f t="shared" si="44"/>
        <v>10162.490343231173</v>
      </c>
      <c r="I159" s="122">
        <f t="shared" si="44"/>
        <v>10331.554305506184</v>
      </c>
      <c r="J159" s="122">
        <f t="shared" si="44"/>
        <v>10567.200057218921</v>
      </c>
      <c r="K159" s="122">
        <f t="shared" si="44"/>
        <v>10858.912817476568</v>
      </c>
      <c r="L159" s="120">
        <f>(K159/D159)^(1/7)-1</f>
        <v>2.9406009862351867E-2</v>
      </c>
      <c r="M159" t="s">
        <v>302</v>
      </c>
      <c r="N159" s="114">
        <f t="shared" ref="N159:U160" si="45">D159*N$1</f>
        <v>10345.471925313112</v>
      </c>
      <c r="O159" s="109">
        <f t="shared" si="45"/>
        <v>11062.95153010888</v>
      </c>
      <c r="P159" s="109">
        <f t="shared" si="45"/>
        <v>11616.046251571797</v>
      </c>
      <c r="Q159" s="109">
        <f t="shared" si="45"/>
        <v>12219.95595230592</v>
      </c>
      <c r="R159" s="109">
        <f t="shared" si="45"/>
        <v>12947.012697276514</v>
      </c>
      <c r="S159" s="109">
        <f t="shared" si="45"/>
        <v>13565.33080312962</v>
      </c>
      <c r="T159" s="109">
        <f t="shared" si="45"/>
        <v>14255.152877188324</v>
      </c>
      <c r="U159" s="109">
        <f t="shared" si="45"/>
        <v>15072.170990657476</v>
      </c>
    </row>
    <row r="160" spans="2:21" ht="15.6">
      <c r="B160" t="s">
        <v>250</v>
      </c>
      <c r="D160" s="122">
        <f>D134+D156</f>
        <v>9296.5979244612445</v>
      </c>
      <c r="E160" s="122">
        <f t="shared" ref="E160:K160" si="46">E134+E156</f>
        <v>9663.9319896603956</v>
      </c>
      <c r="F160" s="122">
        <f t="shared" si="46"/>
        <v>9951.1041956888621</v>
      </c>
      <c r="G160" s="122">
        <f t="shared" si="46"/>
        <v>10162.490343231171</v>
      </c>
      <c r="H160" s="122">
        <f t="shared" si="46"/>
        <v>10331.554305506186</v>
      </c>
      <c r="I160" s="122">
        <f t="shared" si="46"/>
        <v>10567.200057218919</v>
      </c>
      <c r="J160" s="122">
        <f t="shared" si="46"/>
        <v>10858.912817476568</v>
      </c>
      <c r="K160" s="122">
        <f t="shared" si="46"/>
        <v>11042.731221686669</v>
      </c>
      <c r="L160" s="121">
        <f>(K160/D160)^(1/7)-1</f>
        <v>2.4893932152368015E-2</v>
      </c>
      <c r="N160" s="109">
        <f t="shared" si="45"/>
        <v>10849.129777846272</v>
      </c>
      <c r="O160" s="109">
        <f t="shared" si="45"/>
        <v>11500.07906769587</v>
      </c>
      <c r="P160" s="109">
        <f t="shared" si="45"/>
        <v>11961.227243218013</v>
      </c>
      <c r="Q160" s="109">
        <f t="shared" si="45"/>
        <v>12479.538141487878</v>
      </c>
      <c r="R160" s="109">
        <f t="shared" si="45"/>
        <v>13162.400185214881</v>
      </c>
      <c r="S160" s="109">
        <f t="shared" si="45"/>
        <v>13874.73367512844</v>
      </c>
      <c r="T160" s="109">
        <f t="shared" si="45"/>
        <v>14648.67339077589</v>
      </c>
      <c r="U160" s="114">
        <f t="shared" si="45"/>
        <v>15327.310935701094</v>
      </c>
    </row>
    <row r="161" spans="1:21">
      <c r="N161" s="109"/>
      <c r="O161" s="109"/>
      <c r="P161" s="109"/>
      <c r="Q161" s="109"/>
      <c r="R161" s="109"/>
      <c r="S161" s="109"/>
      <c r="T161" s="109"/>
      <c r="U161" s="109"/>
    </row>
    <row r="162" spans="1:21">
      <c r="B162" t="s">
        <v>289</v>
      </c>
      <c r="D162" s="53"/>
      <c r="M162" t="s">
        <v>303</v>
      </c>
      <c r="N162" s="115">
        <f>D159*N$3</f>
        <v>10190.343073497943</v>
      </c>
      <c r="O162" s="109">
        <f t="shared" ref="O162:U162" si="47">E159*O$2</f>
        <v>11077.500353988815</v>
      </c>
      <c r="P162" s="109">
        <f t="shared" si="47"/>
        <v>11694.357990886747</v>
      </c>
      <c r="Q162" s="109">
        <f t="shared" si="47"/>
        <v>12420.048014362786</v>
      </c>
      <c r="R162" s="109">
        <f t="shared" si="47"/>
        <v>13107.775664396275</v>
      </c>
      <c r="S162" s="109">
        <f t="shared" si="47"/>
        <v>13651.441985940743</v>
      </c>
      <c r="T162" s="109">
        <f t="shared" si="47"/>
        <v>14383.995010683753</v>
      </c>
      <c r="U162" s="109">
        <f t="shared" si="47"/>
        <v>15223.950844832361</v>
      </c>
    </row>
    <row r="163" spans="1:21">
      <c r="B163" t="s">
        <v>250</v>
      </c>
      <c r="D163" s="53"/>
      <c r="E163" s="53"/>
      <c r="F163" s="53"/>
      <c r="G163" s="53"/>
      <c r="H163" s="53"/>
      <c r="I163" s="53"/>
      <c r="J163" s="53"/>
      <c r="K163" s="53"/>
      <c r="N163" s="109">
        <f t="shared" ref="N163:U163" si="48">D160*N$2</f>
        <v>10978.401751055426</v>
      </c>
      <c r="O163" s="109">
        <f t="shared" si="48"/>
        <v>11515.202755484421</v>
      </c>
      <c r="P163" s="109">
        <f t="shared" si="48"/>
        <v>12041.866084478737</v>
      </c>
      <c r="Q163" s="109">
        <f t="shared" si="48"/>
        <v>12683.880655486582</v>
      </c>
      <c r="R163" s="109">
        <f t="shared" si="48"/>
        <v>13325.837617282739</v>
      </c>
      <c r="S163" s="109">
        <f t="shared" si="48"/>
        <v>13962.80891231167</v>
      </c>
      <c r="T163" s="109">
        <f t="shared" si="48"/>
        <v>14781.072274800876</v>
      </c>
      <c r="U163" s="115">
        <f t="shared" si="48"/>
        <v>15481.660101468644</v>
      </c>
    </row>
    <row r="164" spans="1:21">
      <c r="D164" s="189"/>
      <c r="E164" s="189"/>
      <c r="F164" s="189"/>
      <c r="G164" s="189"/>
      <c r="H164" s="189"/>
      <c r="I164" s="189"/>
      <c r="J164" s="189"/>
      <c r="K164" s="189"/>
    </row>
    <row r="165" spans="1:21">
      <c r="D165" s="53"/>
    </row>
    <row r="166" spans="1:21">
      <c r="B166" t="s">
        <v>304</v>
      </c>
      <c r="D166" s="190">
        <f t="shared" ref="D166" si="49">D63-D128-D167</f>
        <v>-568.85899585512277</v>
      </c>
      <c r="E166" s="190">
        <f>E63-E128-E167</f>
        <v>-549.89961863661051</v>
      </c>
      <c r="F166" s="190">
        <f t="shared" ref="F166:K166" si="50">F63-F128-F167</f>
        <v>-536.88830227380845</v>
      </c>
      <c r="G166" s="190">
        <f t="shared" si="50"/>
        <v>-523.0969313330138</v>
      </c>
      <c r="H166" s="190">
        <f t="shared" si="50"/>
        <v>-510.35729242605214</v>
      </c>
      <c r="I166" s="190">
        <f t="shared" si="50"/>
        <v>-499.08660917668192</v>
      </c>
      <c r="J166" s="190">
        <f t="shared" si="50"/>
        <v>-479.55827686084979</v>
      </c>
      <c r="K166" s="190">
        <f t="shared" si="50"/>
        <v>-462.21006048952052</v>
      </c>
    </row>
    <row r="167" spans="1:21">
      <c r="B167" t="s">
        <v>305</v>
      </c>
      <c r="D167" s="193">
        <v>0</v>
      </c>
      <c r="E167" s="193">
        <v>-42.366944514180489</v>
      </c>
      <c r="F167" s="193">
        <v>-78.448630258346981</v>
      </c>
      <c r="G167" s="193">
        <v>-108.81974605303964</v>
      </c>
      <c r="H167" s="193">
        <v>-134.43746871705113</v>
      </c>
      <c r="I167" s="193">
        <v>-157.00448287287804</v>
      </c>
      <c r="J167" s="193">
        <v>-179.66172018511637</v>
      </c>
      <c r="K167" s="193">
        <v>-202.30638994223548</v>
      </c>
    </row>
    <row r="168" spans="1:21">
      <c r="D168" s="53"/>
      <c r="E168" s="53"/>
      <c r="F168" s="53"/>
      <c r="G168" s="53"/>
      <c r="H168" s="53"/>
      <c r="I168" s="53"/>
      <c r="J168" s="53"/>
      <c r="K168" s="53"/>
    </row>
    <row r="170" spans="1:21">
      <c r="B170" t="s">
        <v>352</v>
      </c>
      <c r="D170" s="192">
        <v>98.2</v>
      </c>
      <c r="E170" s="192">
        <v>86.4</v>
      </c>
      <c r="F170" s="192">
        <v>80.599999999999994</v>
      </c>
      <c r="G170" s="192">
        <v>94.8</v>
      </c>
      <c r="H170" s="192">
        <v>80.2</v>
      </c>
      <c r="I170" s="192">
        <v>54.8</v>
      </c>
      <c r="J170" s="192">
        <v>15.6</v>
      </c>
      <c r="K170" s="192">
        <v>1.4</v>
      </c>
    </row>
    <row r="171" spans="1:21">
      <c r="B171" t="s">
        <v>353</v>
      </c>
      <c r="D171" s="192">
        <v>-45.1</v>
      </c>
      <c r="E171" s="192">
        <v>-33.4</v>
      </c>
      <c r="F171" s="192">
        <v>-29.6</v>
      </c>
      <c r="G171" s="192">
        <v>-37.299999999999997</v>
      </c>
      <c r="H171" s="192">
        <v>-31.2</v>
      </c>
      <c r="I171" s="192">
        <v>-26.3</v>
      </c>
      <c r="J171" s="192">
        <v>-11.9</v>
      </c>
      <c r="K171" s="192">
        <v>-1.4</v>
      </c>
    </row>
    <row r="172" spans="1:21">
      <c r="D172" s="192"/>
      <c r="E172" s="192"/>
      <c r="F172" s="192"/>
      <c r="G172" s="192"/>
      <c r="H172" s="192"/>
      <c r="I172" s="192"/>
      <c r="J172" s="192"/>
      <c r="K172" s="192"/>
    </row>
    <row r="173" spans="1:21" s="188" customFormat="1">
      <c r="D173" s="194"/>
      <c r="E173" s="194"/>
      <c r="F173" s="194"/>
      <c r="G173" s="194"/>
      <c r="H173" s="194"/>
      <c r="I173" s="194"/>
      <c r="J173" s="194"/>
      <c r="K173" s="194"/>
    </row>
    <row r="175" spans="1:21" ht="16.8">
      <c r="A175" s="86">
        <v>1</v>
      </c>
      <c r="B175" s="75" t="s">
        <v>241</v>
      </c>
      <c r="D175" s="87">
        <f>D184</f>
        <v>33.421997853433474</v>
      </c>
      <c r="E175" s="88">
        <f t="shared" ref="E175:K175" si="51">E184</f>
        <v>31.83581605402069</v>
      </c>
      <c r="F175" s="88">
        <f t="shared" si="51"/>
        <v>32.88014912180234</v>
      </c>
      <c r="G175" s="88">
        <f t="shared" si="51"/>
        <v>36.11735113519925</v>
      </c>
      <c r="H175" s="88">
        <f t="shared" si="51"/>
        <v>38.993236900873733</v>
      </c>
      <c r="I175" s="88">
        <f t="shared" si="51"/>
        <v>45.915866731316541</v>
      </c>
      <c r="J175" s="88">
        <f t="shared" si="51"/>
        <v>38.545494587776346</v>
      </c>
      <c r="K175" s="89">
        <f t="shared" si="51"/>
        <v>38.060495151095672</v>
      </c>
      <c r="L175" s="172">
        <v>243.40743312371282</v>
      </c>
    </row>
    <row r="176" spans="1:21" ht="16.8">
      <c r="A176" s="86">
        <v>2</v>
      </c>
      <c r="B176" s="75" t="s">
        <v>242</v>
      </c>
      <c r="D176" s="87">
        <f t="shared" ref="D176:K177" si="52">D185</f>
        <v>86.370109148120193</v>
      </c>
      <c r="E176" s="88">
        <f t="shared" si="52"/>
        <v>82.271051523114394</v>
      </c>
      <c r="F176" s="88">
        <f t="shared" si="52"/>
        <v>84.96984773053579</v>
      </c>
      <c r="G176" s="88">
        <f t="shared" si="52"/>
        <v>93.335520317127802</v>
      </c>
      <c r="H176" s="88">
        <f t="shared" si="52"/>
        <v>100.76746883702494</v>
      </c>
      <c r="I176" s="88">
        <f t="shared" si="52"/>
        <v>118.65713230566028</v>
      </c>
      <c r="J176" s="88">
        <f t="shared" si="52"/>
        <v>99.610399992067187</v>
      </c>
      <c r="K176" s="89">
        <f t="shared" si="52"/>
        <v>98.357050193333251</v>
      </c>
      <c r="L176" s="172">
        <v>629.02064258851954</v>
      </c>
    </row>
    <row r="177" spans="1:13" ht="16.8">
      <c r="A177" s="86">
        <v>3</v>
      </c>
      <c r="B177" s="75" t="s">
        <v>243</v>
      </c>
      <c r="D177" s="87">
        <f t="shared" si="52"/>
        <v>119.79210700155366</v>
      </c>
      <c r="E177" s="88">
        <f t="shared" si="52"/>
        <v>114.10686757713508</v>
      </c>
      <c r="F177" s="88">
        <f t="shared" si="52"/>
        <v>117.84999685233812</v>
      </c>
      <c r="G177" s="88">
        <f t="shared" si="52"/>
        <v>129.45287145232706</v>
      </c>
      <c r="H177" s="88">
        <f t="shared" si="52"/>
        <v>139.76070573789866</v>
      </c>
      <c r="I177" s="88">
        <f t="shared" si="52"/>
        <v>164.57299903697682</v>
      </c>
      <c r="J177" s="88">
        <f t="shared" si="52"/>
        <v>138.15589457984353</v>
      </c>
      <c r="K177" s="89">
        <f t="shared" si="52"/>
        <v>136.41754534442893</v>
      </c>
      <c r="L177" s="172">
        <v>872.42807571223227</v>
      </c>
    </row>
    <row r="180" spans="1:13" ht="17.399999999999999" thickBot="1">
      <c r="B180" s="185" t="s">
        <v>354</v>
      </c>
    </row>
    <row r="181" spans="1:13" ht="16.8">
      <c r="A181" s="68"/>
      <c r="B181" s="69" t="s">
        <v>237</v>
      </c>
      <c r="D181" s="70">
        <v>41729</v>
      </c>
      <c r="E181" s="71">
        <v>42094</v>
      </c>
      <c r="F181" s="71">
        <v>42460</v>
      </c>
      <c r="G181" s="71">
        <v>42825</v>
      </c>
      <c r="H181" s="71">
        <v>43190</v>
      </c>
      <c r="I181" s="71">
        <v>43555</v>
      </c>
      <c r="J181" s="71">
        <v>43921</v>
      </c>
      <c r="K181" s="72">
        <v>44286</v>
      </c>
      <c r="L181" s="180" t="s">
        <v>238</v>
      </c>
      <c r="M181" s="181" t="s">
        <v>310</v>
      </c>
    </row>
    <row r="182" spans="1:13" ht="16.8">
      <c r="A182" s="74"/>
      <c r="B182" s="75" t="s">
        <v>239</v>
      </c>
      <c r="D182" s="76" t="s">
        <v>240</v>
      </c>
      <c r="E182" s="77" t="s">
        <v>240</v>
      </c>
      <c r="F182" s="77" t="s">
        <v>240</v>
      </c>
      <c r="G182" s="77" t="s">
        <v>240</v>
      </c>
      <c r="H182" s="77" t="s">
        <v>240</v>
      </c>
      <c r="I182" s="77" t="s">
        <v>240</v>
      </c>
      <c r="J182" s="77" t="s">
        <v>240</v>
      </c>
      <c r="K182" s="78" t="s">
        <v>240</v>
      </c>
      <c r="L182" s="182" t="s">
        <v>240</v>
      </c>
      <c r="M182" s="79" t="s">
        <v>240</v>
      </c>
    </row>
    <row r="183" spans="1:13" ht="16.8">
      <c r="A183" s="80"/>
      <c r="B183" s="81" t="s">
        <v>207</v>
      </c>
      <c r="D183" s="82"/>
      <c r="E183" s="83"/>
      <c r="F183" s="83"/>
      <c r="G183" s="83"/>
      <c r="H183" s="83"/>
      <c r="I183" s="83"/>
      <c r="J183" s="83"/>
      <c r="K183" s="84"/>
      <c r="L183" s="183"/>
      <c r="M183" s="85"/>
    </row>
    <row r="184" spans="1:13" ht="16.8">
      <c r="A184" s="86">
        <v>1</v>
      </c>
      <c r="B184" s="75" t="s">
        <v>241</v>
      </c>
      <c r="D184" s="87">
        <v>33.421997853433474</v>
      </c>
      <c r="E184" s="88">
        <v>31.83581605402069</v>
      </c>
      <c r="F184" s="88">
        <v>32.88014912180234</v>
      </c>
      <c r="G184" s="88">
        <v>36.11735113519925</v>
      </c>
      <c r="H184" s="88">
        <v>38.993236900873733</v>
      </c>
      <c r="I184" s="88">
        <v>45.915866731316541</v>
      </c>
      <c r="J184" s="88">
        <v>38.545494587776346</v>
      </c>
      <c r="K184" s="89">
        <v>38.060495151095672</v>
      </c>
      <c r="L184" s="172">
        <v>295.77040753551807</v>
      </c>
      <c r="M184" s="90">
        <v>36.971300941939759</v>
      </c>
    </row>
    <row r="185" spans="1:13" ht="16.8">
      <c r="A185" s="86">
        <v>2</v>
      </c>
      <c r="B185" s="75" t="s">
        <v>242</v>
      </c>
      <c r="D185" s="87">
        <v>86.370109148120193</v>
      </c>
      <c r="E185" s="88">
        <v>82.271051523114394</v>
      </c>
      <c r="F185" s="88">
        <v>84.96984773053579</v>
      </c>
      <c r="G185" s="88">
        <v>93.335520317127802</v>
      </c>
      <c r="H185" s="88">
        <v>100.76746883702494</v>
      </c>
      <c r="I185" s="88">
        <v>118.65713230566028</v>
      </c>
      <c r="J185" s="88">
        <v>99.610399992067187</v>
      </c>
      <c r="K185" s="89">
        <v>98.357050193333251</v>
      </c>
      <c r="L185" s="172">
        <v>764.33858004698391</v>
      </c>
      <c r="M185" s="90">
        <v>95.542322505872988</v>
      </c>
    </row>
    <row r="186" spans="1:13" ht="16.8">
      <c r="A186" s="86">
        <v>3</v>
      </c>
      <c r="B186" s="75" t="s">
        <v>243</v>
      </c>
      <c r="D186" s="87">
        <v>119.79210700155366</v>
      </c>
      <c r="E186" s="88">
        <v>114.10686757713508</v>
      </c>
      <c r="F186" s="88">
        <v>117.84999685233812</v>
      </c>
      <c r="G186" s="88">
        <v>129.45287145232706</v>
      </c>
      <c r="H186" s="88">
        <v>139.76070573789866</v>
      </c>
      <c r="I186" s="88">
        <v>164.57299903697682</v>
      </c>
      <c r="J186" s="88">
        <v>138.15589457984353</v>
      </c>
      <c r="K186" s="89">
        <v>136.41754534442893</v>
      </c>
      <c r="L186" s="172">
        <v>1060.1089875825019</v>
      </c>
      <c r="M186" s="90">
        <v>132.51362344781273</v>
      </c>
    </row>
    <row r="187" spans="1:13" ht="16.8">
      <c r="A187" s="80"/>
      <c r="B187" s="81" t="s">
        <v>244</v>
      </c>
      <c r="D187" s="82"/>
      <c r="E187" s="83"/>
      <c r="F187" s="83"/>
      <c r="G187" s="83"/>
      <c r="H187" s="83"/>
      <c r="I187" s="83"/>
      <c r="J187" s="83"/>
      <c r="K187" s="84"/>
      <c r="L187" s="183"/>
      <c r="M187" s="85"/>
    </row>
    <row r="188" spans="1:13" ht="16.8">
      <c r="A188" s="86">
        <v>4</v>
      </c>
      <c r="B188" s="75" t="s">
        <v>311</v>
      </c>
      <c r="D188" s="87">
        <v>74.160747515587701</v>
      </c>
      <c r="E188" s="88">
        <v>94.867572674081416</v>
      </c>
      <c r="F188" s="88">
        <v>107.32395023965394</v>
      </c>
      <c r="G188" s="88">
        <v>117.68156233117602</v>
      </c>
      <c r="H188" s="88">
        <v>128.4084006791667</v>
      </c>
      <c r="I188" s="88">
        <v>138.31724479594911</v>
      </c>
      <c r="J188" s="88">
        <v>152.08614270900932</v>
      </c>
      <c r="K188" s="89">
        <v>154.77335393325794</v>
      </c>
      <c r="L188" s="172">
        <v>0</v>
      </c>
      <c r="M188" s="90">
        <v>120.95237185973527</v>
      </c>
    </row>
    <row r="189" spans="1:13" ht="16.8">
      <c r="A189" s="86">
        <v>5</v>
      </c>
      <c r="B189" s="75" t="s">
        <v>246</v>
      </c>
      <c r="D189" s="87">
        <v>0</v>
      </c>
      <c r="E189" s="88">
        <v>0</v>
      </c>
      <c r="F189" s="88">
        <v>0</v>
      </c>
      <c r="G189" s="88">
        <v>0</v>
      </c>
      <c r="H189" s="88">
        <v>0</v>
      </c>
      <c r="I189" s="88">
        <v>0</v>
      </c>
      <c r="J189" s="88">
        <v>0</v>
      </c>
      <c r="K189" s="89">
        <v>0</v>
      </c>
      <c r="L189" s="172">
        <v>0</v>
      </c>
      <c r="M189" s="90">
        <v>0</v>
      </c>
    </row>
    <row r="190" spans="1:13" ht="16.8">
      <c r="A190" s="86">
        <v>6</v>
      </c>
      <c r="B190" s="75" t="s">
        <v>247</v>
      </c>
      <c r="D190" s="87">
        <v>74.160747515587701</v>
      </c>
      <c r="E190" s="88">
        <v>94.867572674081416</v>
      </c>
      <c r="F190" s="88">
        <v>107.32395023965394</v>
      </c>
      <c r="G190" s="88">
        <v>117.68156233117602</v>
      </c>
      <c r="H190" s="88">
        <v>128.4084006791667</v>
      </c>
      <c r="I190" s="88">
        <v>138.31724479594911</v>
      </c>
      <c r="J190" s="88">
        <v>152.08614270900932</v>
      </c>
      <c r="K190" s="89">
        <v>154.77335393325794</v>
      </c>
      <c r="L190" s="172">
        <v>0</v>
      </c>
      <c r="M190" s="90">
        <v>120.95237185973527</v>
      </c>
    </row>
    <row r="191" spans="1:13" ht="16.8">
      <c r="A191" s="86">
        <v>7</v>
      </c>
      <c r="B191" s="75" t="s">
        <v>248</v>
      </c>
      <c r="D191" s="87">
        <v>36.35214651185791</v>
      </c>
      <c r="E191" s="88">
        <v>31.83581605402069</v>
      </c>
      <c r="F191" s="88">
        <v>32.88014912180234</v>
      </c>
      <c r="G191" s="88">
        <v>36.11735113519925</v>
      </c>
      <c r="H191" s="88">
        <v>38.993236900873733</v>
      </c>
      <c r="I191" s="88">
        <v>45.915866731316541</v>
      </c>
      <c r="J191" s="88">
        <v>38.545494587776346</v>
      </c>
      <c r="K191" s="89">
        <v>38.060495151095672</v>
      </c>
      <c r="L191" s="172">
        <v>298.70055619394248</v>
      </c>
      <c r="M191" s="90">
        <v>37.337569524242809</v>
      </c>
    </row>
    <row r="192" spans="1:13" ht="16.8">
      <c r="A192" s="86">
        <v>8</v>
      </c>
      <c r="B192" s="75" t="s">
        <v>249</v>
      </c>
      <c r="D192" s="87">
        <v>-15.645321353364194</v>
      </c>
      <c r="E192" s="88">
        <v>-19.379438488448173</v>
      </c>
      <c r="F192" s="88">
        <v>-22.522537030280255</v>
      </c>
      <c r="G192" s="88">
        <v>-25.390512787208571</v>
      </c>
      <c r="H192" s="88">
        <v>-29.084392784091335</v>
      </c>
      <c r="I192" s="88">
        <v>-32.146968818256298</v>
      </c>
      <c r="J192" s="88">
        <v>-35.85828336352774</v>
      </c>
      <c r="K192" s="89">
        <v>-37.234294434692401</v>
      </c>
      <c r="L192" s="172">
        <v>-217.26174905986898</v>
      </c>
      <c r="M192" s="90">
        <v>-27.157718632483622</v>
      </c>
    </row>
    <row r="193" spans="1:13" ht="16.8">
      <c r="A193" s="86">
        <v>9</v>
      </c>
      <c r="B193" s="75" t="s">
        <v>250</v>
      </c>
      <c r="D193" s="87">
        <v>94.867572674081416</v>
      </c>
      <c r="E193" s="88">
        <v>107.32395023965394</v>
      </c>
      <c r="F193" s="88">
        <v>117.68156233117602</v>
      </c>
      <c r="G193" s="88">
        <v>128.4084006791667</v>
      </c>
      <c r="H193" s="88">
        <v>138.31724479594911</v>
      </c>
      <c r="I193" s="88">
        <v>152.08614270900932</v>
      </c>
      <c r="J193" s="88">
        <v>154.77335393325794</v>
      </c>
      <c r="K193" s="89">
        <v>155.5995546496612</v>
      </c>
      <c r="L193" s="172">
        <v>0</v>
      </c>
      <c r="M193" s="90">
        <v>131.13222275149445</v>
      </c>
    </row>
    <row r="194" spans="1:13" ht="16.8">
      <c r="A194" s="80"/>
      <c r="B194" s="81" t="s">
        <v>251</v>
      </c>
      <c r="D194" s="91"/>
      <c r="E194" s="92"/>
      <c r="F194" s="92"/>
      <c r="G194" s="92"/>
      <c r="H194" s="92"/>
      <c r="I194" s="92"/>
      <c r="J194" s="92"/>
      <c r="K194" s="93"/>
      <c r="L194" s="184"/>
      <c r="M194" s="94"/>
    </row>
    <row r="195" spans="1:13" ht="16.8">
      <c r="A195" s="86">
        <v>10</v>
      </c>
      <c r="B195" s="75" t="s">
        <v>252</v>
      </c>
      <c r="D195" s="87">
        <v>81.476813877328894</v>
      </c>
      <c r="E195" s="88">
        <v>78.636555404957193</v>
      </c>
      <c r="F195" s="88">
        <v>76.725460348987028</v>
      </c>
      <c r="G195" s="88">
        <v>76.243729824435974</v>
      </c>
      <c r="H195" s="88">
        <v>78.55454094110577</v>
      </c>
      <c r="I195" s="88">
        <v>72.371415441098179</v>
      </c>
      <c r="J195" s="88">
        <v>77.279938819518947</v>
      </c>
      <c r="K195" s="89">
        <v>78.647587931087514</v>
      </c>
      <c r="L195" s="172">
        <v>619.93604258851951</v>
      </c>
      <c r="M195" s="90">
        <v>77.492005323564939</v>
      </c>
    </row>
    <row r="196" spans="1:13" ht="16.8">
      <c r="A196" s="86">
        <v>11</v>
      </c>
      <c r="B196" s="75" t="s">
        <v>253</v>
      </c>
      <c r="D196" s="87">
        <v>0</v>
      </c>
      <c r="E196" s="88">
        <v>0</v>
      </c>
      <c r="F196" s="88">
        <v>0</v>
      </c>
      <c r="G196" s="88">
        <v>0</v>
      </c>
      <c r="H196" s="88">
        <v>0</v>
      </c>
      <c r="I196" s="88">
        <v>0</v>
      </c>
      <c r="J196" s="88">
        <v>0</v>
      </c>
      <c r="K196" s="89">
        <v>0</v>
      </c>
      <c r="L196" s="172">
        <v>0</v>
      </c>
      <c r="M196" s="90">
        <v>0</v>
      </c>
    </row>
    <row r="197" spans="1:13" ht="16.8">
      <c r="A197" s="86">
        <v>12</v>
      </c>
      <c r="B197" s="75" t="s">
        <v>254</v>
      </c>
      <c r="D197" s="87">
        <v>15.645321353364194</v>
      </c>
      <c r="E197" s="88">
        <v>18.690342676426219</v>
      </c>
      <c r="F197" s="88">
        <v>21.632524947807369</v>
      </c>
      <c r="G197" s="88">
        <v>24.044747964602518</v>
      </c>
      <c r="H197" s="88">
        <v>26.793787551843703</v>
      </c>
      <c r="I197" s="88">
        <v>28.628424833688189</v>
      </c>
      <c r="J197" s="88">
        <v>29.781048076163348</v>
      </c>
      <c r="K197" s="89">
        <v>29.92262311262602</v>
      </c>
      <c r="L197" s="172">
        <v>195.13882051652158</v>
      </c>
      <c r="M197" s="90">
        <v>24.392352564565197</v>
      </c>
    </row>
    <row r="198" spans="1:13" ht="16.8">
      <c r="A198" s="86">
        <v>13</v>
      </c>
      <c r="B198" s="75" t="s">
        <v>255</v>
      </c>
      <c r="D198" s="87">
        <v>3.6480707854751642</v>
      </c>
      <c r="E198" s="88">
        <v>4.2651198106724255</v>
      </c>
      <c r="F198" s="88">
        <v>4.7077019442984573</v>
      </c>
      <c r="G198" s="88">
        <v>5.0099186184247326</v>
      </c>
      <c r="H198" s="88">
        <v>5.2126121734441337</v>
      </c>
      <c r="I198" s="88">
        <v>5.2810656596930992</v>
      </c>
      <c r="J198" s="88">
        <v>5.2695633176227323</v>
      </c>
      <c r="K198" s="89">
        <v>5.2834968166568972</v>
      </c>
      <c r="L198" s="172">
        <v>38.677549126287644</v>
      </c>
      <c r="M198" s="90">
        <v>4.8346936407859555</v>
      </c>
    </row>
    <row r="199" spans="1:13" ht="16.8">
      <c r="A199" s="86">
        <v>14</v>
      </c>
      <c r="B199" s="75" t="s">
        <v>256</v>
      </c>
      <c r="D199" s="87">
        <v>0</v>
      </c>
      <c r="E199" s="88">
        <v>0</v>
      </c>
      <c r="F199" s="88">
        <v>0</v>
      </c>
      <c r="G199" s="88">
        <v>0</v>
      </c>
      <c r="H199" s="88">
        <v>0</v>
      </c>
      <c r="I199" s="88">
        <v>0</v>
      </c>
      <c r="J199" s="88">
        <v>0</v>
      </c>
      <c r="K199" s="89">
        <v>0</v>
      </c>
      <c r="L199" s="172">
        <v>0</v>
      </c>
      <c r="M199" s="90">
        <v>0</v>
      </c>
    </row>
    <row r="200" spans="1:13" ht="16.8">
      <c r="A200" s="86">
        <v>15</v>
      </c>
      <c r="B200" s="75" t="s">
        <v>257</v>
      </c>
      <c r="D200" s="87">
        <v>0.93219394583370041</v>
      </c>
      <c r="E200" s="88">
        <v>0.89969793099769935</v>
      </c>
      <c r="F200" s="88">
        <v>0.87783267686821986</v>
      </c>
      <c r="G200" s="88">
        <v>0.87232109317784745</v>
      </c>
      <c r="H200" s="88">
        <v>0.89875958568159287</v>
      </c>
      <c r="I200" s="88">
        <v>0.82801710222961211</v>
      </c>
      <c r="J200" s="88">
        <v>0.88417658562860901</v>
      </c>
      <c r="K200" s="89">
        <v>0.89982415652833225</v>
      </c>
      <c r="L200" s="172">
        <v>7.0928230769456135</v>
      </c>
      <c r="M200" s="90">
        <v>0.88660288461820169</v>
      </c>
    </row>
    <row r="201" spans="1:13" ht="16.8">
      <c r="A201" s="86">
        <v>16</v>
      </c>
      <c r="B201" s="75" t="s">
        <v>258</v>
      </c>
      <c r="D201" s="87">
        <v>10.271521977223172</v>
      </c>
      <c r="E201" s="88">
        <v>10.215919391797028</v>
      </c>
      <c r="F201" s="88">
        <v>10.262337776682289</v>
      </c>
      <c r="G201" s="88">
        <v>10.410869126447524</v>
      </c>
      <c r="H201" s="88">
        <v>10.361609623254074</v>
      </c>
      <c r="I201" s="88">
        <v>10.414659827475258</v>
      </c>
      <c r="J201" s="88">
        <v>10.57012487699259</v>
      </c>
      <c r="K201" s="89">
        <v>10.528114695563952</v>
      </c>
      <c r="L201" s="172">
        <v>83.035157295435894</v>
      </c>
      <c r="M201" s="90">
        <v>10.379394661929487</v>
      </c>
    </row>
    <row r="202" spans="1:13" ht="16.8">
      <c r="A202" s="86">
        <v>17</v>
      </c>
      <c r="B202" s="75" t="s">
        <v>259</v>
      </c>
      <c r="D202" s="87">
        <v>2.0016092127672556</v>
      </c>
      <c r="E202" s="88">
        <v>0.82522992535408668</v>
      </c>
      <c r="F202" s="88">
        <v>0.15069905537749376</v>
      </c>
      <c r="G202" s="88">
        <v>0.12384729257669767</v>
      </c>
      <c r="H202" s="88">
        <v>1.0117778450783115</v>
      </c>
      <c r="I202" s="88">
        <v>0</v>
      </c>
      <c r="J202" s="88">
        <v>0.94578803093084196</v>
      </c>
      <c r="K202" s="89">
        <v>0.90950595778206589</v>
      </c>
      <c r="L202" s="172">
        <v>5.9684573198667525</v>
      </c>
      <c r="M202" s="90">
        <v>0.74605716498334407</v>
      </c>
    </row>
    <row r="203" spans="1:13" ht="16.8">
      <c r="A203" s="80"/>
      <c r="B203" s="81" t="s">
        <v>260</v>
      </c>
      <c r="D203" s="91"/>
      <c r="E203" s="92"/>
      <c r="F203" s="92"/>
      <c r="G203" s="92"/>
      <c r="H203" s="92"/>
      <c r="I203" s="92"/>
      <c r="J203" s="92"/>
      <c r="K203" s="93"/>
      <c r="L203" s="184"/>
      <c r="M203" s="94"/>
    </row>
    <row r="204" spans="1:13" ht="16.8">
      <c r="A204" s="86">
        <v>18</v>
      </c>
      <c r="B204" s="75" t="s">
        <v>252</v>
      </c>
      <c r="D204" s="87">
        <v>86.370109148120193</v>
      </c>
      <c r="E204" s="88">
        <v>82.271051523114394</v>
      </c>
      <c r="F204" s="88">
        <v>84.96984773053579</v>
      </c>
      <c r="G204" s="88">
        <v>93.335520317127802</v>
      </c>
      <c r="H204" s="88">
        <v>100.76746883702494</v>
      </c>
      <c r="I204" s="88">
        <v>118.65713230566028</v>
      </c>
      <c r="J204" s="88">
        <v>99.610399992067187</v>
      </c>
      <c r="K204" s="89">
        <v>98.357050193333251</v>
      </c>
      <c r="L204" s="172">
        <v>764.33858004698391</v>
      </c>
      <c r="M204" s="90">
        <v>95.542322505872988</v>
      </c>
    </row>
    <row r="205" spans="1:13" ht="16.8">
      <c r="A205" s="86">
        <v>19</v>
      </c>
      <c r="B205" s="75" t="s">
        <v>253</v>
      </c>
      <c r="D205" s="87">
        <v>0</v>
      </c>
      <c r="E205" s="88">
        <v>0</v>
      </c>
      <c r="F205" s="88">
        <v>0</v>
      </c>
      <c r="G205" s="88">
        <v>0</v>
      </c>
      <c r="H205" s="88">
        <v>0</v>
      </c>
      <c r="I205" s="88">
        <v>0</v>
      </c>
      <c r="J205" s="88">
        <v>0</v>
      </c>
      <c r="K205" s="89">
        <v>0</v>
      </c>
      <c r="L205" s="172">
        <v>0</v>
      </c>
      <c r="M205" s="90">
        <v>0</v>
      </c>
    </row>
    <row r="206" spans="1:13" ht="16.8">
      <c r="A206" s="86">
        <v>20</v>
      </c>
      <c r="B206" s="75" t="s">
        <v>254</v>
      </c>
      <c r="D206" s="87">
        <v>15.645321353364194</v>
      </c>
      <c r="E206" s="88">
        <v>19.379438488448173</v>
      </c>
      <c r="F206" s="88">
        <v>22.522537030280255</v>
      </c>
      <c r="G206" s="88">
        <v>25.390512787208571</v>
      </c>
      <c r="H206" s="88">
        <v>29.084392784091335</v>
      </c>
      <c r="I206" s="88">
        <v>32.146968818256298</v>
      </c>
      <c r="J206" s="88">
        <v>35.85828336352774</v>
      </c>
      <c r="K206" s="89">
        <v>37.234294434692401</v>
      </c>
      <c r="L206" s="172">
        <v>217.26174905986898</v>
      </c>
      <c r="M206" s="90">
        <v>27.157718632483622</v>
      </c>
    </row>
    <row r="207" spans="1:13" ht="16.8">
      <c r="A207" s="86">
        <v>21</v>
      </c>
      <c r="B207" s="75" t="s">
        <v>255</v>
      </c>
      <c r="D207" s="87">
        <v>3.7530776191764206</v>
      </c>
      <c r="E207" s="88">
        <v>4.3796312919027285</v>
      </c>
      <c r="F207" s="88">
        <v>4.7656279571464415</v>
      </c>
      <c r="G207" s="88">
        <v>5.0922261813572183</v>
      </c>
      <c r="H207" s="88">
        <v>5.3971597482174136</v>
      </c>
      <c r="I207" s="88">
        <v>5.6157477396689517</v>
      </c>
      <c r="J207" s="88">
        <v>5.6457652214775793</v>
      </c>
      <c r="K207" s="89">
        <v>5.2704229266472593</v>
      </c>
      <c r="L207" s="172">
        <v>39.919658685594008</v>
      </c>
      <c r="M207" s="90">
        <v>4.989957335699251</v>
      </c>
    </row>
    <row r="208" spans="1:13" ht="16.8">
      <c r="A208" s="86">
        <v>22</v>
      </c>
      <c r="B208" s="75" t="s">
        <v>256</v>
      </c>
      <c r="D208" s="87">
        <v>0</v>
      </c>
      <c r="E208" s="88">
        <v>0</v>
      </c>
      <c r="F208" s="88">
        <v>0</v>
      </c>
      <c r="G208" s="88">
        <v>0</v>
      </c>
      <c r="H208" s="88">
        <v>0</v>
      </c>
      <c r="I208" s="88">
        <v>0</v>
      </c>
      <c r="J208" s="88">
        <v>0</v>
      </c>
      <c r="K208" s="89">
        <v>0</v>
      </c>
      <c r="L208" s="172">
        <v>0</v>
      </c>
      <c r="M208" s="90">
        <v>0</v>
      </c>
    </row>
    <row r="209" spans="1:13" ht="16.8">
      <c r="A209" s="86">
        <v>23</v>
      </c>
      <c r="B209" s="75" t="s">
        <v>257</v>
      </c>
      <c r="D209" s="87">
        <v>0.93219394583370063</v>
      </c>
      <c r="E209" s="88">
        <v>0.89969793099769957</v>
      </c>
      <c r="F209" s="88">
        <v>0.87783267686821997</v>
      </c>
      <c r="G209" s="88">
        <v>0.87232109317784756</v>
      </c>
      <c r="H209" s="88">
        <v>0.89875958568159287</v>
      </c>
      <c r="I209" s="88">
        <v>0.82801710222961222</v>
      </c>
      <c r="J209" s="88">
        <v>0.88417658562860901</v>
      </c>
      <c r="K209" s="89">
        <v>0.89982415652833247</v>
      </c>
      <c r="L209" s="172">
        <v>7.0928230769456135</v>
      </c>
      <c r="M209" s="90">
        <v>0.88660288461820169</v>
      </c>
    </row>
    <row r="210" spans="1:13" ht="16.8">
      <c r="A210" s="86">
        <v>24</v>
      </c>
      <c r="B210" s="75" t="s">
        <v>258</v>
      </c>
      <c r="D210" s="87">
        <v>12.238898857271282</v>
      </c>
      <c r="E210" s="88">
        <v>12.269320008809279</v>
      </c>
      <c r="F210" s="88">
        <v>13.501323356904841</v>
      </c>
      <c r="G210" s="88">
        <v>13.736881640130386</v>
      </c>
      <c r="H210" s="88">
        <v>13.774963236275942</v>
      </c>
      <c r="I210" s="88">
        <v>12.491536460486081</v>
      </c>
      <c r="J210" s="88">
        <v>12.727107541597944</v>
      </c>
      <c r="K210" s="89">
        <v>12.756726803388529</v>
      </c>
      <c r="L210" s="172">
        <v>103.49675790486428</v>
      </c>
      <c r="M210" s="90">
        <v>12.937094738108035</v>
      </c>
    </row>
    <row r="211" spans="1:13" ht="16.8">
      <c r="A211" s="86">
        <v>25</v>
      </c>
      <c r="B211" s="75" t="s">
        <v>259</v>
      </c>
      <c r="D211" s="87">
        <v>1.4521935428001387</v>
      </c>
      <c r="E211" s="88">
        <v>1.1040587177529837</v>
      </c>
      <c r="F211" s="88">
        <v>1.2701251520307342</v>
      </c>
      <c r="G211" s="88">
        <v>2.0000233568591961</v>
      </c>
      <c r="H211" s="88">
        <v>2.4500877169084161</v>
      </c>
      <c r="I211" s="88">
        <v>2.9326183892249467</v>
      </c>
      <c r="J211" s="88">
        <v>1.4521025504911933</v>
      </c>
      <c r="K211" s="89">
        <v>1.1326370867901303</v>
      </c>
      <c r="L211" s="172">
        <v>13.793846512857739</v>
      </c>
      <c r="M211" s="90">
        <v>1.7242308141072173</v>
      </c>
    </row>
    <row r="212" spans="1:13" ht="16.8">
      <c r="A212" s="80"/>
      <c r="B212" s="81" t="s">
        <v>261</v>
      </c>
      <c r="D212" s="91"/>
      <c r="E212" s="92"/>
      <c r="F212" s="92"/>
      <c r="G212" s="92"/>
      <c r="H212" s="92"/>
      <c r="I212" s="92"/>
      <c r="J212" s="92"/>
      <c r="K212" s="93"/>
      <c r="L212" s="91"/>
      <c r="M212" s="184"/>
    </row>
    <row r="213" spans="1:13" ht="16.8">
      <c r="A213" s="86">
        <v>26</v>
      </c>
      <c r="B213" s="75" t="s">
        <v>262</v>
      </c>
      <c r="D213" s="87">
        <v>113.97553115199239</v>
      </c>
      <c r="E213" s="88">
        <v>113.53286514020465</v>
      </c>
      <c r="F213" s="88">
        <v>114.35655675002086</v>
      </c>
      <c r="G213" s="88">
        <v>116.7054339196653</v>
      </c>
      <c r="H213" s="88">
        <v>122.83308772040758</v>
      </c>
      <c r="I213" s="88">
        <v>117.52358286418433</v>
      </c>
      <c r="J213" s="88">
        <v>124.73063970685706</v>
      </c>
      <c r="K213" s="89">
        <v>126.19115267024478</v>
      </c>
      <c r="L213" s="172">
        <v>949.84884992357684</v>
      </c>
      <c r="M213" s="90">
        <v>118.7311062404471</v>
      </c>
    </row>
    <row r="214" spans="1:13" ht="16.8">
      <c r="A214" s="86">
        <v>27</v>
      </c>
      <c r="B214" s="75" t="s">
        <v>312</v>
      </c>
      <c r="D214" s="87">
        <v>0</v>
      </c>
      <c r="E214" s="88">
        <v>3.7106038241035293</v>
      </c>
      <c r="F214" s="88">
        <v>6.0364438354306174</v>
      </c>
      <c r="G214" s="88">
        <v>20.850581449170846</v>
      </c>
      <c r="H214" s="88">
        <v>9.1750949396110855</v>
      </c>
      <c r="I214" s="88">
        <v>30.084347672795616</v>
      </c>
      <c r="J214" s="88">
        <v>97.037318863457813</v>
      </c>
      <c r="K214" s="88">
        <v>36.303791621058082</v>
      </c>
      <c r="L214" s="172">
        <v>203.1981822056276</v>
      </c>
      <c r="M214" s="90">
        <v>25.39977277570345</v>
      </c>
    </row>
    <row r="215" spans="1:13" ht="16.8">
      <c r="A215" s="86">
        <v>28</v>
      </c>
      <c r="B215" s="75" t="s">
        <v>264</v>
      </c>
      <c r="D215" s="96">
        <v>113.97553115199239</v>
      </c>
      <c r="E215" s="88">
        <v>117.24346896430818</v>
      </c>
      <c r="F215" s="88">
        <v>120.39300058545147</v>
      </c>
      <c r="G215" s="88">
        <v>137.55601536883614</v>
      </c>
      <c r="H215" s="88">
        <v>132.00818266001866</v>
      </c>
      <c r="I215" s="88">
        <v>147.60793053697995</v>
      </c>
      <c r="J215" s="88">
        <v>221.76795857031487</v>
      </c>
      <c r="K215" s="88">
        <v>162.49494429130286</v>
      </c>
      <c r="L215" s="172">
        <v>1153.0470321292046</v>
      </c>
      <c r="M215" s="90">
        <v>144.13087901615057</v>
      </c>
    </row>
    <row r="216" spans="1:13" ht="16.8">
      <c r="A216" s="86">
        <v>29</v>
      </c>
      <c r="B216" s="75" t="s">
        <v>168</v>
      </c>
      <c r="D216" s="96">
        <v>0</v>
      </c>
      <c r="E216" s="88">
        <v>0</v>
      </c>
      <c r="F216" s="88">
        <v>0</v>
      </c>
      <c r="G216" s="88">
        <v>0</v>
      </c>
      <c r="H216" s="88">
        <v>0</v>
      </c>
      <c r="I216" s="88">
        <v>0</v>
      </c>
      <c r="J216" s="88">
        <v>0</v>
      </c>
      <c r="K216" s="88">
        <v>0</v>
      </c>
      <c r="L216" s="172">
        <v>0</v>
      </c>
      <c r="M216" s="90">
        <v>0</v>
      </c>
    </row>
    <row r="217" spans="1:13" ht="16.8">
      <c r="A217" s="86">
        <v>30</v>
      </c>
      <c r="B217" s="75" t="s">
        <v>265</v>
      </c>
      <c r="D217" s="96">
        <v>0</v>
      </c>
      <c r="E217" s="88">
        <v>0</v>
      </c>
      <c r="F217" s="88">
        <v>0</v>
      </c>
      <c r="G217" s="88">
        <v>0</v>
      </c>
      <c r="H217" s="88">
        <v>0</v>
      </c>
      <c r="I217" s="88">
        <v>0</v>
      </c>
      <c r="J217" s="88">
        <v>0</v>
      </c>
      <c r="K217" s="88">
        <v>0</v>
      </c>
      <c r="L217" s="172">
        <v>0</v>
      </c>
      <c r="M217" s="90">
        <v>0</v>
      </c>
    </row>
    <row r="218" spans="1:13" ht="16.8">
      <c r="A218" s="86">
        <v>31</v>
      </c>
      <c r="B218" s="75" t="s">
        <v>266</v>
      </c>
      <c r="D218" s="96">
        <v>0</v>
      </c>
      <c r="E218" s="88">
        <v>0</v>
      </c>
      <c r="F218" s="88">
        <v>0</v>
      </c>
      <c r="G218" s="88">
        <v>0</v>
      </c>
      <c r="H218" s="88">
        <v>0</v>
      </c>
      <c r="I218" s="88">
        <v>0</v>
      </c>
      <c r="J218" s="88">
        <v>0</v>
      </c>
      <c r="K218" s="88">
        <v>0</v>
      </c>
      <c r="L218" s="172">
        <v>0</v>
      </c>
      <c r="M218" s="90">
        <v>0</v>
      </c>
    </row>
    <row r="219" spans="1:13" ht="16.8">
      <c r="A219" s="86">
        <v>32</v>
      </c>
      <c r="B219" s="75" t="s">
        <v>267</v>
      </c>
      <c r="D219" s="96">
        <v>113.97553115199239</v>
      </c>
      <c r="E219" s="88">
        <v>117.24346896430818</v>
      </c>
      <c r="F219" s="88">
        <v>120.39300058545147</v>
      </c>
      <c r="G219" s="88">
        <v>137.55601536883614</v>
      </c>
      <c r="H219" s="88">
        <v>132.00818266001866</v>
      </c>
      <c r="I219" s="88">
        <v>147.60793053697995</v>
      </c>
      <c r="J219" s="88">
        <v>221.76795857031487</v>
      </c>
      <c r="K219" s="88">
        <v>162.49494429130286</v>
      </c>
      <c r="L219" s="172">
        <v>1153.0470321292046</v>
      </c>
      <c r="M219" s="90">
        <v>144.13087901615057</v>
      </c>
    </row>
    <row r="220" spans="1:13" ht="16.8">
      <c r="A220" s="80"/>
      <c r="B220" s="81" t="s">
        <v>268</v>
      </c>
      <c r="D220" s="91"/>
      <c r="E220" s="92"/>
      <c r="F220" s="92"/>
      <c r="G220" s="92"/>
      <c r="H220" s="92"/>
      <c r="I220" s="92"/>
      <c r="J220" s="92"/>
      <c r="K220" s="93"/>
      <c r="L220" s="91"/>
      <c r="M220" s="184"/>
    </row>
    <row r="221" spans="1:13" ht="16.8">
      <c r="A221" s="86">
        <f>A219+1</f>
        <v>33</v>
      </c>
      <c r="B221" s="75" t="s">
        <v>268</v>
      </c>
      <c r="D221" s="87">
        <v>120.39179446656594</v>
      </c>
      <c r="E221" s="88">
        <v>120.30319796102525</v>
      </c>
      <c r="F221" s="88">
        <v>127.90729390376627</v>
      </c>
      <c r="G221" s="88">
        <v>140.42748537586104</v>
      </c>
      <c r="H221" s="88">
        <v>152.37283190819963</v>
      </c>
      <c r="I221" s="88">
        <v>172.6720208155262</v>
      </c>
      <c r="J221" s="88">
        <v>156.17783525479024</v>
      </c>
      <c r="K221" s="89">
        <v>155.65095560137988</v>
      </c>
      <c r="L221" s="172">
        <v>1145.9034152871145</v>
      </c>
      <c r="M221" s="90">
        <v>143.23792691088931</v>
      </c>
    </row>
    <row r="222" spans="1:13" ht="16.8">
      <c r="A222" s="86">
        <f>+A221+1</f>
        <v>34</v>
      </c>
      <c r="B222" s="75" t="s">
        <v>269</v>
      </c>
      <c r="D222" s="87">
        <v>120.39179446656594</v>
      </c>
      <c r="E222" s="88">
        <v>120.30319795974431</v>
      </c>
      <c r="F222" s="88">
        <v>127.90763025461563</v>
      </c>
      <c r="G222" s="88">
        <v>139.56445858031933</v>
      </c>
      <c r="H222" s="88">
        <v>151.50475187929985</v>
      </c>
      <c r="I222" s="88">
        <v>169.47659991499475</v>
      </c>
      <c r="J222" s="88">
        <v>154.81547281318657</v>
      </c>
      <c r="K222" s="89">
        <v>154.67957007559119</v>
      </c>
      <c r="L222" s="172">
        <v>1138.6434759443177</v>
      </c>
      <c r="M222" s="90">
        <v>142.33043449303972</v>
      </c>
    </row>
    <row r="223" spans="1:13" ht="16.8">
      <c r="A223" s="80"/>
      <c r="B223" s="81" t="s">
        <v>270</v>
      </c>
      <c r="D223" s="91"/>
      <c r="E223" s="92"/>
      <c r="F223" s="92"/>
      <c r="G223" s="92"/>
      <c r="H223" s="92"/>
      <c r="I223" s="92"/>
      <c r="J223" s="92"/>
      <c r="K223" s="93"/>
      <c r="L223" s="91"/>
      <c r="M223" s="184"/>
    </row>
    <row r="224" spans="1:13" ht="16.8">
      <c r="A224" s="86">
        <f>A222+1</f>
        <v>35</v>
      </c>
      <c r="B224" s="98">
        <v>41729</v>
      </c>
      <c r="D224" s="96">
        <v>113.97553115199239</v>
      </c>
      <c r="E224" s="88">
        <v>113.53286514020465</v>
      </c>
      <c r="F224" s="88">
        <v>114.35655675002086</v>
      </c>
      <c r="G224" s="88">
        <v>116.7054339196653</v>
      </c>
      <c r="H224" s="88">
        <v>122.83308772040758</v>
      </c>
      <c r="I224" s="88">
        <v>117.52358286418433</v>
      </c>
      <c r="J224" s="88">
        <v>124.73063970685706</v>
      </c>
      <c r="K224" s="88">
        <v>126.19115267024478</v>
      </c>
      <c r="L224" s="172">
        <v>949.84884992357684</v>
      </c>
      <c r="M224" s="90">
        <v>118.7311062404471</v>
      </c>
    </row>
    <row r="225" spans="1:13" ht="16.8">
      <c r="A225" s="86">
        <f>+A224+1</f>
        <v>36</v>
      </c>
      <c r="B225" s="98">
        <v>42094</v>
      </c>
      <c r="D225" s="96">
        <v>115.53670799497685</v>
      </c>
      <c r="E225" s="88">
        <v>115.61122735143105</v>
      </c>
      <c r="F225" s="88">
        <v>116.47439523516735</v>
      </c>
      <c r="G225" s="88">
        <v>118.86672348468946</v>
      </c>
      <c r="H225" s="88">
        <v>125.04587518183425</v>
      </c>
      <c r="I225" s="88">
        <v>119.71032959263032</v>
      </c>
      <c r="J225" s="88">
        <v>127.14773990713464</v>
      </c>
      <c r="K225" s="88">
        <v>128.59194647511799</v>
      </c>
      <c r="L225" s="172">
        <v>966.98494522298199</v>
      </c>
      <c r="M225" s="90">
        <v>120.87311815287275</v>
      </c>
    </row>
    <row r="226" spans="1:13" ht="16.8">
      <c r="A226" s="86">
        <f>+A225+1</f>
        <v>37</v>
      </c>
      <c r="B226" s="98">
        <v>42460</v>
      </c>
      <c r="D226" s="96">
        <v>114.12213945854668</v>
      </c>
      <c r="E226" s="88">
        <v>117.48816120419283</v>
      </c>
      <c r="F226" s="88">
        <v>119.97738821427971</v>
      </c>
      <c r="G226" s="88">
        <v>120.81569999206685</v>
      </c>
      <c r="H226" s="88">
        <v>126.97143119028321</v>
      </c>
      <c r="I226" s="88">
        <v>121.62192724489044</v>
      </c>
      <c r="J226" s="88">
        <v>129.05222106199386</v>
      </c>
      <c r="K226" s="88">
        <v>130.49285587456652</v>
      </c>
      <c r="L226" s="172">
        <v>980.54182424082012</v>
      </c>
      <c r="M226" s="90">
        <v>122.56772803010251</v>
      </c>
    </row>
    <row r="227" spans="1:13" ht="16.8">
      <c r="A227" s="86">
        <f>A226+1</f>
        <v>38</v>
      </c>
      <c r="B227" s="98">
        <v>42825</v>
      </c>
      <c r="D227" s="96">
        <v>119.69994390743108</v>
      </c>
      <c r="E227" s="88">
        <v>118.58883728716589</v>
      </c>
      <c r="F227" s="88">
        <v>124.24009563853161</v>
      </c>
      <c r="G227" s="88">
        <v>125.55563156558647</v>
      </c>
      <c r="H227" s="88">
        <v>131.81503475003785</v>
      </c>
      <c r="I227" s="88">
        <v>126.68543752505576</v>
      </c>
      <c r="J227" s="88">
        <v>134.38616451554529</v>
      </c>
      <c r="K227" s="88">
        <v>135.95691657439207</v>
      </c>
      <c r="L227" s="172">
        <v>1016.9280617637459</v>
      </c>
      <c r="M227" s="90">
        <v>127.11600772046823</v>
      </c>
    </row>
    <row r="228" spans="1:13" ht="16.8">
      <c r="A228" s="86">
        <f>A227+1</f>
        <v>39</v>
      </c>
      <c r="B228" s="98">
        <v>43190</v>
      </c>
      <c r="D228" s="96">
        <v>119.69211564141293</v>
      </c>
      <c r="E228" s="88">
        <v>118.58202939873651</v>
      </c>
      <c r="F228" s="88">
        <v>124.66581524861344</v>
      </c>
      <c r="G228" s="88">
        <v>125.48039851967327</v>
      </c>
      <c r="H228" s="88">
        <v>131.64069004089222</v>
      </c>
      <c r="I228" s="88">
        <v>126.52192213062875</v>
      </c>
      <c r="J228" s="88">
        <v>134.23014729630094</v>
      </c>
      <c r="K228" s="88">
        <v>135.80588783982361</v>
      </c>
      <c r="L228" s="172">
        <v>1016.6190061160817</v>
      </c>
      <c r="M228" s="90">
        <v>127.07737576451021</v>
      </c>
    </row>
    <row r="229" spans="1:13" ht="16.8">
      <c r="A229" s="86">
        <f>A228+1</f>
        <v>40</v>
      </c>
      <c r="B229" s="98">
        <v>43555</v>
      </c>
      <c r="D229" s="96">
        <v>120.39173696994975</v>
      </c>
      <c r="E229" s="88">
        <v>120.30089481548148</v>
      </c>
      <c r="F229" s="88">
        <v>126.51106656737041</v>
      </c>
      <c r="G229" s="88">
        <v>136.3704967271002</v>
      </c>
      <c r="H229" s="88">
        <v>134.28594503047006</v>
      </c>
      <c r="I229" s="88">
        <v>128.04679365575933</v>
      </c>
      <c r="J229" s="88">
        <v>135.23275716088972</v>
      </c>
      <c r="K229" s="88">
        <v>136.91508042247841</v>
      </c>
      <c r="L229" s="172">
        <v>1038.0547713494993</v>
      </c>
      <c r="M229" s="90">
        <v>129.75684641868742</v>
      </c>
    </row>
    <row r="230" spans="1:13" ht="16.8">
      <c r="A230" s="86">
        <f>A229+1</f>
        <v>41</v>
      </c>
      <c r="B230" s="98">
        <v>43921</v>
      </c>
      <c r="D230" s="96">
        <v>120.39179446656594</v>
      </c>
      <c r="E230" s="88">
        <v>120.30319795974431</v>
      </c>
      <c r="F230" s="88">
        <v>127.90763025461563</v>
      </c>
      <c r="G230" s="88">
        <v>139.56445858031933</v>
      </c>
      <c r="H230" s="88">
        <v>151.50475187929985</v>
      </c>
      <c r="I230" s="88">
        <v>169.47659991499475</v>
      </c>
      <c r="J230" s="88">
        <v>154.81547281318657</v>
      </c>
      <c r="K230" s="88">
        <v>154.67957007559119</v>
      </c>
      <c r="L230" s="172">
        <v>1138.6434759443177</v>
      </c>
      <c r="M230" s="90">
        <v>142.33043449303972</v>
      </c>
    </row>
    <row r="231" spans="1:13" ht="17.399999999999999" thickBot="1">
      <c r="A231" s="103">
        <f>A230+1</f>
        <v>42</v>
      </c>
      <c r="B231" s="211">
        <v>44286</v>
      </c>
      <c r="D231" s="214">
        <v>120.39179446656594</v>
      </c>
      <c r="E231" s="106">
        <v>120.30319796102525</v>
      </c>
      <c r="F231" s="106">
        <v>127.90729390376627</v>
      </c>
      <c r="G231" s="106">
        <v>140.42748537586104</v>
      </c>
      <c r="H231" s="106">
        <v>152.37283190819963</v>
      </c>
      <c r="I231" s="106">
        <v>172.6720208155262</v>
      </c>
      <c r="J231" s="106">
        <v>156.17783525479024</v>
      </c>
      <c r="K231" s="106">
        <v>155.65095560137988</v>
      </c>
      <c r="L231" s="215">
        <v>1145.9034152871145</v>
      </c>
      <c r="M231" s="108">
        <v>143.23792691088931</v>
      </c>
    </row>
    <row r="232" spans="1:13" ht="16.8">
      <c r="A232" s="80"/>
      <c r="B232" s="81" t="s">
        <v>313</v>
      </c>
      <c r="D232" s="91">
        <v>0</v>
      </c>
      <c r="E232" s="92">
        <v>0</v>
      </c>
      <c r="F232" s="92">
        <v>0</v>
      </c>
      <c r="G232" s="92">
        <v>0</v>
      </c>
      <c r="H232" s="92">
        <v>0</v>
      </c>
      <c r="I232" s="97">
        <v>0</v>
      </c>
      <c r="J232" s="92">
        <v>0</v>
      </c>
      <c r="K232" s="93">
        <v>0</v>
      </c>
      <c r="L232" s="95">
        <v>0</v>
      </c>
      <c r="M232" s="184">
        <v>0</v>
      </c>
    </row>
    <row r="233" spans="1:13" ht="16.8">
      <c r="A233" s="86">
        <f>A231+1</f>
        <v>43</v>
      </c>
      <c r="B233" s="98">
        <v>41729</v>
      </c>
      <c r="D233" s="96">
        <v>0</v>
      </c>
      <c r="E233" s="88">
        <v>0</v>
      </c>
      <c r="F233" s="88">
        <v>0</v>
      </c>
      <c r="G233" s="88">
        <v>0</v>
      </c>
      <c r="H233" s="88">
        <v>0</v>
      </c>
      <c r="I233" s="88">
        <v>0</v>
      </c>
      <c r="J233" s="88">
        <v>0</v>
      </c>
      <c r="K233" s="89">
        <v>0</v>
      </c>
      <c r="L233" s="90">
        <v>0</v>
      </c>
      <c r="M233" s="90">
        <v>0</v>
      </c>
    </row>
    <row r="234" spans="1:13" ht="16.8">
      <c r="A234" s="86">
        <f>+A233+1</f>
        <v>44</v>
      </c>
      <c r="B234" s="98">
        <v>42094</v>
      </c>
      <c r="D234" s="96">
        <v>0</v>
      </c>
      <c r="E234" s="88">
        <v>3.7106038241035293</v>
      </c>
      <c r="F234" s="88">
        <v>0</v>
      </c>
      <c r="G234" s="88">
        <v>0</v>
      </c>
      <c r="H234" s="88">
        <v>0</v>
      </c>
      <c r="I234" s="88">
        <v>0</v>
      </c>
      <c r="J234" s="88">
        <v>0</v>
      </c>
      <c r="K234" s="89">
        <v>0</v>
      </c>
      <c r="L234" s="90">
        <v>3.7106038241035293</v>
      </c>
      <c r="M234" s="90">
        <v>0</v>
      </c>
    </row>
    <row r="235" spans="1:13" ht="16.8">
      <c r="A235" s="86">
        <f>+A234+1</f>
        <v>45</v>
      </c>
      <c r="B235" s="98">
        <v>42460</v>
      </c>
      <c r="D235" s="96">
        <v>0</v>
      </c>
      <c r="E235" s="88">
        <v>3.7106038241035293</v>
      </c>
      <c r="F235" s="88">
        <v>6.0364438354306174</v>
      </c>
      <c r="G235" s="88">
        <v>0</v>
      </c>
      <c r="H235" s="88">
        <v>0</v>
      </c>
      <c r="I235" s="88">
        <v>0</v>
      </c>
      <c r="J235" s="88">
        <v>0</v>
      </c>
      <c r="K235" s="89">
        <v>0</v>
      </c>
      <c r="L235" s="90">
        <v>9.7470476595341466</v>
      </c>
      <c r="M235" s="90">
        <v>0</v>
      </c>
    </row>
    <row r="236" spans="1:13" ht="16.8">
      <c r="A236" s="86">
        <f>A235+1</f>
        <v>46</v>
      </c>
      <c r="B236" s="98">
        <v>42825</v>
      </c>
      <c r="D236" s="96">
        <v>0</v>
      </c>
      <c r="E236" s="88">
        <v>3.7106038241035293</v>
      </c>
      <c r="F236" s="88">
        <v>6.0364438354306174</v>
      </c>
      <c r="G236" s="88">
        <v>20.850581449170846</v>
      </c>
      <c r="H236" s="88">
        <v>0</v>
      </c>
      <c r="I236" s="88">
        <v>0</v>
      </c>
      <c r="J236" s="88">
        <v>0</v>
      </c>
      <c r="K236" s="89">
        <v>0</v>
      </c>
      <c r="L236" s="90">
        <v>30.597629108704993</v>
      </c>
      <c r="M236" s="90">
        <v>0</v>
      </c>
    </row>
    <row r="237" spans="1:13" ht="16.8">
      <c r="A237" s="86">
        <f>A236+1</f>
        <v>47</v>
      </c>
      <c r="B237" s="98">
        <v>43190</v>
      </c>
      <c r="D237" s="96">
        <v>0</v>
      </c>
      <c r="E237" s="88">
        <v>3.7106038241035293</v>
      </c>
      <c r="F237" s="88">
        <v>6.0364438354306174</v>
      </c>
      <c r="G237" s="88">
        <v>20.850581449170846</v>
      </c>
      <c r="H237" s="88">
        <v>9.1750949396110855</v>
      </c>
      <c r="I237" s="88">
        <v>0</v>
      </c>
      <c r="J237" s="88">
        <v>0</v>
      </c>
      <c r="K237" s="89">
        <v>0</v>
      </c>
      <c r="L237" s="90">
        <v>39.772724048316078</v>
      </c>
      <c r="M237" s="90">
        <v>0</v>
      </c>
    </row>
    <row r="238" spans="1:13" ht="16.8">
      <c r="A238" s="86">
        <f>A237+1</f>
        <v>48</v>
      </c>
      <c r="B238" s="98">
        <v>43555</v>
      </c>
      <c r="D238" s="96">
        <v>0</v>
      </c>
      <c r="E238" s="88">
        <v>3.7106038241035293</v>
      </c>
      <c r="F238" s="88">
        <v>6.0364438354306174</v>
      </c>
      <c r="G238" s="88">
        <v>20.850581449170846</v>
      </c>
      <c r="H238" s="88">
        <v>9.1750949396110855</v>
      </c>
      <c r="I238" s="88">
        <v>30.084347672795616</v>
      </c>
      <c r="J238" s="88">
        <v>0</v>
      </c>
      <c r="K238" s="89">
        <v>0</v>
      </c>
      <c r="L238" s="90">
        <v>69.857071721111694</v>
      </c>
      <c r="M238" s="90">
        <v>0</v>
      </c>
    </row>
    <row r="239" spans="1:13" ht="16.8">
      <c r="A239" s="86">
        <f>A238+1</f>
        <v>49</v>
      </c>
      <c r="B239" s="98">
        <v>43921</v>
      </c>
      <c r="D239" s="96">
        <v>0</v>
      </c>
      <c r="E239" s="88">
        <v>3.7106038241035293</v>
      </c>
      <c r="F239" s="88">
        <v>6.0364438354306174</v>
      </c>
      <c r="G239" s="88">
        <v>20.850581449170846</v>
      </c>
      <c r="H239" s="88">
        <v>9.1750949396110855</v>
      </c>
      <c r="I239" s="88">
        <v>30.084347672795616</v>
      </c>
      <c r="J239" s="88">
        <v>97.037318863457813</v>
      </c>
      <c r="K239" s="89">
        <v>0</v>
      </c>
      <c r="L239" s="90">
        <v>166.89439058456952</v>
      </c>
      <c r="M239" s="90">
        <v>0</v>
      </c>
    </row>
    <row r="240" spans="1:13" ht="16.8">
      <c r="A240" s="86">
        <f>A239+1</f>
        <v>50</v>
      </c>
      <c r="B240" s="98">
        <v>44286</v>
      </c>
      <c r="D240" s="96">
        <v>0</v>
      </c>
      <c r="E240" s="88">
        <v>3.7106038241035293</v>
      </c>
      <c r="F240" s="88">
        <v>6.0364438354306174</v>
      </c>
      <c r="G240" s="88">
        <v>20.850581449170846</v>
      </c>
      <c r="H240" s="88">
        <v>9.1750949396110855</v>
      </c>
      <c r="I240" s="88">
        <v>30.084347672795616</v>
      </c>
      <c r="J240" s="88">
        <v>97.037318863457813</v>
      </c>
      <c r="K240" s="89">
        <v>36.303791621058082</v>
      </c>
      <c r="L240" s="90">
        <v>203.1981822056276</v>
      </c>
      <c r="M240" s="90">
        <v>0</v>
      </c>
    </row>
    <row r="241" spans="1:13" ht="16.8">
      <c r="A241" s="80"/>
      <c r="B241" s="81" t="s">
        <v>314</v>
      </c>
      <c r="D241" s="91">
        <v>0</v>
      </c>
      <c r="E241" s="92">
        <v>0</v>
      </c>
      <c r="F241" s="92">
        <v>0</v>
      </c>
      <c r="G241" s="92">
        <v>0</v>
      </c>
      <c r="H241" s="92">
        <v>0</v>
      </c>
      <c r="I241" s="97">
        <v>0</v>
      </c>
      <c r="J241" s="92">
        <v>0</v>
      </c>
      <c r="K241" s="93">
        <v>0</v>
      </c>
      <c r="L241" s="91">
        <v>0</v>
      </c>
      <c r="M241" s="184">
        <v>0</v>
      </c>
    </row>
    <row r="242" spans="1:13" ht="16.8">
      <c r="A242" s="86">
        <f>A240+1</f>
        <v>51</v>
      </c>
      <c r="B242" s="75" t="s">
        <v>273</v>
      </c>
      <c r="D242" s="87">
        <v>82.44898108911292</v>
      </c>
      <c r="E242" s="88">
        <v>98.818395575422585</v>
      </c>
      <c r="F242" s="88">
        <v>110.06069185095706</v>
      </c>
      <c r="G242" s="88">
        <v>120.44054355149521</v>
      </c>
      <c r="H242" s="88">
        <v>130.61858054737206</v>
      </c>
      <c r="I242" s="88">
        <v>142.31494525263435</v>
      </c>
      <c r="J242" s="88">
        <v>150.6340774140229</v>
      </c>
      <c r="K242" s="89">
        <v>152.58896718723969</v>
      </c>
      <c r="L242" s="90">
        <v>987.92518246825671</v>
      </c>
      <c r="M242" s="90">
        <v>123.49064780853209</v>
      </c>
    </row>
    <row r="243" spans="1:13" ht="16.8">
      <c r="A243" s="86">
        <f>A242+1</f>
        <v>52</v>
      </c>
      <c r="B243" s="75" t="s">
        <v>26</v>
      </c>
      <c r="D243" s="216">
        <v>0.6</v>
      </c>
      <c r="E243" s="217">
        <v>0.6</v>
      </c>
      <c r="F243" s="217">
        <v>0.6</v>
      </c>
      <c r="G243" s="217">
        <v>0.6</v>
      </c>
      <c r="H243" s="217">
        <v>0.6</v>
      </c>
      <c r="I243" s="217">
        <v>0.6</v>
      </c>
      <c r="J243" s="217">
        <v>0.6</v>
      </c>
      <c r="K243" s="218">
        <v>0.6</v>
      </c>
      <c r="L243" s="219">
        <v>0.6</v>
      </c>
      <c r="M243" s="219">
        <v>0.6</v>
      </c>
    </row>
    <row r="244" spans="1:13" ht="16.8">
      <c r="A244" s="86">
        <f>A243+1</f>
        <v>53</v>
      </c>
      <c r="B244" s="75" t="s">
        <v>274</v>
      </c>
      <c r="D244" s="87">
        <v>32.979592435645166</v>
      </c>
      <c r="E244" s="88">
        <v>39.527358230169035</v>
      </c>
      <c r="F244" s="88">
        <v>44.024276740382824</v>
      </c>
      <c r="G244" s="88">
        <v>48.176217420598086</v>
      </c>
      <c r="H244" s="88">
        <v>52.24743221894883</v>
      </c>
      <c r="I244" s="88">
        <v>56.925978101053744</v>
      </c>
      <c r="J244" s="88">
        <v>60.253630965609162</v>
      </c>
      <c r="K244" s="89">
        <v>61.035586874895877</v>
      </c>
      <c r="L244" s="90">
        <v>395.17007298730272</v>
      </c>
      <c r="M244" s="90">
        <v>49.39625912341284</v>
      </c>
    </row>
    <row r="245" spans="1:13" ht="16.8">
      <c r="A245" s="86">
        <f>A244+1</f>
        <v>54</v>
      </c>
      <c r="B245" s="75" t="s">
        <v>275</v>
      </c>
      <c r="D245" s="87">
        <v>1.4445061486812585</v>
      </c>
      <c r="E245" s="88">
        <v>1.6127162157908965</v>
      </c>
      <c r="F245" s="88">
        <v>1.6839285853196426</v>
      </c>
      <c r="G245" s="88">
        <v>1.7198909619153515</v>
      </c>
      <c r="H245" s="88">
        <v>1.7398394928909957</v>
      </c>
      <c r="I245" s="88">
        <v>1.6309292725951894</v>
      </c>
      <c r="J245" s="88">
        <v>1.4280110538849371</v>
      </c>
      <c r="K245" s="89">
        <v>0.99793184540454749</v>
      </c>
      <c r="L245" s="90">
        <v>12.257753576482818</v>
      </c>
      <c r="M245" s="90">
        <v>1.5322191970603523</v>
      </c>
    </row>
    <row r="246" spans="1:13" ht="17.399999999999999" thickBot="1">
      <c r="A246" s="103">
        <f>A245+1</f>
        <v>55</v>
      </c>
      <c r="B246" s="104" t="s">
        <v>276</v>
      </c>
      <c r="D246" s="105">
        <v>2.3085714704951621</v>
      </c>
      <c r="E246" s="106">
        <v>2.766915076111832</v>
      </c>
      <c r="F246" s="106">
        <v>3.0816993718267991</v>
      </c>
      <c r="G246" s="106">
        <v>3.372335219441867</v>
      </c>
      <c r="H246" s="106">
        <v>3.6573202553264181</v>
      </c>
      <c r="I246" s="106">
        <v>3.9848184670737625</v>
      </c>
      <c r="J246" s="106">
        <v>4.2177541675926422</v>
      </c>
      <c r="K246" s="107">
        <v>4.2724910812427117</v>
      </c>
      <c r="L246" s="108">
        <v>27.661905109111196</v>
      </c>
      <c r="M246" s="108">
        <v>3.4577381386388994</v>
      </c>
    </row>
    <row r="247" spans="1:13" ht="16.8">
      <c r="A247" s="487"/>
      <c r="B247" s="110"/>
    </row>
    <row r="248" spans="1:13" ht="16.8">
      <c r="A248" s="487"/>
      <c r="B248" s="110"/>
    </row>
    <row r="249" spans="1:13">
      <c r="B249" t="s">
        <v>355</v>
      </c>
      <c r="D249" s="53">
        <v>0.5</v>
      </c>
      <c r="E249" s="53">
        <v>0.4</v>
      </c>
      <c r="F249" s="53">
        <v>0.4</v>
      </c>
      <c r="G249" s="53">
        <v>0.5</v>
      </c>
      <c r="H249" s="53">
        <v>0.4</v>
      </c>
      <c r="I249" s="53">
        <v>0.4</v>
      </c>
      <c r="J249" s="53">
        <v>0.5</v>
      </c>
      <c r="K249" s="53">
        <v>0.4</v>
      </c>
    </row>
    <row r="250" spans="1:13">
      <c r="B250" t="s">
        <v>356</v>
      </c>
      <c r="D250" s="53">
        <v>8.7961833442298172</v>
      </c>
      <c r="E250" s="53">
        <v>8.7961833442298172</v>
      </c>
      <c r="F250" s="53">
        <v>9.8951198747490885</v>
      </c>
      <c r="G250" s="53">
        <v>9.8951198747490885</v>
      </c>
      <c r="H250" s="53">
        <v>9.8951198747490885</v>
      </c>
      <c r="I250" s="53">
        <v>8.4743784799133763</v>
      </c>
      <c r="J250" s="53">
        <v>8.4743784799133763</v>
      </c>
      <c r="K250" s="53">
        <v>8.4743784799133763</v>
      </c>
    </row>
    <row r="251" spans="1:13">
      <c r="B251" t="s">
        <v>293</v>
      </c>
      <c r="D251" s="53">
        <v>0.97533863299335366</v>
      </c>
      <c r="E251" s="53">
        <v>1.0185656412076189</v>
      </c>
      <c r="F251" s="53">
        <v>1.0626695334719087</v>
      </c>
      <c r="G251" s="53">
        <v>1.1075992013471012</v>
      </c>
      <c r="H251" s="53">
        <v>1.1533652003467634</v>
      </c>
      <c r="I251" s="53">
        <v>1.1988769911524466</v>
      </c>
      <c r="J251" s="53">
        <v>1.2438109007808402</v>
      </c>
      <c r="K251" s="53">
        <v>1.2867721292938106</v>
      </c>
    </row>
    <row r="252" spans="1:13">
      <c r="D252" s="53">
        <f>SUM(D249:D251)</f>
        <v>10.271521977223172</v>
      </c>
      <c r="E252" s="53">
        <f t="shared" ref="E252:K252" si="53">SUM(E249:E251)</f>
        <v>10.214748985437437</v>
      </c>
      <c r="F252" s="53">
        <f t="shared" si="53"/>
        <v>11.357789408220997</v>
      </c>
      <c r="G252" s="53">
        <f t="shared" si="53"/>
        <v>11.50271907609619</v>
      </c>
      <c r="H252" s="53">
        <f t="shared" si="53"/>
        <v>11.448485075095853</v>
      </c>
      <c r="I252" s="53">
        <f t="shared" si="53"/>
        <v>10.073255471065824</v>
      </c>
      <c r="J252" s="53">
        <f t="shared" si="53"/>
        <v>10.218189380694216</v>
      </c>
      <c r="K252" s="53">
        <f t="shared" si="53"/>
        <v>10.161150609207187</v>
      </c>
    </row>
    <row r="254" spans="1:13">
      <c r="B254" t="s">
        <v>357</v>
      </c>
      <c r="D254" s="53">
        <v>1.9673768800481106</v>
      </c>
      <c r="E254" s="53">
        <v>2.0545710233718428</v>
      </c>
      <c r="F254" s="53">
        <v>2.1435339486838436</v>
      </c>
      <c r="G254" s="53">
        <v>2.2341625640341967</v>
      </c>
      <c r="H254" s="53">
        <v>2.3264781611800895</v>
      </c>
      <c r="I254" s="53">
        <v>2.4182809894202562</v>
      </c>
      <c r="J254" s="53">
        <v>2.5089181609037272</v>
      </c>
      <c r="K254" s="53">
        <v>2.595576194181342</v>
      </c>
    </row>
    <row r="258" spans="2:11">
      <c r="B258" t="s">
        <v>358</v>
      </c>
      <c r="D258" s="53">
        <v>2.9301486584244367</v>
      </c>
    </row>
    <row r="262" spans="2:11">
      <c r="B262" t="s">
        <v>317</v>
      </c>
      <c r="D262" s="207">
        <v>4.5520000000000005E-2</v>
      </c>
      <c r="E262" s="207">
        <v>4.4319999999999998E-2</v>
      </c>
      <c r="F262" s="207">
        <v>4.3300000000000005E-2</v>
      </c>
      <c r="G262" s="207">
        <v>4.2280000000000005E-2</v>
      </c>
      <c r="H262" s="207">
        <v>4.1320000000000003E-2</v>
      </c>
      <c r="I262" s="207">
        <v>3.9460000000000002E-2</v>
      </c>
      <c r="J262" s="207">
        <v>3.7480000000000006E-2</v>
      </c>
      <c r="K262" s="207">
        <v>3.4540000000000001E-2</v>
      </c>
    </row>
    <row r="263" spans="2:11">
      <c r="B263" t="s">
        <v>318</v>
      </c>
      <c r="D263">
        <f t="shared" ref="D263:I263" si="54">1/((1+D262)^0.5)</f>
        <v>0.97798867902505426</v>
      </c>
      <c r="E263">
        <f t="shared" si="54"/>
        <v>0.97855040793680914</v>
      </c>
      <c r="F263">
        <f t="shared" si="54"/>
        <v>0.97902863930730677</v>
      </c>
      <c r="G263">
        <f t="shared" si="54"/>
        <v>0.9795075725190564</v>
      </c>
      <c r="H263">
        <f t="shared" si="54"/>
        <v>0.97995897585613423</v>
      </c>
      <c r="I263">
        <f t="shared" si="54"/>
        <v>0.9808353487000252</v>
      </c>
      <c r="J263">
        <f t="shared" ref="J263:K263" si="55">1/((1+J262)^0.5)</f>
        <v>0.98177085024480515</v>
      </c>
      <c r="K263">
        <f t="shared" si="55"/>
        <v>0.98316487973143774</v>
      </c>
    </row>
    <row r="264" spans="2:11">
      <c r="B264" t="s">
        <v>319</v>
      </c>
      <c r="D264">
        <f>1/(1+D262)</f>
        <v>0.95646185630117075</v>
      </c>
      <c r="E264">
        <f>1/(1+E262)*D264</f>
        <v>0.91587047677069366</v>
      </c>
      <c r="F264">
        <f>1/(1+F262)*E264</f>
        <v>0.87785917451422768</v>
      </c>
      <c r="G264">
        <f>1/(1+G262)*F264</f>
        <v>0.84224889138641024</v>
      </c>
      <c r="H264">
        <f>1/(1+H262)*G264</f>
        <v>0.8088281137272022</v>
      </c>
      <c r="I264">
        <f>1/(1+I262)*H264</f>
        <v>0.77812336571604701</v>
      </c>
      <c r="J264">
        <f t="shared" ref="J264:K264" si="56">1/(1+J262)*I264</f>
        <v>0.75001288286622103</v>
      </c>
      <c r="K264">
        <f t="shared" si="56"/>
        <v>0.72497233830129426</v>
      </c>
    </row>
    <row r="265" spans="2:11">
      <c r="B265" t="s">
        <v>320</v>
      </c>
      <c r="D265">
        <f>D263</f>
        <v>0.97798867902505426</v>
      </c>
      <c r="E265">
        <f>D264*E263</f>
        <v>0.93594613965950835</v>
      </c>
      <c r="F265">
        <f>E264*F263</f>
        <v>0.89666342665454657</v>
      </c>
      <c r="G265">
        <f>F264*G263</f>
        <v>0.85986970904201387</v>
      </c>
      <c r="H265">
        <f>G264*H263</f>
        <v>0.82536936101899105</v>
      </c>
      <c r="I265">
        <f>H264*I263</f>
        <v>0.79332720496600406</v>
      </c>
      <c r="J265">
        <f t="shared" ref="J265:K265" si="57">I264*J263</f>
        <v>0.76393883835439291</v>
      </c>
      <c r="K265">
        <f t="shared" si="57"/>
        <v>0.73738632578019714</v>
      </c>
    </row>
    <row r="266" spans="2:11">
      <c r="B266" t="s">
        <v>321</v>
      </c>
      <c r="D266">
        <f>1+D262</f>
        <v>1.04552</v>
      </c>
      <c r="E266">
        <f t="shared" ref="E266:H266" si="58">1+E262</f>
        <v>1.0443199999999999</v>
      </c>
      <c r="F266">
        <f t="shared" si="58"/>
        <v>1.0432999999999999</v>
      </c>
      <c r="G266">
        <f t="shared" si="58"/>
        <v>1.0422800000000001</v>
      </c>
      <c r="H266">
        <f t="shared" si="58"/>
        <v>1.04132</v>
      </c>
      <c r="I266">
        <f t="shared" ref="I266:K266" si="59">1+I262</f>
        <v>1.0394600000000001</v>
      </c>
      <c r="J266">
        <f t="shared" si="59"/>
        <v>1.03748</v>
      </c>
      <c r="K266">
        <f t="shared" si="59"/>
        <v>1.03454</v>
      </c>
    </row>
    <row r="267" spans="2:11">
      <c r="B267" t="s">
        <v>359</v>
      </c>
      <c r="D267" s="473">
        <f>PRODUCT(D266:J266)</f>
        <v>1.3333104308534509</v>
      </c>
      <c r="E267" s="473">
        <f>PRODUCT(E266:J266)</f>
        <v>1.2752605697198054</v>
      </c>
      <c r="F267" s="473">
        <f>PRODUCT(F266:J266)</f>
        <v>1.2211396599890889</v>
      </c>
      <c r="G267" s="473">
        <f>PRODUCT(G266:J266)</f>
        <v>1.1704587942002198</v>
      </c>
      <c r="H267" s="473">
        <f>PRODUCT(H266:J266)</f>
        <v>1.1229792322602559</v>
      </c>
      <c r="I267" s="473">
        <f>PRODUCT(J266)</f>
        <v>1.03748</v>
      </c>
      <c r="J267" s="473">
        <f t="shared" ref="J267:K267" si="60">PRODUCT(J266)</f>
        <v>1.03748</v>
      </c>
      <c r="K267" s="473">
        <f t="shared" si="60"/>
        <v>1.03454</v>
      </c>
    </row>
  </sheetData>
  <pageMargins left="0.7" right="0.7" top="0.75" bottom="0.75" header="0.3" footer="0.3"/>
  <pageSetup paperSize="9"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2:AG198"/>
  <sheetViews>
    <sheetView topLeftCell="A4" zoomScale="80" zoomScaleNormal="80" workbookViewId="0">
      <pane xSplit="3" topLeftCell="D1" activePane="topRight" state="frozen"/>
      <selection activeCell="H35" sqref="H35"/>
      <selection pane="topRight" activeCell="D21" sqref="D21"/>
    </sheetView>
  </sheetViews>
  <sheetFormatPr defaultRowHeight="13.2"/>
  <cols>
    <col min="1" max="1" width="18.109375" customWidth="1"/>
    <col min="2" max="2" width="1.6640625" customWidth="1"/>
    <col min="3" max="3" width="49" customWidth="1"/>
    <col min="4" max="4" width="11.88671875" customWidth="1"/>
    <col min="5" max="5" width="12.44140625" customWidth="1"/>
    <col min="6" max="6" width="10.6640625" customWidth="1"/>
    <col min="7" max="7" width="12.44140625" customWidth="1"/>
    <col min="8" max="12" width="10.6640625" customWidth="1"/>
    <col min="14" max="14" width="10.5546875" customWidth="1"/>
    <col min="19" max="20" width="9.109375" customWidth="1"/>
  </cols>
  <sheetData>
    <row r="2" spans="1:24" ht="47.4" thickBot="1">
      <c r="A2" s="38" t="s">
        <v>360</v>
      </c>
      <c r="C2" s="358" t="s">
        <v>361</v>
      </c>
      <c r="D2" s="244" t="s">
        <v>40</v>
      </c>
      <c r="E2" s="244" t="s">
        <v>41</v>
      </c>
      <c r="G2" s="112" t="s">
        <v>362</v>
      </c>
      <c r="H2" s="113" t="str">
        <f>RPI!$B$1</f>
        <v>Updated Oct 2019</v>
      </c>
      <c r="S2" s="234"/>
      <c r="T2" s="235"/>
      <c r="U2" s="235"/>
    </row>
    <row r="3" spans="1:24" ht="15.6">
      <c r="C3" s="245" t="s">
        <v>42</v>
      </c>
      <c r="D3" s="246">
        <f>SUMPRODUCT(D109:K109,RPI!$E$2:$L$2)/1000</f>
        <v>1.1995730551067034</v>
      </c>
      <c r="E3" s="246">
        <f t="shared" ref="E3:E8" si="0">L109/1000</f>
        <v>0.99074235280407696</v>
      </c>
      <c r="S3" s="236"/>
      <c r="T3" s="237"/>
      <c r="U3" s="237"/>
      <c r="W3" s="53"/>
      <c r="X3" s="53"/>
    </row>
    <row r="4" spans="1:24" ht="15.6">
      <c r="C4" s="247" t="s">
        <v>43</v>
      </c>
      <c r="D4" s="248">
        <f>SUMPRODUCT(D110:K110,RPI!$E$2:$L$2)/1000</f>
        <v>5.6579024763378332</v>
      </c>
      <c r="E4" s="248">
        <f t="shared" si="0"/>
        <v>4.4564174806639745</v>
      </c>
      <c r="S4" s="236"/>
      <c r="T4" s="237"/>
      <c r="U4" s="237"/>
      <c r="W4" s="53"/>
      <c r="X4" s="53"/>
    </row>
    <row r="5" spans="1:24" ht="15.6">
      <c r="C5" s="247" t="s">
        <v>44</v>
      </c>
      <c r="D5" s="248">
        <f>SUMPRODUCT(D111:K111,RPI!$E$2:$L$2)/1000</f>
        <v>4.0458321386556815</v>
      </c>
      <c r="E5" s="248">
        <f t="shared" si="0"/>
        <v>3.2566053171406444</v>
      </c>
      <c r="S5" s="236"/>
      <c r="T5" s="237"/>
      <c r="U5" s="237"/>
      <c r="W5" s="53"/>
      <c r="X5" s="53"/>
    </row>
    <row r="6" spans="1:24" ht="15.6">
      <c r="C6" s="247" t="s">
        <v>45</v>
      </c>
      <c r="D6" s="248">
        <f>SUMPRODUCT(D112:K112,RPI!$E$2:$L$2)/1000</f>
        <v>0.21697059091807439</v>
      </c>
      <c r="E6" s="248">
        <f t="shared" si="0"/>
        <v>0.16746373793475025</v>
      </c>
      <c r="S6" s="236"/>
      <c r="T6" s="237"/>
      <c r="U6" s="237"/>
      <c r="W6" s="53"/>
      <c r="X6" s="53"/>
    </row>
    <row r="7" spans="1:24" ht="15.6">
      <c r="C7" s="247" t="s">
        <v>46</v>
      </c>
      <c r="D7" s="248">
        <f>SUMPRODUCT(D113:K113,RPI!$E$2:$L$2)/1000</f>
        <v>2.0550636343973276</v>
      </c>
      <c r="E7" s="248">
        <f t="shared" si="0"/>
        <v>1.623853135909078</v>
      </c>
      <c r="S7" s="236"/>
      <c r="T7" s="237"/>
      <c r="U7" s="237"/>
      <c r="W7" s="53"/>
      <c r="X7" s="53"/>
    </row>
    <row r="8" spans="1:24" ht="15.6">
      <c r="C8" s="247" t="s">
        <v>47</v>
      </c>
      <c r="D8" s="248">
        <f>SUMPRODUCT(D114:K114,RPI!$E$2:$L$2)/1000</f>
        <v>-1.0814797006502168</v>
      </c>
      <c r="E8" s="248">
        <f t="shared" si="0"/>
        <v>-0.90204653487912634</v>
      </c>
      <c r="S8" s="236"/>
      <c r="T8" s="237"/>
      <c r="U8" s="237"/>
      <c r="W8" s="53"/>
      <c r="X8" s="53"/>
    </row>
    <row r="9" spans="1:24" ht="15.6">
      <c r="C9" s="249" t="s">
        <v>48</v>
      </c>
      <c r="D9" s="250">
        <f>'18-19 NGET'!D9</f>
        <v>12.093862194765405</v>
      </c>
      <c r="E9" s="250">
        <f>SUM(E3:E8)</f>
        <v>9.5930354895733974</v>
      </c>
      <c r="S9" s="238"/>
      <c r="T9" s="239"/>
      <c r="U9" s="239"/>
      <c r="W9" s="53"/>
      <c r="X9" s="53"/>
    </row>
    <row r="10" spans="1:24">
      <c r="C10" s="251"/>
      <c r="D10" s="252"/>
      <c r="E10" s="252"/>
      <c r="S10" s="240"/>
      <c r="T10" s="241"/>
      <c r="U10" s="241"/>
      <c r="W10" s="53"/>
      <c r="X10" s="53"/>
    </row>
    <row r="11" spans="1:24" ht="15.6">
      <c r="C11" s="247" t="s">
        <v>49</v>
      </c>
      <c r="D11" s="248">
        <f>SUMPRODUCT(D118:K118,RPI!$E$2:$L$2)/1000</f>
        <v>0.29429504907396858</v>
      </c>
      <c r="E11" s="248">
        <f>L118/1000</f>
        <v>0.23501234413449285</v>
      </c>
      <c r="S11" s="236"/>
      <c r="T11" s="237"/>
      <c r="U11" s="237"/>
      <c r="W11" s="53"/>
      <c r="X11" s="53"/>
    </row>
    <row r="12" spans="1:24" ht="15.6">
      <c r="C12" s="247" t="s">
        <v>46</v>
      </c>
      <c r="D12" s="248">
        <f>SUMPRODUCT(D119:K119,RPI!$E$2:$L$2)/1000</f>
        <v>0.81896987573486801</v>
      </c>
      <c r="E12" s="248">
        <f>L119/1000</f>
        <v>0.64632844800760436</v>
      </c>
      <c r="S12" s="236"/>
      <c r="T12" s="237"/>
      <c r="U12" s="237"/>
      <c r="W12" s="53"/>
      <c r="X12" s="53"/>
    </row>
    <row r="13" spans="1:24" ht="15.6">
      <c r="C13" s="247" t="s">
        <v>47</v>
      </c>
      <c r="D13" s="248">
        <f>SUMPRODUCT(D120:K120,RPI!$E$2:$L$2)/1000</f>
        <v>1.4584967480094414E-3</v>
      </c>
      <c r="E13" s="248">
        <f>L120/1000</f>
        <v>8.4934262285693758E-4</v>
      </c>
      <c r="S13" s="236"/>
      <c r="T13" s="237"/>
      <c r="U13" s="237"/>
      <c r="W13" s="53"/>
      <c r="X13" s="53"/>
    </row>
    <row r="14" spans="1:24" ht="15.6">
      <c r="C14" s="249" t="s">
        <v>50</v>
      </c>
      <c r="D14" s="250">
        <f>'18-19 NGET'!D15</f>
        <v>1.114723421556846</v>
      </c>
      <c r="E14" s="250">
        <f>SUM(E11:E13)</f>
        <v>0.88219013476495423</v>
      </c>
      <c r="S14" s="238"/>
      <c r="T14" s="239"/>
      <c r="U14" s="239"/>
      <c r="W14" s="53"/>
      <c r="X14" s="53"/>
    </row>
    <row r="15" spans="1:24">
      <c r="C15" s="253"/>
      <c r="D15" s="254"/>
      <c r="E15" s="254"/>
      <c r="S15" s="242"/>
      <c r="T15" s="241"/>
      <c r="U15" s="241"/>
      <c r="W15" s="53"/>
      <c r="X15" s="53"/>
    </row>
    <row r="16" spans="1:24" ht="15.6">
      <c r="C16" s="249" t="s">
        <v>153</v>
      </c>
      <c r="D16" s="250">
        <f>'18-19 NGET'!D17</f>
        <v>13.208585616322251</v>
      </c>
      <c r="E16" s="250">
        <f>E9+E14</f>
        <v>10.475225624338352</v>
      </c>
      <c r="S16" s="238"/>
      <c r="T16" s="239"/>
      <c r="U16" s="239"/>
      <c r="W16" s="53"/>
      <c r="X16" s="53"/>
    </row>
    <row r="17" spans="1:24">
      <c r="C17" s="253"/>
      <c r="D17" s="254"/>
      <c r="E17" s="254"/>
      <c r="S17" s="242"/>
      <c r="T17" s="241"/>
      <c r="U17" s="241"/>
      <c r="W17" s="53"/>
      <c r="X17" s="53"/>
    </row>
    <row r="18" spans="1:24" ht="15.6">
      <c r="C18" s="247" t="s">
        <v>52</v>
      </c>
      <c r="D18" s="248">
        <f>SUMPRODUCT(D116:K116,RPI!$E$2:$L$2)/1000</f>
        <v>0.89416672601474101</v>
      </c>
      <c r="E18" s="248">
        <f>L116/1000</f>
        <v>0.70798416071864323</v>
      </c>
      <c r="S18" s="236"/>
      <c r="T18" s="237"/>
      <c r="U18" s="237"/>
      <c r="W18" s="53"/>
      <c r="X18" s="53"/>
    </row>
    <row r="19" spans="1:24" ht="15.6">
      <c r="C19" s="247"/>
      <c r="D19" s="248"/>
      <c r="E19" s="248"/>
      <c r="S19" s="236"/>
      <c r="T19" s="237"/>
      <c r="U19" s="237"/>
      <c r="W19" s="53"/>
      <c r="X19" s="53"/>
    </row>
    <row r="20" spans="1:24" ht="15.6">
      <c r="C20" s="249" t="s">
        <v>53</v>
      </c>
      <c r="D20" s="250">
        <f>E20*RPI!E4</f>
        <v>10.190343073497942</v>
      </c>
      <c r="E20" s="250">
        <f>D125/1000</f>
        <v>8.8650145032674477</v>
      </c>
      <c r="S20" s="238"/>
      <c r="T20" s="239"/>
      <c r="U20" s="239"/>
      <c r="W20" s="53"/>
      <c r="X20" s="53"/>
    </row>
    <row r="21" spans="1:24" ht="15.6">
      <c r="C21" s="249" t="s">
        <v>54</v>
      </c>
      <c r="D21" s="250">
        <f>E21*RPI!L3</f>
        <v>16.522829145873807</v>
      </c>
      <c r="E21" s="250">
        <f>K129/1000</f>
        <v>11.785374442010044</v>
      </c>
      <c r="G21" s="109"/>
      <c r="I21" s="109"/>
      <c r="S21" s="238"/>
      <c r="T21" s="239"/>
      <c r="U21" s="239"/>
      <c r="W21" s="53"/>
      <c r="X21" s="53"/>
    </row>
    <row r="22" spans="1:24">
      <c r="H22" s="109"/>
      <c r="I22" s="227"/>
    </row>
    <row r="23" spans="1:24" ht="13.8" thickBot="1"/>
    <row r="24" spans="1:24" ht="13.8" thickBot="1">
      <c r="A24" s="38" t="s">
        <v>363</v>
      </c>
      <c r="C24" s="255" t="s">
        <v>156</v>
      </c>
      <c r="E24" s="109"/>
      <c r="L24" s="243"/>
      <c r="M24" s="243"/>
      <c r="N24" s="243"/>
      <c r="O24" s="243"/>
    </row>
    <row r="25" spans="1:24" ht="13.8" thickBot="1">
      <c r="C25" s="255" t="s">
        <v>58</v>
      </c>
      <c r="D25" s="256" t="s">
        <v>59</v>
      </c>
      <c r="E25" s="256" t="s">
        <v>60</v>
      </c>
      <c r="F25" s="256" t="s">
        <v>61</v>
      </c>
      <c r="G25" s="256" t="s">
        <v>62</v>
      </c>
      <c r="H25" s="256" t="s">
        <v>63</v>
      </c>
      <c r="I25" s="256" t="s">
        <v>64</v>
      </c>
      <c r="J25" s="256" t="s">
        <v>65</v>
      </c>
      <c r="K25" s="256" t="s">
        <v>66</v>
      </c>
      <c r="L25" s="256" t="s">
        <v>118</v>
      </c>
    </row>
    <row r="26" spans="1:24">
      <c r="C26" s="294"/>
      <c r="D26" s="295"/>
      <c r="E26" s="295"/>
      <c r="F26" s="295"/>
      <c r="G26" s="295"/>
      <c r="H26" s="295"/>
      <c r="I26" s="295"/>
      <c r="J26" s="295"/>
      <c r="K26" s="295"/>
      <c r="L26" s="295"/>
    </row>
    <row r="27" spans="1:24">
      <c r="A27" t="s">
        <v>338</v>
      </c>
      <c r="C27" s="257" t="s">
        <v>157</v>
      </c>
      <c r="D27" s="258">
        <f>'Baseline NGET'!D26</f>
        <v>1390.4952308352754</v>
      </c>
      <c r="E27" s="258">
        <f>'Baseline NGET'!E26</f>
        <v>1528.8674895584477</v>
      </c>
      <c r="F27" s="258">
        <f>'Baseline NGET'!F26</f>
        <v>1447.2834725272048</v>
      </c>
      <c r="G27" s="258">
        <f>'Baseline NGET'!G26</f>
        <v>1365.8631230980088</v>
      </c>
      <c r="H27" s="258">
        <f>'Baseline NGET'!H26</f>
        <v>1141.9096981529601</v>
      </c>
      <c r="I27" s="258">
        <f>'Baseline NGET'!I26</f>
        <v>1088.8097022275799</v>
      </c>
      <c r="J27" s="258">
        <f>'Baseline NGET'!J26</f>
        <v>938.07112341239144</v>
      </c>
      <c r="K27" s="258">
        <f>'Baseline NGET'!K26</f>
        <v>766.03445815756584</v>
      </c>
      <c r="L27" s="293">
        <f>'Baseline NGET'!L26</f>
        <v>9667.3342979694353</v>
      </c>
    </row>
    <row r="28" spans="1:24">
      <c r="C28" s="257" t="s">
        <v>70</v>
      </c>
      <c r="D28" s="258">
        <f>'Baseline NGET'!D27</f>
        <v>192.21282629439594</v>
      </c>
      <c r="E28" s="258">
        <f>'Baseline NGET'!E27</f>
        <v>196.41204072355288</v>
      </c>
      <c r="F28" s="258">
        <f>'Baseline NGET'!F27</f>
        <v>203.04710659109347</v>
      </c>
      <c r="G28" s="258">
        <f>'Baseline NGET'!G27</f>
        <v>204.35171680440774</v>
      </c>
      <c r="H28" s="258">
        <f>'Baseline NGET'!H27</f>
        <v>205.72203973741003</v>
      </c>
      <c r="I28" s="258">
        <f>'Baseline NGET'!I27</f>
        <v>206.0644404839947</v>
      </c>
      <c r="J28" s="258">
        <f>'Baseline NGET'!J27</f>
        <v>207.83890997781467</v>
      </c>
      <c r="K28" s="258">
        <f>'Baseline NGET'!K27</f>
        <v>208.20405529640865</v>
      </c>
      <c r="L28" s="293">
        <f>'Baseline NGET'!L27</f>
        <v>1623.853135909078</v>
      </c>
    </row>
    <row r="29" spans="1:24">
      <c r="C29" s="259" t="s">
        <v>158</v>
      </c>
      <c r="D29" s="260">
        <f>'Baseline NGET'!D28</f>
        <v>1582.7080571296713</v>
      </c>
      <c r="E29" s="260">
        <f>'Baseline NGET'!E28</f>
        <v>1725.2795302820005</v>
      </c>
      <c r="F29" s="260">
        <f>'Baseline NGET'!F28</f>
        <v>1650.3305791182984</v>
      </c>
      <c r="G29" s="260">
        <f>'Baseline NGET'!G28</f>
        <v>1570.2148399024165</v>
      </c>
      <c r="H29" s="260">
        <f>'Baseline NGET'!H28</f>
        <v>1347.6317378903702</v>
      </c>
      <c r="I29" s="260">
        <f>'Baseline NGET'!I28</f>
        <v>1294.8741427115747</v>
      </c>
      <c r="J29" s="260">
        <f>'Baseline NGET'!J28</f>
        <v>1145.9100333902061</v>
      </c>
      <c r="K29" s="260">
        <f>'Baseline NGET'!K28</f>
        <v>974.23851345397452</v>
      </c>
      <c r="L29" s="260">
        <f>'Baseline NGET'!L28</f>
        <v>11291.187433878511</v>
      </c>
    </row>
    <row r="30" spans="1:24">
      <c r="C30" s="257" t="s">
        <v>72</v>
      </c>
      <c r="D30" s="258">
        <f>D31-D29</f>
        <v>-56.541239133854333</v>
      </c>
      <c r="E30" s="258">
        <f t="shared" ref="E30:L30" si="1">E31-E29</f>
        <v>-295.08650329082661</v>
      </c>
      <c r="F30" s="258">
        <f t="shared" si="1"/>
        <v>-301.45233141413019</v>
      </c>
      <c r="G30" s="258">
        <f t="shared" si="1"/>
        <v>-187.600396084149</v>
      </c>
      <c r="H30" s="258">
        <f t="shared" si="1"/>
        <v>-14.971539785421783</v>
      </c>
      <c r="I30" s="258">
        <f t="shared" si="1"/>
        <v>101.47083626672543</v>
      </c>
      <c r="J30" s="258">
        <f t="shared" si="1"/>
        <v>-53.292922828163682</v>
      </c>
      <c r="K30" s="258">
        <f t="shared" si="1"/>
        <v>11.368686843831597</v>
      </c>
      <c r="L30" s="293">
        <f t="shared" si="1"/>
        <v>-796.10540942598891</v>
      </c>
    </row>
    <row r="31" spans="1:24">
      <c r="C31" s="259" t="s">
        <v>73</v>
      </c>
      <c r="D31" s="260">
        <f>'18-19 NGET'!D28</f>
        <v>1526.1668179958169</v>
      </c>
      <c r="E31" s="260">
        <f>'18-19 NGET'!E28</f>
        <v>1430.1930269911738</v>
      </c>
      <c r="F31" s="260">
        <f>'18-19 NGET'!F28</f>
        <v>1348.8782477041682</v>
      </c>
      <c r="G31" s="260">
        <f>'18-19 NGET'!G28</f>
        <v>1382.6144438182675</v>
      </c>
      <c r="H31" s="260">
        <f>'18-19 NGET'!H28</f>
        <v>1332.6601981049484</v>
      </c>
      <c r="I31" s="260">
        <f>'18-19 NGET'!I28</f>
        <v>1396.3449789783001</v>
      </c>
      <c r="J31" s="260">
        <f>'18-19 NGET'!J28</f>
        <v>1092.6171105620424</v>
      </c>
      <c r="K31" s="260">
        <f>'18-19 NGET'!K28</f>
        <v>985.60720029780612</v>
      </c>
      <c r="L31" s="260">
        <f>'18-19 NGET'!L28</f>
        <v>10495.082024452522</v>
      </c>
    </row>
    <row r="32" spans="1:24">
      <c r="C32" s="259"/>
      <c r="D32" s="260"/>
      <c r="E32" s="260"/>
      <c r="F32" s="260"/>
      <c r="G32" s="260"/>
      <c r="H32" s="260"/>
      <c r="I32" s="260"/>
      <c r="J32" s="260"/>
      <c r="K32" s="260"/>
      <c r="L32" s="260"/>
    </row>
    <row r="33" spans="1:16">
      <c r="A33" t="s">
        <v>346</v>
      </c>
      <c r="C33" s="257" t="s">
        <v>121</v>
      </c>
      <c r="D33" s="258">
        <f>'18-19 NGET'!D29</f>
        <v>998.91959032577097</v>
      </c>
      <c r="E33" s="258">
        <f>'18-19 NGET'!E29</f>
        <v>678.98695196246899</v>
      </c>
      <c r="F33" s="258">
        <f>'18-19 NGET'!F29</f>
        <v>741.95136375054096</v>
      </c>
      <c r="G33" s="258">
        <f>'18-19 NGET'!G29</f>
        <v>698.06008169530571</v>
      </c>
      <c r="H33" s="258">
        <f>'18-19 NGET'!H29</f>
        <v>1081.956541154465</v>
      </c>
      <c r="I33" s="258">
        <f>'18-19 NGET'!I29</f>
        <v>1134.1650941139824</v>
      </c>
      <c r="J33" s="258">
        <f>'18-19 NGET'!J29</f>
        <v>851.08339234248569</v>
      </c>
      <c r="K33" s="258">
        <f>'18-19 NGET'!K29</f>
        <v>772.24661191590633</v>
      </c>
      <c r="L33" s="293">
        <f>'18-19 NGET'!L29</f>
        <v>6957.3696272609259</v>
      </c>
    </row>
    <row r="34" spans="1:16">
      <c r="C34" s="257" t="s">
        <v>76</v>
      </c>
      <c r="D34" s="258">
        <f>'18-19 NGET'!D30</f>
        <v>205.79735080939017</v>
      </c>
      <c r="E34" s="258">
        <f>'18-19 NGET'!E30</f>
        <v>225.57809736895311</v>
      </c>
      <c r="F34" s="258">
        <f>'18-19 NGET'!F30</f>
        <v>229.53296594785201</v>
      </c>
      <c r="G34" s="258">
        <f>'18-19 NGET'!G30</f>
        <v>210.57662442672623</v>
      </c>
      <c r="H34" s="258">
        <f>'18-19 NGET'!H30</f>
        <v>250.70365695048378</v>
      </c>
      <c r="I34" s="258">
        <f>'18-19 NGET'!I30</f>
        <v>262.17988486431767</v>
      </c>
      <c r="J34" s="258">
        <f>'18-19 NGET'!J30</f>
        <v>241.53371821955682</v>
      </c>
      <c r="K34" s="258">
        <f>'18-19 NGET'!K30</f>
        <v>213.3605883818999</v>
      </c>
      <c r="L34" s="293">
        <f>'18-19 NGET'!L30</f>
        <v>1839.2628869691798</v>
      </c>
    </row>
    <row r="35" spans="1:16">
      <c r="C35" s="259" t="s">
        <v>77</v>
      </c>
      <c r="D35" s="260">
        <f>D33+D34</f>
        <v>1204.7169411351611</v>
      </c>
      <c r="E35" s="260">
        <f t="shared" ref="E35:L35" si="2">E33+E34</f>
        <v>904.56504933142207</v>
      </c>
      <c r="F35" s="260">
        <f t="shared" si="2"/>
        <v>971.48432969839291</v>
      </c>
      <c r="G35" s="260">
        <f t="shared" si="2"/>
        <v>908.63670612203191</v>
      </c>
      <c r="H35" s="260">
        <f t="shared" si="2"/>
        <v>1332.6601981049487</v>
      </c>
      <c r="I35" s="260">
        <f t="shared" si="2"/>
        <v>1396.3449789783001</v>
      </c>
      <c r="J35" s="260">
        <f t="shared" si="2"/>
        <v>1092.6171105620424</v>
      </c>
      <c r="K35" s="260">
        <f t="shared" si="2"/>
        <v>985.60720029780623</v>
      </c>
      <c r="L35" s="260">
        <f t="shared" si="2"/>
        <v>8796.6325142301066</v>
      </c>
    </row>
    <row r="36" spans="1:16">
      <c r="C36" s="259"/>
      <c r="D36" s="260"/>
      <c r="E36" s="260"/>
      <c r="F36" s="260"/>
      <c r="G36" s="260"/>
      <c r="H36" s="260"/>
      <c r="I36" s="260"/>
      <c r="J36" s="260"/>
      <c r="K36" s="260"/>
      <c r="L36" s="260"/>
    </row>
    <row r="37" spans="1:16">
      <c r="C37" s="259" t="s">
        <v>159</v>
      </c>
      <c r="D37" s="260">
        <f>'18-19 NGET'!D34</f>
        <v>1355.4447883951227</v>
      </c>
      <c r="E37" s="260">
        <f>'18-19 NGET'!E34</f>
        <v>1151.0320080560798</v>
      </c>
      <c r="F37" s="260">
        <f>'18-19 NGET'!F34</f>
        <v>1148.444337851301</v>
      </c>
      <c r="G37" s="260">
        <f>'18-19 NGET'!G34</f>
        <v>1130.8848673277967</v>
      </c>
      <c r="H37" s="260">
        <f>'18-19 NGET'!H34</f>
        <v>1332.6601981049487</v>
      </c>
      <c r="I37" s="260">
        <f>'18-19 NGET'!I34</f>
        <v>1396.3449789783001</v>
      </c>
      <c r="J37" s="260">
        <f>'18-19 NGET'!J34</f>
        <v>1092.6171105620424</v>
      </c>
      <c r="K37" s="260">
        <f>'18-19 NGET'!K34</f>
        <v>985.60720029780623</v>
      </c>
      <c r="L37" s="260">
        <f>'18-19 NGET'!L34</f>
        <v>9593.0354895733981</v>
      </c>
    </row>
    <row r="38" spans="1:16">
      <c r="C38" s="257" t="s">
        <v>79</v>
      </c>
      <c r="D38" s="258">
        <f>'18-19 NGET'!D36</f>
        <v>203.31671825926844</v>
      </c>
      <c r="E38" s="258">
        <f>'18-19 NGET'!E36</f>
        <v>172.65480120841212</v>
      </c>
      <c r="F38" s="258">
        <f>'18-19 NGET'!F36</f>
        <v>172.26665067769514</v>
      </c>
      <c r="G38" s="258">
        <f>'18-19 NGET'!G36</f>
        <v>169.63273009916944</v>
      </c>
      <c r="H38" s="258">
        <f>'18-19 NGET'!H36</f>
        <v>199.8990297157423</v>
      </c>
      <c r="I38" s="258">
        <f>'18-19 NGET'!I36</f>
        <v>209.45174684674492</v>
      </c>
      <c r="J38" s="258">
        <f>'18-19 NGET'!J36</f>
        <v>163.89256658430642</v>
      </c>
      <c r="K38" s="258">
        <f>'18-19 NGET'!K36</f>
        <v>147.84108004467095</v>
      </c>
      <c r="L38" s="293">
        <f>'18-19 NGET'!L36</f>
        <v>1438.9553234360096</v>
      </c>
    </row>
    <row r="39" spans="1:16">
      <c r="C39" s="257" t="s">
        <v>80</v>
      </c>
      <c r="D39" s="258">
        <f>'18-19 NGET'!D37</f>
        <v>1152.1280701358544</v>
      </c>
      <c r="E39" s="258">
        <f>'18-19 NGET'!E37</f>
        <v>978.37720684766771</v>
      </c>
      <c r="F39" s="258">
        <f>'18-19 NGET'!F37</f>
        <v>976.1776871736057</v>
      </c>
      <c r="G39" s="258">
        <f>'18-19 NGET'!G37</f>
        <v>961.25213722862748</v>
      </c>
      <c r="H39" s="258">
        <f>'18-19 NGET'!H37</f>
        <v>1132.7611683892062</v>
      </c>
      <c r="I39" s="258">
        <f>'18-19 NGET'!I37</f>
        <v>1186.8932321315554</v>
      </c>
      <c r="J39" s="258">
        <f>'18-19 NGET'!J37</f>
        <v>928.72454397773618</v>
      </c>
      <c r="K39" s="258">
        <f>'18-19 NGET'!K37</f>
        <v>837.76612025313523</v>
      </c>
      <c r="L39" s="293">
        <f>'18-19 NGET'!L37</f>
        <v>8154.080166137388</v>
      </c>
    </row>
    <row r="40" spans="1:16" ht="13.8" thickBot="1">
      <c r="D40" s="109"/>
      <c r="E40" s="109"/>
      <c r="F40" s="109"/>
      <c r="G40" s="109"/>
      <c r="H40" s="109"/>
      <c r="I40" s="109"/>
      <c r="J40" s="109"/>
      <c r="K40" s="109"/>
      <c r="L40" s="109"/>
      <c r="M40" s="109"/>
      <c r="N40" s="109"/>
      <c r="O40" s="109"/>
    </row>
    <row r="41" spans="1:16" ht="13.8" thickBot="1">
      <c r="C41" s="255" t="s">
        <v>164</v>
      </c>
      <c r="E41" s="109"/>
      <c r="L41" s="243"/>
      <c r="M41" s="243"/>
      <c r="N41" s="243"/>
      <c r="O41" s="243"/>
    </row>
    <row r="42" spans="1:16" ht="13.8" thickBot="1">
      <c r="C42" s="255" t="s">
        <v>58</v>
      </c>
      <c r="D42" s="256" t="s">
        <v>59</v>
      </c>
      <c r="E42" s="256" t="s">
        <v>60</v>
      </c>
      <c r="F42" s="256" t="s">
        <v>61</v>
      </c>
      <c r="G42" s="256" t="s">
        <v>62</v>
      </c>
      <c r="H42" s="256" t="s">
        <v>63</v>
      </c>
      <c r="I42" s="256" t="s">
        <v>64</v>
      </c>
      <c r="J42" s="256" t="s">
        <v>65</v>
      </c>
      <c r="K42" s="256" t="s">
        <v>66</v>
      </c>
      <c r="L42" s="298"/>
    </row>
    <row r="43" spans="1:16">
      <c r="C43" s="257" t="s">
        <v>91</v>
      </c>
      <c r="D43" s="258">
        <f>'18-19 NGET'!D42</f>
        <v>8790.8537557518612</v>
      </c>
      <c r="E43" s="258">
        <f>'18-19 NGET'!E42</f>
        <v>9197.3563602380109</v>
      </c>
      <c r="F43" s="258">
        <f>'18-19 NGET'!F42</f>
        <v>9583.656149515391</v>
      </c>
      <c r="G43" s="258">
        <f>'18-19 NGET'!G42</f>
        <v>9943.4962228396962</v>
      </c>
      <c r="H43" s="258">
        <f>'18-19 NGET'!H42</f>
        <v>10268.970536319866</v>
      </c>
      <c r="I43" s="258">
        <f>'18-19 NGET'!I42</f>
        <v>10749.116531029773</v>
      </c>
      <c r="J43" s="258">
        <f>'18-19 NGET'!J42</f>
        <v>11262.868468004683</v>
      </c>
      <c r="K43" s="258">
        <f>'18-19 NGET'!K42</f>
        <v>11507.350546376922</v>
      </c>
    </row>
    <row r="44" spans="1:16">
      <c r="C44" s="257" t="s">
        <v>84</v>
      </c>
      <c r="D44" s="258">
        <f>'ET workings 18-19'!D120</f>
        <v>-176.76646979458337</v>
      </c>
      <c r="E44" s="258">
        <f>'ET workings 18-19'!E120</f>
        <v>0</v>
      </c>
      <c r="F44" s="258">
        <f>'ET workings 18-19'!F120</f>
        <v>0</v>
      </c>
      <c r="G44" s="258">
        <f>'ET workings 18-19'!G120</f>
        <v>0</v>
      </c>
      <c r="H44" s="258">
        <f>'ET workings 18-19'!H120</f>
        <v>0</v>
      </c>
      <c r="I44" s="258">
        <f>'ET workings 18-19'!I120</f>
        <v>0</v>
      </c>
      <c r="J44" s="258">
        <f>'ET workings 18-19'!J120</f>
        <v>0</v>
      </c>
      <c r="K44" s="258">
        <f>'ET workings 18-19'!K120</f>
        <v>0</v>
      </c>
    </row>
    <row r="45" spans="1:16">
      <c r="C45" s="257" t="s">
        <v>165</v>
      </c>
      <c r="D45" s="258">
        <f>D39</f>
        <v>1152.1280701358544</v>
      </c>
      <c r="E45" s="258">
        <f t="shared" ref="E45:K45" si="3">E39</f>
        <v>978.37720684766771</v>
      </c>
      <c r="F45" s="258">
        <f t="shared" si="3"/>
        <v>976.1776871736057</v>
      </c>
      <c r="G45" s="258">
        <f t="shared" si="3"/>
        <v>961.25213722862748</v>
      </c>
      <c r="H45" s="258">
        <f t="shared" si="3"/>
        <v>1132.7611683892062</v>
      </c>
      <c r="I45" s="258">
        <f t="shared" si="3"/>
        <v>1186.8932321315554</v>
      </c>
      <c r="J45" s="258">
        <f t="shared" si="3"/>
        <v>928.72454397773618</v>
      </c>
      <c r="K45" s="258">
        <f t="shared" si="3"/>
        <v>837.76612025313523</v>
      </c>
      <c r="L45" s="301"/>
    </row>
    <row r="46" spans="1:16">
      <c r="C46" s="257" t="s">
        <v>92</v>
      </c>
      <c r="D46" s="258">
        <f>'18-19 NGET'!D44</f>
        <v>-568.85899585512277</v>
      </c>
      <c r="E46" s="258">
        <f>'18-19 NGET'!E44</f>
        <v>-549.89961863661074</v>
      </c>
      <c r="F46" s="258">
        <f>'18-19 NGET'!F44</f>
        <v>-536.88830227380822</v>
      </c>
      <c r="G46" s="258">
        <f>'18-19 NGET'!G44</f>
        <v>-523.09693133301414</v>
      </c>
      <c r="H46" s="258">
        <f>'18-19 NGET'!H44</f>
        <v>-510.35729242605225</v>
      </c>
      <c r="I46" s="258">
        <f>'18-19 NGET'!I44</f>
        <v>-499.08660917668197</v>
      </c>
      <c r="J46" s="258">
        <f>'18-19 NGET'!J44</f>
        <v>-479.55827686084973</v>
      </c>
      <c r="K46" s="258">
        <f>'18-19 NGET'!K44</f>
        <v>-462.2100604895204</v>
      </c>
    </row>
    <row r="47" spans="1:16">
      <c r="C47" s="257" t="s">
        <v>93</v>
      </c>
      <c r="D47" s="258">
        <f>'18-19 NGET'!D45</f>
        <v>0</v>
      </c>
      <c r="E47" s="258">
        <f>'18-19 NGET'!E45</f>
        <v>-42.177798933676584</v>
      </c>
      <c r="F47" s="258">
        <f>'18-19 NGET'!F45</f>
        <v>-79.449311575492487</v>
      </c>
      <c r="G47" s="258">
        <f>'18-19 NGET'!G45</f>
        <v>-112.68089241544502</v>
      </c>
      <c r="H47" s="258">
        <f>'18-19 NGET'!H45</f>
        <v>-142.25788125324894</v>
      </c>
      <c r="I47" s="258">
        <f>'18-19 NGET'!I45</f>
        <v>-174.05468597996349</v>
      </c>
      <c r="J47" s="258">
        <f>'18-19 NGET'!J45</f>
        <v>-204.68418874464879</v>
      </c>
      <c r="K47" s="258">
        <f>'18-19 NGET'!K45</f>
        <v>-226.86268531725145</v>
      </c>
      <c r="P47" s="208"/>
    </row>
    <row r="48" spans="1:16" ht="13.8" thickBot="1">
      <c r="C48" s="261" t="s">
        <v>94</v>
      </c>
      <c r="D48" s="262">
        <f>'18-19 NGET'!D46</f>
        <v>9197.3563602380109</v>
      </c>
      <c r="E48" s="262">
        <f>'18-19 NGET'!E46</f>
        <v>9583.656149515391</v>
      </c>
      <c r="F48" s="262">
        <f>'18-19 NGET'!F46</f>
        <v>9943.4962228396962</v>
      </c>
      <c r="G48" s="262">
        <f>'18-19 NGET'!G46</f>
        <v>10268.970536319866</v>
      </c>
      <c r="H48" s="262">
        <f>'18-19 NGET'!H46</f>
        <v>10749.116531029773</v>
      </c>
      <c r="I48" s="262">
        <f>'18-19 NGET'!I46</f>
        <v>11262.868468004683</v>
      </c>
      <c r="J48" s="262">
        <f>'18-19 NGET'!J46</f>
        <v>11507.350546376922</v>
      </c>
      <c r="K48" s="262">
        <f>'18-19 NGET'!K46</f>
        <v>11656.043920823284</v>
      </c>
      <c r="P48" s="209"/>
    </row>
    <row r="49" spans="1:33">
      <c r="D49" s="53"/>
      <c r="E49" s="53"/>
      <c r="F49" s="53"/>
      <c r="G49" s="53"/>
      <c r="H49" s="53"/>
      <c r="I49" s="53"/>
      <c r="J49" s="53"/>
      <c r="K49" s="53"/>
      <c r="L49" s="53"/>
      <c r="M49" s="53"/>
    </row>
    <row r="50" spans="1:33" ht="13.8" thickBot="1">
      <c r="E50" s="109"/>
    </row>
    <row r="51" spans="1:33" ht="13.8" thickBot="1">
      <c r="A51" s="38" t="s">
        <v>364</v>
      </c>
      <c r="C51" s="255" t="s">
        <v>160</v>
      </c>
      <c r="E51" s="109"/>
      <c r="L51" s="243"/>
      <c r="M51" s="243"/>
    </row>
    <row r="52" spans="1:33" ht="13.8" thickBot="1">
      <c r="C52" s="255" t="s">
        <v>58</v>
      </c>
      <c r="D52" s="256" t="s">
        <v>59</v>
      </c>
      <c r="E52" s="256" t="s">
        <v>60</v>
      </c>
      <c r="F52" s="256" t="s">
        <v>61</v>
      </c>
      <c r="G52" s="256" t="s">
        <v>62</v>
      </c>
      <c r="H52" s="256" t="s">
        <v>63</v>
      </c>
      <c r="I52" s="256" t="s">
        <v>64</v>
      </c>
      <c r="J52" s="256" t="s">
        <v>65</v>
      </c>
      <c r="K52" s="256" t="s">
        <v>66</v>
      </c>
      <c r="R52" s="204"/>
    </row>
    <row r="53" spans="1:33">
      <c r="C53" s="257" t="s">
        <v>161</v>
      </c>
      <c r="D53" s="258">
        <f>'18-19 NGET'!D51</f>
        <v>8691.0913006079008</v>
      </c>
      <c r="E53" s="258">
        <f>'18-19 NGET'!E51</f>
        <v>9102.7058354218952</v>
      </c>
      <c r="F53" s="258">
        <f>'18-19 NGET'!F51</f>
        <v>9495.1365728703386</v>
      </c>
      <c r="G53" s="258">
        <f>'18-19 NGET'!G51</f>
        <v>9861.1075943657052</v>
      </c>
      <c r="H53" s="258">
        <f>'18-19 NGET'!H51</f>
        <v>10268.970536319866</v>
      </c>
      <c r="I53" s="258">
        <f>'18-19 NGET'!I51</f>
        <v>10749.116531029771</v>
      </c>
      <c r="J53" s="258">
        <f>'18-19 NGET'!J51</f>
        <v>11262.868468004683</v>
      </c>
      <c r="K53" s="258">
        <f>'18-19 NGET'!K51</f>
        <v>11507.35054637692</v>
      </c>
      <c r="R53" s="42"/>
    </row>
    <row r="54" spans="1:33">
      <c r="C54" s="257" t="s">
        <v>84</v>
      </c>
      <c r="D54" s="258">
        <f>D44</f>
        <v>-176.76646979458337</v>
      </c>
      <c r="E54" s="258">
        <f t="shared" ref="E54:K54" si="4">E44</f>
        <v>0</v>
      </c>
      <c r="F54" s="258">
        <f t="shared" si="4"/>
        <v>0</v>
      </c>
      <c r="G54" s="258">
        <f t="shared" si="4"/>
        <v>0</v>
      </c>
      <c r="H54" s="258">
        <f t="shared" si="4"/>
        <v>0</v>
      </c>
      <c r="I54" s="258">
        <f t="shared" si="4"/>
        <v>0</v>
      </c>
      <c r="J54" s="258">
        <f t="shared" si="4"/>
        <v>0</v>
      </c>
      <c r="K54" s="258">
        <f t="shared" si="4"/>
        <v>0</v>
      </c>
      <c r="R54" s="42"/>
    </row>
    <row r="55" spans="1:33">
      <c r="C55" s="257" t="s">
        <v>85</v>
      </c>
      <c r="D55" s="258">
        <f>'18-19 NGET'!D52</f>
        <v>0</v>
      </c>
      <c r="E55" s="258">
        <f>'18-19 NGET'!E52</f>
        <v>0</v>
      </c>
      <c r="F55" s="258">
        <f>'18-19 NGET'!F52</f>
        <v>0</v>
      </c>
      <c r="G55" s="258">
        <f>'18-19 NGET'!G52</f>
        <v>82.388628473992952</v>
      </c>
      <c r="H55" s="258">
        <f>'18-19 NGET'!H52</f>
        <v>0</v>
      </c>
      <c r="I55" s="258">
        <f>'18-19 NGET'!I52</f>
        <v>0</v>
      </c>
      <c r="J55" s="258">
        <f>'18-19 NGET'!J52</f>
        <v>0</v>
      </c>
      <c r="K55" s="258">
        <f>'18-19 NGET'!K52</f>
        <v>0</v>
      </c>
      <c r="R55" s="42"/>
    </row>
    <row r="56" spans="1:33">
      <c r="C56" s="257" t="s">
        <v>86</v>
      </c>
      <c r="D56" s="258">
        <f>D39</f>
        <v>1152.1280701358544</v>
      </c>
      <c r="E56" s="258">
        <f t="shared" ref="E56:K56" si="5">E39</f>
        <v>978.37720684766771</v>
      </c>
      <c r="F56" s="258">
        <f t="shared" si="5"/>
        <v>976.1776871736057</v>
      </c>
      <c r="G56" s="258">
        <f t="shared" si="5"/>
        <v>961.25213722862748</v>
      </c>
      <c r="H56" s="258">
        <f t="shared" si="5"/>
        <v>1132.7611683892062</v>
      </c>
      <c r="I56" s="258">
        <f t="shared" si="5"/>
        <v>1186.8932321315554</v>
      </c>
      <c r="J56" s="258">
        <f t="shared" si="5"/>
        <v>928.72454397773618</v>
      </c>
      <c r="K56" s="258">
        <f t="shared" si="5"/>
        <v>837.76612025313523</v>
      </c>
      <c r="R56" s="42"/>
    </row>
    <row r="57" spans="1:33">
      <c r="C57" s="257" t="s">
        <v>87</v>
      </c>
      <c r="D57" s="258">
        <f>'18-19 NGET'!D54</f>
        <v>-563.74706552727753</v>
      </c>
      <c r="E57" s="258">
        <f>'18-19 NGET'!E54</f>
        <v>-585.94646939922586</v>
      </c>
      <c r="F57" s="258">
        <f>'18-19 NGET'!F54</f>
        <v>-610.20666567823923</v>
      </c>
      <c r="G57" s="258">
        <f>'18-19 NGET'!G54</f>
        <v>-635.77782374845913</v>
      </c>
      <c r="H57" s="258">
        <f>'18-19 NGET'!H54</f>
        <v>-652.61517367930117</v>
      </c>
      <c r="I57" s="258">
        <f>'18-19 NGET'!I54</f>
        <v>-673.14129515664547</v>
      </c>
      <c r="J57" s="258">
        <f>'18-19 NGET'!J54</f>
        <v>-684.24246560549852</v>
      </c>
      <c r="K57" s="258">
        <f>'18-19 NGET'!K54</f>
        <v>-689.07274580677188</v>
      </c>
      <c r="R57" s="42"/>
    </row>
    <row r="58" spans="1:33">
      <c r="C58" s="259" t="s">
        <v>162</v>
      </c>
      <c r="D58" s="260">
        <f>'18-19 NGET'!D55</f>
        <v>9102.7058354218952</v>
      </c>
      <c r="E58" s="260">
        <f>'18-19 NGET'!E55</f>
        <v>9495.1365728703386</v>
      </c>
      <c r="F58" s="260">
        <f>'18-19 NGET'!F55</f>
        <v>9861.1075943657052</v>
      </c>
      <c r="G58" s="260">
        <f>'18-19 NGET'!G55</f>
        <v>10268.970536319866</v>
      </c>
      <c r="H58" s="260">
        <f>'18-19 NGET'!H55</f>
        <v>10749.116531029771</v>
      </c>
      <c r="I58" s="260">
        <f>'18-19 NGET'!I55</f>
        <v>11262.868468004683</v>
      </c>
      <c r="J58" s="260">
        <f>'18-19 NGET'!J55</f>
        <v>11507.35054637692</v>
      </c>
      <c r="K58" s="260">
        <f>'18-19 NGET'!K55</f>
        <v>11656.043920823282</v>
      </c>
      <c r="O58" s="189"/>
      <c r="Q58" s="210"/>
      <c r="R58" s="50"/>
    </row>
    <row r="59" spans="1:33" ht="13.8" thickBot="1">
      <c r="C59" s="264" t="s">
        <v>163</v>
      </c>
      <c r="D59" s="265">
        <f>'18-19 NGET'!D56</f>
        <v>94.650524816115961</v>
      </c>
      <c r="E59" s="265">
        <f>'18-19 NGET'!E56</f>
        <v>88.519576645054457</v>
      </c>
      <c r="F59" s="265">
        <f>'18-19 NGET'!F56</f>
        <v>82.388628473992952</v>
      </c>
      <c r="G59" s="265">
        <f>'18-19 NGET'!G56</f>
        <v>0</v>
      </c>
      <c r="H59" s="265">
        <f>'18-19 NGET'!H56</f>
        <v>0</v>
      </c>
      <c r="I59" s="265">
        <f>'18-19 NGET'!I56</f>
        <v>0</v>
      </c>
      <c r="J59" s="265">
        <f>'18-19 NGET'!J56</f>
        <v>0</v>
      </c>
      <c r="K59" s="265">
        <f>'18-19 NGET'!K56</f>
        <v>0</v>
      </c>
      <c r="R59" s="42"/>
    </row>
    <row r="60" spans="1:33" ht="13.8" thickBot="1">
      <c r="D60" s="53"/>
      <c r="E60" s="53"/>
      <c r="F60" s="53"/>
      <c r="G60" s="53"/>
      <c r="H60" s="53"/>
      <c r="I60" s="53"/>
      <c r="J60" s="53"/>
      <c r="K60" s="53"/>
      <c r="L60" s="53"/>
      <c r="M60" s="53"/>
      <c r="N60" s="53"/>
      <c r="S60" s="53"/>
    </row>
    <row r="61" spans="1:33" ht="13.8" thickBot="1">
      <c r="C61" s="255" t="s">
        <v>167</v>
      </c>
      <c r="D61" s="53"/>
      <c r="E61" s="53"/>
      <c r="F61" s="53"/>
      <c r="G61" s="53"/>
      <c r="H61" s="53"/>
      <c r="I61" s="53"/>
      <c r="J61" s="53"/>
      <c r="K61" s="53"/>
      <c r="L61" s="243"/>
      <c r="M61" s="243"/>
      <c r="N61" s="243"/>
      <c r="O61" s="243"/>
      <c r="S61" s="207"/>
    </row>
    <row r="62" spans="1:33" ht="12.75" customHeight="1" thickBot="1">
      <c r="C62" s="255" t="s">
        <v>58</v>
      </c>
      <c r="D62" s="256" t="s">
        <v>59</v>
      </c>
      <c r="E62" s="256" t="s">
        <v>60</v>
      </c>
      <c r="F62" s="256" t="s">
        <v>61</v>
      </c>
      <c r="G62" s="256" t="s">
        <v>62</v>
      </c>
      <c r="H62" s="256" t="s">
        <v>63</v>
      </c>
      <c r="I62" s="256" t="s">
        <v>64</v>
      </c>
      <c r="J62" s="256" t="s">
        <v>65</v>
      </c>
      <c r="K62" s="256" t="s">
        <v>66</v>
      </c>
      <c r="L62" s="256" t="s">
        <v>118</v>
      </c>
      <c r="S62" s="204"/>
      <c r="V62" s="12"/>
      <c r="W62" s="204"/>
      <c r="X62" s="204"/>
      <c r="Y62" s="204"/>
      <c r="Z62" s="204"/>
      <c r="AA62" s="204"/>
      <c r="AB62" s="204"/>
      <c r="AC62" s="204"/>
      <c r="AD62" s="204"/>
    </row>
    <row r="63" spans="1:33" ht="12.75" customHeight="1">
      <c r="C63" s="257" t="s">
        <v>79</v>
      </c>
      <c r="D63" s="258">
        <f>'18-19 NGET'!D60</f>
        <v>203.31671825926844</v>
      </c>
      <c r="E63" s="258">
        <f>'18-19 NGET'!E60</f>
        <v>172.65480120841212</v>
      </c>
      <c r="F63" s="258">
        <f>'18-19 NGET'!F60</f>
        <v>172.26665067769514</v>
      </c>
      <c r="G63" s="258">
        <f>'18-19 NGET'!G60</f>
        <v>169.63273009916944</v>
      </c>
      <c r="H63" s="258">
        <f>'18-19 NGET'!H60</f>
        <v>199.8990297157423</v>
      </c>
      <c r="I63" s="258">
        <f>'18-19 NGET'!I60</f>
        <v>209.45174684674492</v>
      </c>
      <c r="J63" s="258">
        <f>'18-19 NGET'!J60</f>
        <v>163.89256658430642</v>
      </c>
      <c r="K63" s="258">
        <f>'18-19 NGET'!K60</f>
        <v>147.84108004467095</v>
      </c>
      <c r="L63" s="293">
        <f>'18-19 NGET'!L60</f>
        <v>1438.9553234360096</v>
      </c>
      <c r="S63" s="42"/>
      <c r="V63" s="10"/>
      <c r="W63" s="42"/>
      <c r="X63" s="42"/>
      <c r="Y63" s="42"/>
      <c r="Z63" s="42"/>
      <c r="AA63" s="42"/>
      <c r="AB63" s="42"/>
      <c r="AC63" s="42"/>
      <c r="AD63" s="42"/>
      <c r="AE63" s="109"/>
      <c r="AF63" s="109"/>
      <c r="AG63" s="109"/>
    </row>
    <row r="64" spans="1:33" ht="12.75" customHeight="1">
      <c r="C64" s="257" t="s">
        <v>98</v>
      </c>
      <c r="D64" s="258">
        <f>'18-19 NGET'!D61</f>
        <v>94.24723304227993</v>
      </c>
      <c r="E64" s="258">
        <f>'18-19 NGET'!E61</f>
        <v>87.678224204681584</v>
      </c>
      <c r="F64" s="258">
        <f>'18-19 NGET'!F61</f>
        <v>87.676243763178761</v>
      </c>
      <c r="G64" s="258">
        <f>'18-19 NGET'!G61</f>
        <v>87.677481779017953</v>
      </c>
      <c r="H64" s="258">
        <f>'18-19 NGET'!H61</f>
        <v>87.676244486345595</v>
      </c>
      <c r="I64" s="258">
        <f>'18-19 NGET'!I61</f>
        <v>87.676244488148086</v>
      </c>
      <c r="J64" s="258">
        <f>'18-19 NGET'!J61</f>
        <v>87.676244492723825</v>
      </c>
      <c r="K64" s="258">
        <f>'18-19 NGET'!K61</f>
        <v>87.676244462267519</v>
      </c>
      <c r="L64" s="293">
        <f>'18-19 NGET'!L61</f>
        <v>707.98416071864324</v>
      </c>
      <c r="S64" s="42"/>
      <c r="V64" s="10"/>
      <c r="W64" s="42"/>
      <c r="X64" s="42"/>
      <c r="Y64" s="42"/>
      <c r="Z64" s="42"/>
      <c r="AA64" s="42"/>
      <c r="AB64" s="42"/>
      <c r="AC64" s="42"/>
      <c r="AD64" s="42"/>
      <c r="AE64" s="109"/>
      <c r="AF64" s="109"/>
      <c r="AG64" s="109"/>
    </row>
    <row r="65" spans="1:33" ht="12.75" customHeight="1">
      <c r="C65" s="257" t="s">
        <v>99</v>
      </c>
      <c r="D65" s="258">
        <f>'18-19 NGET'!D62</f>
        <v>32.057225303006618</v>
      </c>
      <c r="E65" s="258">
        <f>'18-19 NGET'!E62</f>
        <v>31.92938591920073</v>
      </c>
      <c r="F65" s="258">
        <f>'18-19 NGET'!F62</f>
        <v>35.659710857037616</v>
      </c>
      <c r="G65" s="258">
        <f>'18-19 NGET'!G62</f>
        <v>35.934713792776314</v>
      </c>
      <c r="H65" s="258">
        <f>'18-19 NGET'!H62</f>
        <v>35.811112850332755</v>
      </c>
      <c r="I65" s="258">
        <f>'18-19 NGET'!I62</f>
        <v>31.152740354303024</v>
      </c>
      <c r="J65" s="258">
        <f>'18-19 NGET'!J62</f>
        <v>31.433209673984788</v>
      </c>
      <c r="K65" s="258">
        <f>'18-19 NGET'!K62</f>
        <v>31.31691225093137</v>
      </c>
      <c r="L65" s="293">
        <f>'18-19 NGET'!L62</f>
        <v>265.29501100157319</v>
      </c>
      <c r="S65" s="42"/>
      <c r="V65" s="10"/>
      <c r="W65" s="42"/>
      <c r="X65" s="42"/>
      <c r="Y65" s="42"/>
      <c r="Z65" s="42"/>
      <c r="AA65" s="42"/>
      <c r="AB65" s="42"/>
      <c r="AC65" s="42"/>
      <c r="AD65" s="42"/>
      <c r="AE65" s="109"/>
      <c r="AF65" s="109"/>
      <c r="AG65" s="109"/>
    </row>
    <row r="66" spans="1:33" ht="12.75" customHeight="1">
      <c r="C66" s="257" t="s">
        <v>100</v>
      </c>
      <c r="D66" s="258">
        <f>'18-19 NGET'!D63</f>
        <v>0</v>
      </c>
      <c r="E66" s="258">
        <f>'18-19 NGET'!E63</f>
        <v>0</v>
      </c>
      <c r="F66" s="258">
        <f>'18-19 NGET'!F63</f>
        <v>0</v>
      </c>
      <c r="G66" s="258">
        <f>'18-19 NGET'!G63</f>
        <v>0</v>
      </c>
      <c r="H66" s="258">
        <f>'18-19 NGET'!H63</f>
        <v>0</v>
      </c>
      <c r="I66" s="258">
        <f>'18-19 NGET'!I63</f>
        <v>0</v>
      </c>
      <c r="J66" s="258">
        <f>'18-19 NGET'!J63</f>
        <v>0</v>
      </c>
      <c r="K66" s="258">
        <f>'18-19 NGET'!K63</f>
        <v>0</v>
      </c>
      <c r="L66" s="293">
        <f>'18-19 NGET'!L63</f>
        <v>0</v>
      </c>
      <c r="S66" s="42"/>
      <c r="V66" s="10"/>
      <c r="W66" s="42"/>
      <c r="X66" s="42"/>
      <c r="Y66" s="42"/>
      <c r="Z66" s="42"/>
      <c r="AA66" s="42"/>
      <c r="AB66" s="42"/>
      <c r="AC66" s="42"/>
      <c r="AD66" s="42"/>
      <c r="AE66" s="109"/>
      <c r="AF66" s="109"/>
      <c r="AG66" s="109"/>
    </row>
    <row r="67" spans="1:33" ht="12.75" customHeight="1">
      <c r="C67" s="257" t="s">
        <v>101</v>
      </c>
      <c r="D67" s="258">
        <f>'18-19 NGET'!D64</f>
        <v>15.168246288518162</v>
      </c>
      <c r="E67" s="258">
        <f>'18-19 NGET'!E64</f>
        <v>16.275110005972994</v>
      </c>
      <c r="F67" s="258">
        <f>'18-19 NGET'!F64</f>
        <v>15.614702904478012</v>
      </c>
      <c r="G67" s="258">
        <f>'18-19 NGET'!G64</f>
        <v>14.911674359737152</v>
      </c>
      <c r="H67" s="258">
        <f>'18-19 NGET'!H64</f>
        <v>13.033415757853545</v>
      </c>
      <c r="I67" s="258">
        <f>'18-19 NGET'!I64</f>
        <v>12.556067765830047</v>
      </c>
      <c r="J67" s="258">
        <f>'18-19 NGET'!J64</f>
        <v>11.285100906339711</v>
      </c>
      <c r="K67" s="258">
        <f>'18-19 NGET'!K64</f>
        <v>9.8268179419485548</v>
      </c>
      <c r="L67" s="293">
        <f>'18-19 NGET'!L64</f>
        <v>108.67113593067819</v>
      </c>
      <c r="S67" s="42"/>
      <c r="V67" s="10"/>
      <c r="W67" s="42"/>
      <c r="X67" s="42"/>
      <c r="Y67" s="42"/>
      <c r="Z67" s="42"/>
      <c r="AA67" s="42"/>
      <c r="AB67" s="42"/>
      <c r="AC67" s="42"/>
      <c r="AD67" s="42"/>
      <c r="AE67" s="109"/>
      <c r="AF67" s="109"/>
      <c r="AG67" s="109"/>
    </row>
    <row r="68" spans="1:33" ht="12.75" customHeight="1">
      <c r="C68" s="257" t="s">
        <v>102</v>
      </c>
      <c r="D68" s="258">
        <f>'18-19 NGET'!D65</f>
        <v>81.998273467834636</v>
      </c>
      <c r="E68" s="258">
        <f>'18-19 NGET'!E65</f>
        <v>66.375777597272602</v>
      </c>
      <c r="F68" s="258">
        <f>'18-19 NGET'!F65</f>
        <v>72.958625217389994</v>
      </c>
      <c r="G68" s="258">
        <f>'18-19 NGET'!G65</f>
        <v>85.671676871074524</v>
      </c>
      <c r="H68" s="258">
        <f>'18-19 NGET'!H65</f>
        <v>78.069319386527397</v>
      </c>
      <c r="I68" s="258">
        <f>'18-19 NGET'!I65</f>
        <v>76.386482280793544</v>
      </c>
      <c r="J68" s="258">
        <f>'18-19 NGET'!J65</f>
        <v>75.513506255144293</v>
      </c>
      <c r="K68" s="258">
        <f>'18-19 NGET'!K65</f>
        <v>81.333319342518976</v>
      </c>
      <c r="L68" s="293">
        <f>'18-19 NGET'!L65</f>
        <v>618.3069804185559</v>
      </c>
      <c r="S68" s="42"/>
      <c r="V68" s="10"/>
      <c r="W68" s="42"/>
      <c r="X68" s="42"/>
      <c r="Y68" s="42"/>
      <c r="Z68" s="42"/>
      <c r="AA68" s="42"/>
      <c r="AB68" s="42"/>
      <c r="AC68" s="42"/>
      <c r="AD68" s="42"/>
      <c r="AE68" s="109"/>
      <c r="AF68" s="109"/>
      <c r="AG68" s="109"/>
    </row>
    <row r="69" spans="1:33" ht="12.75" customHeight="1">
      <c r="C69" s="257" t="s">
        <v>103</v>
      </c>
      <c r="D69" s="258">
        <f>'18-19 NGET'!D66</f>
        <v>959.7137608844987</v>
      </c>
      <c r="E69" s="258">
        <f>'18-19 NGET'!E66</f>
        <v>989.14495183099552</v>
      </c>
      <c r="F69" s="258">
        <f>'18-19 NGET'!F66</f>
        <v>1020.4087691242421</v>
      </c>
      <c r="G69" s="258">
        <f>'18-19 NGET'!G66</f>
        <v>1054.2632943108899</v>
      </c>
      <c r="H69" s="258">
        <f>'18-19 NGET'!H66</f>
        <v>1078.0367570657227</v>
      </c>
      <c r="I69" s="258">
        <f>'18-19 NGET'!I66</f>
        <v>1106.621692424558</v>
      </c>
      <c r="J69" s="258">
        <f>'18-19 NGET'!J66</f>
        <v>1132.7660575653217</v>
      </c>
      <c r="K69" s="258">
        <f>'18-19 NGET'!K66</f>
        <v>1145.379841334629</v>
      </c>
      <c r="L69" s="293">
        <f>'18-19 NGET'!L66</f>
        <v>8486.3351245408576</v>
      </c>
      <c r="S69" s="42"/>
      <c r="V69" s="10"/>
      <c r="W69" s="42"/>
      <c r="X69" s="42"/>
      <c r="Y69" s="42"/>
      <c r="Z69" s="42"/>
      <c r="AA69" s="42"/>
      <c r="AB69" s="42"/>
      <c r="AC69" s="42"/>
      <c r="AD69" s="42"/>
      <c r="AE69" s="109"/>
      <c r="AF69" s="109"/>
      <c r="AG69" s="109"/>
    </row>
    <row r="70" spans="1:33" ht="12.75" customHeight="1">
      <c r="C70" s="257" t="s">
        <v>168</v>
      </c>
      <c r="D70" s="258">
        <f>'18-19 NGET'!D67</f>
        <v>13.751034124367685</v>
      </c>
      <c r="E70" s="258">
        <f>'18-19 NGET'!E67</f>
        <v>13.274690050778315</v>
      </c>
      <c r="F70" s="258">
        <f>'18-19 NGET'!F67</f>
        <v>12.798257977175346</v>
      </c>
      <c r="G70" s="258">
        <f>'18-19 NGET'!G67</f>
        <v>0</v>
      </c>
      <c r="H70" s="258">
        <f>'18-19 NGET'!H67</f>
        <v>0</v>
      </c>
      <c r="I70" s="258">
        <f>'18-19 NGET'!I67</f>
        <v>0</v>
      </c>
      <c r="J70" s="258">
        <f>'18-19 NGET'!J67</f>
        <v>0</v>
      </c>
      <c r="K70" s="258">
        <f>'18-19 NGET'!K67</f>
        <v>0</v>
      </c>
      <c r="L70" s="293">
        <f>'18-19 NGET'!L67</f>
        <v>39.823982152321349</v>
      </c>
      <c r="S70" s="42"/>
      <c r="V70" s="10"/>
      <c r="W70" s="42"/>
      <c r="X70" s="42"/>
      <c r="Y70" s="42"/>
      <c r="Z70" s="42"/>
      <c r="AA70" s="42"/>
      <c r="AB70" s="42"/>
      <c r="AC70" s="42"/>
      <c r="AD70" s="42"/>
      <c r="AE70" s="109"/>
      <c r="AF70" s="109"/>
      <c r="AG70" s="109"/>
    </row>
    <row r="71" spans="1:33" ht="12.75" customHeight="1">
      <c r="C71" s="257" t="s">
        <v>169</v>
      </c>
      <c r="D71" s="258">
        <f>'18-19 NGET'!D68</f>
        <v>45.227617148338091</v>
      </c>
      <c r="E71" s="258">
        <f>'18-19 NGET'!E68</f>
        <v>45.772599700352401</v>
      </c>
      <c r="F71" s="258">
        <f>'18-19 NGET'!F68</f>
        <v>46.828621067377675</v>
      </c>
      <c r="G71" s="258">
        <f>'18-19 NGET'!G68</f>
        <v>46.363697326106404</v>
      </c>
      <c r="H71" s="258">
        <f>'18-19 NGET'!H68</f>
        <v>48.139238219621106</v>
      </c>
      <c r="I71" s="258">
        <f>'18-19 NGET'!I68</f>
        <v>49.732146571285512</v>
      </c>
      <c r="J71" s="258">
        <f>'18-19 NGET'!J68</f>
        <v>51.535335060519756</v>
      </c>
      <c r="K71" s="258">
        <f>'18-19 NGET'!K68</f>
        <v>53.414707903251454</v>
      </c>
      <c r="L71" s="293">
        <f>'18-19 NGET'!L68</f>
        <v>387.01396299685234</v>
      </c>
      <c r="S71" s="42"/>
      <c r="V71" s="220"/>
      <c r="W71" s="42"/>
      <c r="X71" s="42"/>
      <c r="Y71" s="42"/>
      <c r="Z71" s="42"/>
      <c r="AA71" s="42"/>
      <c r="AB71" s="42"/>
      <c r="AC71" s="42"/>
      <c r="AD71" s="42"/>
      <c r="AE71" s="109"/>
      <c r="AF71" s="109"/>
      <c r="AG71" s="109"/>
    </row>
    <row r="72" spans="1:33" ht="12.75" customHeight="1" thickBot="1">
      <c r="C72" s="261" t="s">
        <v>107</v>
      </c>
      <c r="D72" s="262">
        <f>'18-19 NGET'!D69</f>
        <v>1445.4801085181123</v>
      </c>
      <c r="E72" s="262">
        <f>'18-19 NGET'!E69</f>
        <v>1423.1055405176664</v>
      </c>
      <c r="F72" s="262">
        <f>'18-19 NGET'!F69</f>
        <v>1464.2115815885747</v>
      </c>
      <c r="G72" s="262">
        <f>'18-19 NGET'!G69</f>
        <v>1494.4552685387716</v>
      </c>
      <c r="H72" s="262">
        <f>'18-19 NGET'!H69</f>
        <v>1540.6651174821454</v>
      </c>
      <c r="I72" s="262">
        <f>'18-19 NGET'!I69</f>
        <v>1573.5771207316632</v>
      </c>
      <c r="J72" s="262">
        <f>'18-19 NGET'!J69</f>
        <v>1554.1020205383406</v>
      </c>
      <c r="K72" s="262">
        <f>'18-19 NGET'!K69</f>
        <v>1556.7889232802177</v>
      </c>
      <c r="L72" s="263">
        <f>'18-19 NGET'!L69</f>
        <v>12052.385681195492</v>
      </c>
      <c r="S72" s="50"/>
      <c r="V72" s="220"/>
      <c r="W72" s="42"/>
      <c r="X72" s="42"/>
      <c r="Y72" s="42"/>
      <c r="Z72" s="42"/>
      <c r="AA72" s="42"/>
      <c r="AB72" s="42"/>
      <c r="AC72" s="42"/>
      <c r="AD72" s="42"/>
      <c r="AE72" s="109"/>
      <c r="AF72" s="109"/>
      <c r="AG72" s="109"/>
    </row>
    <row r="73" spans="1:33" ht="12.75" customHeight="1">
      <c r="C73" s="259"/>
      <c r="D73" s="260"/>
      <c r="E73" s="260"/>
      <c r="F73" s="260"/>
      <c r="G73" s="260"/>
      <c r="H73" s="260"/>
      <c r="I73" s="309"/>
      <c r="J73" s="309"/>
      <c r="K73" s="309"/>
      <c r="L73" s="309"/>
      <c r="S73" s="50"/>
      <c r="V73" s="220"/>
      <c r="W73" s="42"/>
      <c r="X73" s="42"/>
      <c r="Y73" s="42"/>
      <c r="Z73" s="42"/>
      <c r="AA73" s="42"/>
      <c r="AB73" s="42"/>
      <c r="AC73" s="42"/>
      <c r="AD73" s="42"/>
      <c r="AE73" s="109"/>
      <c r="AF73" s="109"/>
      <c r="AG73" s="109"/>
    </row>
    <row r="74" spans="1:33" ht="12.75" customHeight="1">
      <c r="D74" s="53"/>
      <c r="E74" s="53"/>
      <c r="F74" s="53"/>
      <c r="G74" s="53"/>
      <c r="H74" s="53"/>
      <c r="I74" s="53"/>
      <c r="J74" s="53"/>
      <c r="K74" s="53"/>
      <c r="L74" s="53"/>
      <c r="M74" s="53"/>
      <c r="N74" s="53"/>
      <c r="O74" s="53"/>
      <c r="S74" s="50"/>
      <c r="V74" s="220"/>
      <c r="W74" s="42"/>
      <c r="X74" s="42"/>
      <c r="Y74" s="42"/>
      <c r="Z74" s="42"/>
      <c r="AA74" s="42"/>
      <c r="AB74" s="42"/>
      <c r="AC74" s="42"/>
      <c r="AD74" s="42"/>
      <c r="AE74" s="109"/>
      <c r="AF74" s="109"/>
      <c r="AG74" s="109"/>
    </row>
    <row r="75" spans="1:33" ht="12.75" customHeight="1" thickBot="1">
      <c r="C75" s="12" t="s">
        <v>179</v>
      </c>
      <c r="D75" s="53"/>
      <c r="E75" s="53"/>
      <c r="F75" s="53"/>
      <c r="G75" s="53"/>
      <c r="H75" s="53"/>
      <c r="I75" s="53"/>
      <c r="J75" s="53"/>
      <c r="K75" s="53"/>
      <c r="L75" s="329"/>
      <c r="M75" s="243"/>
      <c r="N75" s="243"/>
      <c r="S75" s="50"/>
      <c r="V75" s="220"/>
      <c r="W75" s="42"/>
      <c r="X75" s="42"/>
      <c r="Y75" s="42"/>
      <c r="Z75" s="42"/>
      <c r="AA75" s="42"/>
      <c r="AB75" s="42"/>
      <c r="AC75" s="42"/>
      <c r="AD75" s="42"/>
      <c r="AE75" s="109"/>
      <c r="AF75" s="109"/>
      <c r="AG75" s="109"/>
    </row>
    <row r="76" spans="1:33" ht="12.75" customHeight="1" thickBot="1">
      <c r="A76" s="38"/>
      <c r="C76" s="255" t="s">
        <v>58</v>
      </c>
      <c r="D76" s="256" t="s">
        <v>59</v>
      </c>
      <c r="E76" s="256" t="s">
        <v>60</v>
      </c>
      <c r="F76" s="256" t="s">
        <v>61</v>
      </c>
      <c r="G76" s="256" t="s">
        <v>62</v>
      </c>
      <c r="H76" s="256" t="s">
        <v>63</v>
      </c>
      <c r="I76" s="256" t="s">
        <v>64</v>
      </c>
      <c r="J76" s="256" t="s">
        <v>65</v>
      </c>
      <c r="K76" s="256" t="s">
        <v>66</v>
      </c>
      <c r="O76" s="53"/>
      <c r="S76" s="50"/>
      <c r="V76" s="220"/>
      <c r="W76" s="42"/>
      <c r="X76" s="42"/>
      <c r="Y76" s="42"/>
      <c r="Z76" s="42"/>
      <c r="AA76" s="42"/>
      <c r="AB76" s="42"/>
      <c r="AC76" s="42"/>
      <c r="AD76" s="42"/>
      <c r="AE76" s="109"/>
      <c r="AF76" s="109"/>
      <c r="AG76" s="109"/>
    </row>
    <row r="77" spans="1:33" ht="12.75" customHeight="1">
      <c r="C77" s="257" t="s">
        <v>180</v>
      </c>
      <c r="D77" s="258">
        <f>'ET workings 18-19'!D142</f>
        <v>19.092223163426969</v>
      </c>
      <c r="E77" s="258">
        <f>'ET workings 18-19'!E142</f>
        <v>19.938390494030049</v>
      </c>
      <c r="F77" s="258">
        <f>'ET workings 18-19'!F142</f>
        <v>20.801722802421548</v>
      </c>
      <c r="G77" s="258">
        <f>'ET workings 18-19'!G142</f>
        <v>21.681219642507934</v>
      </c>
      <c r="H77" s="258">
        <f>'ET workings 18-19'!H142</f>
        <v>22.577087638136362</v>
      </c>
      <c r="I77" s="258">
        <f>'ET workings 18-19'!I142</f>
        <v>23.484235019436685</v>
      </c>
      <c r="J77" s="258">
        <f>'ET workings 18-19'!J142</f>
        <v>24.427831582517655</v>
      </c>
      <c r="K77" s="258">
        <f>'ET workings 18-19'!K142</f>
        <v>25.409341855503218</v>
      </c>
      <c r="O77" s="53"/>
      <c r="S77" s="50"/>
      <c r="V77" s="220"/>
      <c r="W77" s="42"/>
      <c r="X77" s="42"/>
      <c r="Y77" s="42"/>
      <c r="Z77" s="42"/>
      <c r="AA77" s="42"/>
      <c r="AB77" s="42"/>
      <c r="AC77" s="42"/>
      <c r="AD77" s="42"/>
      <c r="AE77" s="109"/>
      <c r="AF77" s="109"/>
      <c r="AG77" s="109"/>
    </row>
    <row r="78" spans="1:33" ht="12.75" customHeight="1">
      <c r="C78" s="257" t="s">
        <v>181</v>
      </c>
      <c r="D78" s="258">
        <f>'ET workings 18-19'!D143</f>
        <v>18.768393984911107</v>
      </c>
      <c r="E78" s="258">
        <f>'ET workings 18-19'!E143</f>
        <v>19.600209206322365</v>
      </c>
      <c r="F78" s="258">
        <f>'ET workings 18-19'!F143</f>
        <v>20.448898264956121</v>
      </c>
      <c r="G78" s="258">
        <f>'ET workings 18-19'!G143</f>
        <v>21.313477683598467</v>
      </c>
      <c r="H78" s="258">
        <f>'ET workings 18-19'!H143</f>
        <v>22.194150581484756</v>
      </c>
      <c r="I78" s="258">
        <f>'ET workings 18-19'!I143</f>
        <v>23.085911551848817</v>
      </c>
      <c r="J78" s="258">
        <f>'ET workings 18-19'!J143</f>
        <v>24.013503478002107</v>
      </c>
      <c r="K78" s="258">
        <f>'ET workings 18-19'!K143</f>
        <v>24.978366047748235</v>
      </c>
      <c r="O78" s="53"/>
      <c r="S78" s="50"/>
      <c r="V78" s="220"/>
      <c r="W78" s="42"/>
      <c r="X78" s="42"/>
      <c r="Y78" s="42"/>
      <c r="Z78" s="42"/>
      <c r="AA78" s="42"/>
      <c r="AB78" s="42"/>
      <c r="AC78" s="42"/>
      <c r="AD78" s="42"/>
      <c r="AE78" s="109"/>
      <c r="AF78" s="109"/>
      <c r="AG78" s="109"/>
    </row>
    <row r="79" spans="1:33" ht="12.75" customHeight="1">
      <c r="C79" s="257" t="s">
        <v>182</v>
      </c>
      <c r="D79" s="258">
        <f>'ET workings 18-19'!D145</f>
        <v>7.367</v>
      </c>
      <c r="E79" s="258">
        <f>'ET workings 18-19'!E145</f>
        <v>6.234</v>
      </c>
      <c r="F79" s="258">
        <f>'ET workings 18-19'!F145</f>
        <v>5.5780000000000003</v>
      </c>
      <c r="G79" s="258">
        <f>'ET workings 18-19'!G145</f>
        <v>3.3689999999999998</v>
      </c>
      <c r="H79" s="258">
        <f>'ET workings 18-19'!H145</f>
        <v>3.3680000000000003</v>
      </c>
      <c r="I79" s="258">
        <f>'ET workings 18-19'!I145</f>
        <v>3.1619999999999999</v>
      </c>
      <c r="J79" s="258">
        <f>'ET workings 18-19'!J145</f>
        <v>3.0940000000000003</v>
      </c>
      <c r="K79" s="258">
        <f>'ET workings 18-19'!K145</f>
        <v>3.0270000000000001</v>
      </c>
      <c r="O79" s="53"/>
      <c r="S79" s="50"/>
      <c r="V79" s="220"/>
      <c r="W79" s="42"/>
      <c r="X79" s="42"/>
      <c r="Y79" s="42"/>
      <c r="Z79" s="42"/>
      <c r="AA79" s="42"/>
      <c r="AB79" s="42"/>
      <c r="AC79" s="42"/>
      <c r="AD79" s="42"/>
      <c r="AE79" s="109"/>
      <c r="AF79" s="109"/>
      <c r="AG79" s="109"/>
    </row>
    <row r="80" spans="1:33" ht="12.75" customHeight="1" thickBot="1">
      <c r="C80" s="261" t="s">
        <v>169</v>
      </c>
      <c r="D80" s="262">
        <f t="shared" ref="D80:E80" si="6">SUM(D77:D79)</f>
        <v>45.227617148338076</v>
      </c>
      <c r="E80" s="262">
        <f t="shared" si="6"/>
        <v>45.772599700352416</v>
      </c>
      <c r="F80" s="262">
        <f t="shared" ref="F80:K80" si="7">SUM(F77:F79)</f>
        <v>46.828621067377668</v>
      </c>
      <c r="G80" s="262">
        <f t="shared" si="7"/>
        <v>46.363697326106404</v>
      </c>
      <c r="H80" s="262">
        <f t="shared" si="7"/>
        <v>48.13923821962112</v>
      </c>
      <c r="I80" s="263">
        <f t="shared" si="7"/>
        <v>49.732146571285504</v>
      </c>
      <c r="J80" s="263">
        <f t="shared" si="7"/>
        <v>51.535335060519763</v>
      </c>
      <c r="K80" s="263">
        <f t="shared" si="7"/>
        <v>53.414707903251454</v>
      </c>
      <c r="O80" s="53"/>
      <c r="S80" s="50"/>
      <c r="V80" s="220"/>
      <c r="W80" s="42"/>
      <c r="X80" s="42"/>
      <c r="Y80" s="42"/>
      <c r="Z80" s="42"/>
      <c r="AA80" s="42"/>
      <c r="AB80" s="42"/>
      <c r="AC80" s="42"/>
      <c r="AD80" s="42"/>
      <c r="AE80" s="109"/>
      <c r="AF80" s="109"/>
      <c r="AG80" s="109"/>
    </row>
    <row r="81" spans="1:33">
      <c r="L81" s="28"/>
      <c r="V81" s="220"/>
      <c r="W81" s="42"/>
      <c r="X81" s="42"/>
      <c r="Y81" s="42"/>
      <c r="Z81" s="42"/>
      <c r="AA81" s="42"/>
      <c r="AB81" s="42"/>
      <c r="AC81" s="42"/>
      <c r="AD81" s="42"/>
      <c r="AE81" s="109"/>
      <c r="AF81" s="109"/>
      <c r="AG81" s="109"/>
    </row>
    <row r="82" spans="1:33" ht="13.8" thickBot="1">
      <c r="A82" s="38"/>
      <c r="L82" s="28"/>
      <c r="V82" s="220"/>
      <c r="W82" s="42"/>
      <c r="X82" s="42"/>
      <c r="Y82" s="42"/>
      <c r="Z82" s="42"/>
      <c r="AA82" s="42"/>
      <c r="AB82" s="42"/>
      <c r="AC82" s="42"/>
      <c r="AD82" s="42"/>
      <c r="AE82" s="109"/>
      <c r="AF82" s="109"/>
      <c r="AG82" s="109"/>
    </row>
    <row r="83" spans="1:33" ht="13.8" thickBot="1">
      <c r="C83" s="255" t="s">
        <v>171</v>
      </c>
      <c r="L83" s="28"/>
      <c r="V83" s="220"/>
      <c r="W83" s="42"/>
      <c r="X83" s="42"/>
      <c r="Y83" s="42"/>
      <c r="Z83" s="42"/>
      <c r="AA83" s="42"/>
      <c r="AB83" s="42"/>
      <c r="AC83" s="42"/>
      <c r="AD83" s="42"/>
      <c r="AE83" s="109"/>
      <c r="AF83" s="109"/>
      <c r="AG83" s="109"/>
    </row>
    <row r="84" spans="1:33" ht="13.8" thickBot="1">
      <c r="C84" s="255" t="s">
        <v>58</v>
      </c>
      <c r="D84" s="256" t="s">
        <v>59</v>
      </c>
      <c r="E84" s="256" t="s">
        <v>60</v>
      </c>
      <c r="F84" s="256" t="s">
        <v>61</v>
      </c>
      <c r="G84" s="256" t="s">
        <v>62</v>
      </c>
      <c r="H84" s="256" t="s">
        <v>63</v>
      </c>
      <c r="I84" s="256" t="s">
        <v>64</v>
      </c>
      <c r="J84" s="256" t="s">
        <v>65</v>
      </c>
      <c r="K84" s="256" t="s">
        <v>66</v>
      </c>
      <c r="L84" s="28"/>
      <c r="S84" s="204"/>
      <c r="V84" s="220"/>
      <c r="W84" s="42"/>
      <c r="X84" s="42"/>
      <c r="Y84" s="42"/>
      <c r="Z84" s="42"/>
      <c r="AA84" s="42"/>
      <c r="AB84" s="42"/>
      <c r="AC84" s="42"/>
      <c r="AD84" s="42"/>
      <c r="AE84" s="109"/>
      <c r="AF84" s="109"/>
      <c r="AG84" s="109"/>
    </row>
    <row r="85" spans="1:33" ht="12.75" customHeight="1">
      <c r="C85" s="257" t="s">
        <v>365</v>
      </c>
      <c r="D85" s="258">
        <f t="shared" ref="D85:K85" si="8">D72</f>
        <v>1445.4801085181123</v>
      </c>
      <c r="E85" s="258">
        <f t="shared" si="8"/>
        <v>1423.1055405176664</v>
      </c>
      <c r="F85" s="258">
        <f t="shared" si="8"/>
        <v>1464.2115815885747</v>
      </c>
      <c r="G85" s="258">
        <f t="shared" si="8"/>
        <v>1494.4552685387716</v>
      </c>
      <c r="H85" s="258">
        <f t="shared" si="8"/>
        <v>1540.6651174821454</v>
      </c>
      <c r="I85" s="258">
        <f t="shared" si="8"/>
        <v>1573.5771207316632</v>
      </c>
      <c r="J85" s="258">
        <f t="shared" si="8"/>
        <v>1554.1020205383406</v>
      </c>
      <c r="K85" s="258">
        <f t="shared" si="8"/>
        <v>1556.7889232802177</v>
      </c>
      <c r="L85" s="28"/>
      <c r="S85" s="42"/>
      <c r="V85" s="220"/>
      <c r="W85" s="42"/>
      <c r="X85" s="42"/>
      <c r="Y85" s="42"/>
      <c r="Z85" s="42"/>
      <c r="AA85" s="42"/>
      <c r="AB85" s="42"/>
      <c r="AC85" s="42"/>
      <c r="AD85" s="42"/>
      <c r="AE85" s="109"/>
      <c r="AF85" s="109"/>
      <c r="AG85" s="109"/>
    </row>
    <row r="86" spans="1:33" ht="12.75" customHeight="1">
      <c r="C86" s="259" t="s">
        <v>173</v>
      </c>
      <c r="D86" s="260"/>
      <c r="E86" s="260"/>
      <c r="F86" s="260"/>
      <c r="G86" s="260"/>
      <c r="H86" s="260"/>
      <c r="I86" s="309"/>
      <c r="J86" s="309"/>
      <c r="K86" s="309"/>
      <c r="L86" s="28"/>
      <c r="S86" s="42"/>
      <c r="V86" s="220"/>
      <c r="W86" s="42"/>
      <c r="X86" s="42"/>
      <c r="Y86" s="42"/>
      <c r="Z86" s="42"/>
      <c r="AA86" s="42"/>
      <c r="AB86" s="42"/>
      <c r="AC86" s="42"/>
      <c r="AD86" s="42"/>
      <c r="AE86" s="109"/>
      <c r="AF86" s="109"/>
      <c r="AG86" s="109"/>
    </row>
    <row r="87" spans="1:33" ht="12.75" customHeight="1">
      <c r="C87" s="257" t="s">
        <v>174</v>
      </c>
      <c r="D87" s="258">
        <f t="shared" ref="D87:K87" si="9">D70</f>
        <v>13.751034124367685</v>
      </c>
      <c r="E87" s="258">
        <f t="shared" si="9"/>
        <v>13.274690050778315</v>
      </c>
      <c r="F87" s="258">
        <f t="shared" si="9"/>
        <v>12.798257977175346</v>
      </c>
      <c r="G87" s="258">
        <f t="shared" si="9"/>
        <v>0</v>
      </c>
      <c r="H87" s="258">
        <f t="shared" si="9"/>
        <v>0</v>
      </c>
      <c r="I87" s="258">
        <f t="shared" si="9"/>
        <v>0</v>
      </c>
      <c r="J87" s="258">
        <f t="shared" si="9"/>
        <v>0</v>
      </c>
      <c r="K87" s="258">
        <f t="shared" si="9"/>
        <v>0</v>
      </c>
      <c r="L87" s="28"/>
      <c r="S87" s="42"/>
      <c r="V87" s="220"/>
      <c r="W87" s="42"/>
      <c r="X87" s="42"/>
      <c r="Y87" s="42"/>
      <c r="Z87" s="42"/>
      <c r="AA87" s="42"/>
      <c r="AB87" s="42"/>
      <c r="AC87" s="42"/>
      <c r="AD87" s="42"/>
      <c r="AE87" s="109"/>
      <c r="AF87" s="109"/>
      <c r="AG87" s="109"/>
    </row>
    <row r="88" spans="1:33" ht="12.75" customHeight="1">
      <c r="C88" s="257" t="s">
        <v>175</v>
      </c>
      <c r="D88" s="258">
        <f>'18-19 NGET'!D73</f>
        <v>123</v>
      </c>
      <c r="E88" s="258">
        <f>'18-19 NGET'!E73</f>
        <v>122.8</v>
      </c>
      <c r="F88" s="258">
        <f>'18-19 NGET'!F73</f>
        <v>129.80000000000001</v>
      </c>
      <c r="G88" s="258">
        <f>'18-19 NGET'!G73</f>
        <v>125.6</v>
      </c>
      <c r="H88" s="258">
        <f>'18-19 NGET'!H73</f>
        <v>127.3</v>
      </c>
      <c r="I88" s="258">
        <f>'18-19 NGET'!I73</f>
        <v>128.6</v>
      </c>
      <c r="J88" s="258">
        <f>'18-19 NGET'!J73</f>
        <v>130.19999999999999</v>
      </c>
      <c r="K88" s="258">
        <f>'18-19 NGET'!K73</f>
        <v>131.69999999999999</v>
      </c>
      <c r="L88" s="28"/>
      <c r="Q88" s="208"/>
      <c r="S88" s="42"/>
      <c r="V88" s="220"/>
      <c r="W88" s="42"/>
      <c r="X88" s="42"/>
      <c r="Y88" s="42"/>
      <c r="Z88" s="42"/>
      <c r="AA88" s="42"/>
      <c r="AB88" s="42"/>
      <c r="AC88" s="42"/>
      <c r="AD88" s="42"/>
      <c r="AE88" s="109"/>
      <c r="AF88" s="109"/>
      <c r="AG88" s="109"/>
    </row>
    <row r="89" spans="1:33" ht="13.8" thickBot="1">
      <c r="C89" s="261" t="s">
        <v>366</v>
      </c>
      <c r="D89" s="262">
        <f t="shared" ref="D89:K89" si="10">D85-D87-D88</f>
        <v>1308.7290743937447</v>
      </c>
      <c r="E89" s="262">
        <f t="shared" si="10"/>
        <v>1287.0308504668881</v>
      </c>
      <c r="F89" s="262">
        <f t="shared" si="10"/>
        <v>1321.6133236113994</v>
      </c>
      <c r="G89" s="262">
        <f t="shared" si="10"/>
        <v>1368.8552685387717</v>
      </c>
      <c r="H89" s="262">
        <f t="shared" si="10"/>
        <v>1413.3651174821455</v>
      </c>
      <c r="I89" s="262">
        <f t="shared" si="10"/>
        <v>1444.9771207316633</v>
      </c>
      <c r="J89" s="262">
        <f t="shared" si="10"/>
        <v>1423.9020205383406</v>
      </c>
      <c r="K89" s="262">
        <f t="shared" si="10"/>
        <v>1425.0889232802176</v>
      </c>
      <c r="L89" s="28"/>
      <c r="M89" s="53"/>
      <c r="N89" s="53"/>
      <c r="O89" s="53"/>
      <c r="V89" s="189"/>
    </row>
    <row r="90" spans="1:33" ht="13.8" thickBot="1">
      <c r="C90" s="259"/>
      <c r="D90" s="260"/>
      <c r="E90" s="260"/>
      <c r="F90" s="260"/>
      <c r="G90" s="260"/>
      <c r="H90" s="260"/>
      <c r="I90" s="260"/>
      <c r="J90" s="260"/>
      <c r="K90" s="260"/>
      <c r="L90" s="28"/>
      <c r="M90" s="53"/>
      <c r="N90" s="53"/>
      <c r="O90" s="53"/>
      <c r="V90" s="189"/>
    </row>
    <row r="91" spans="1:33" ht="13.8" thickBot="1">
      <c r="C91" s="255" t="s">
        <v>178</v>
      </c>
      <c r="M91" s="53"/>
      <c r="N91" s="53"/>
      <c r="O91" s="53"/>
      <c r="V91" s="189"/>
    </row>
    <row r="92" spans="1:33" ht="13.8" thickBot="1">
      <c r="C92" s="255" t="s">
        <v>58</v>
      </c>
      <c r="D92" s="256" t="s">
        <v>59</v>
      </c>
      <c r="E92" s="256" t="s">
        <v>60</v>
      </c>
      <c r="F92" s="256" t="s">
        <v>61</v>
      </c>
      <c r="G92" s="256" t="s">
        <v>62</v>
      </c>
      <c r="H92" s="256" t="s">
        <v>63</v>
      </c>
      <c r="I92" s="256" t="s">
        <v>64</v>
      </c>
      <c r="J92" s="256" t="s">
        <v>65</v>
      </c>
      <c r="K92" s="256" t="s">
        <v>66</v>
      </c>
      <c r="M92" s="53"/>
      <c r="N92" s="53"/>
      <c r="O92" s="53"/>
      <c r="V92" s="189"/>
    </row>
    <row r="93" spans="1:33">
      <c r="C93" s="257" t="s">
        <v>110</v>
      </c>
      <c r="D93" s="258">
        <f>'ET workings base'!D83</f>
        <v>1342.2812908140818</v>
      </c>
      <c r="E93" s="258">
        <f>'ET workings base'!E83</f>
        <v>1443.8294617348479</v>
      </c>
      <c r="F93" s="258">
        <f>'ET workings base'!F83</f>
        <v>1475.5925732296025</v>
      </c>
      <c r="G93" s="258">
        <f>'ET workings base'!G83</f>
        <v>1571.3868096928732</v>
      </c>
      <c r="H93" s="258">
        <f>'ET workings base'!H83</f>
        <v>1554.9421422395981</v>
      </c>
      <c r="I93" s="258">
        <f>'ET workings base'!I83</f>
        <v>1587.6274208238708</v>
      </c>
      <c r="J93" s="258">
        <f>'ET workings base'!J83</f>
        <v>1585.2291170685558</v>
      </c>
      <c r="K93" s="258">
        <f>'ET workings base'!K83</f>
        <v>1571.5849296331837</v>
      </c>
      <c r="L93" s="258"/>
      <c r="M93" s="53"/>
      <c r="N93" s="53"/>
      <c r="O93" s="53"/>
      <c r="V93" s="189"/>
    </row>
    <row r="94" spans="1:33">
      <c r="C94" s="259" t="s">
        <v>111</v>
      </c>
      <c r="D94" s="260">
        <f>'ET workings 18-19'!D107</f>
        <v>0</v>
      </c>
      <c r="E94" s="260">
        <f>'ET workings 18-19'!E107</f>
        <v>-5.4472436134815325</v>
      </c>
      <c r="F94" s="260">
        <f>'ET workings 18-19'!F107</f>
        <v>-114.38240781754212</v>
      </c>
      <c r="G94" s="260">
        <f>'ET workings 18-19'!G107</f>
        <v>-185.40168515778055</v>
      </c>
      <c r="H94" s="260">
        <f>'ET workings 18-19'!H107</f>
        <v>-253.26047854710714</v>
      </c>
      <c r="I94" s="260">
        <f>'ET workings 18-19'!I108</f>
        <v>-310.24084085461686</v>
      </c>
      <c r="J94" s="309"/>
      <c r="K94" s="309"/>
      <c r="L94" s="309"/>
      <c r="M94" s="53"/>
      <c r="N94" s="53"/>
      <c r="O94" s="53"/>
      <c r="V94" s="189"/>
    </row>
    <row r="95" spans="1:33">
      <c r="C95" s="257" t="s">
        <v>112</v>
      </c>
      <c r="D95" s="258">
        <f>SUM(D93:D94)</f>
        <v>1342.2812908140818</v>
      </c>
      <c r="E95" s="258">
        <f>E93+E94+0.1</f>
        <v>1438.4822181213663</v>
      </c>
      <c r="F95" s="258">
        <f>F93+F94</f>
        <v>1361.2101654120604</v>
      </c>
      <c r="G95" s="258">
        <f>G93+G94</f>
        <v>1385.9851245350926</v>
      </c>
      <c r="H95" s="258">
        <f>H93+H94</f>
        <v>1301.6816636924909</v>
      </c>
      <c r="I95" s="258">
        <f>I93+I94</f>
        <v>1277.3865799692539</v>
      </c>
      <c r="J95" s="258"/>
      <c r="K95" s="258"/>
      <c r="L95" s="258"/>
      <c r="M95" s="53"/>
      <c r="N95" s="53"/>
      <c r="O95" s="53"/>
      <c r="V95" s="189"/>
    </row>
    <row r="96" spans="1:33">
      <c r="C96" s="311" t="s">
        <v>367</v>
      </c>
      <c r="D96" s="258"/>
      <c r="E96" s="258"/>
      <c r="F96" s="258"/>
      <c r="G96" s="109"/>
      <c r="H96" s="109"/>
      <c r="I96" s="109"/>
      <c r="J96" s="260">
        <f>I95+H95*H$105+G95*G$105+F95*F$105+E95*E$105+D95*D$105</f>
        <v>9039.0685189943015</v>
      </c>
      <c r="K96" s="258"/>
      <c r="L96" s="258"/>
      <c r="M96" s="53"/>
      <c r="N96" s="53"/>
      <c r="O96" s="53"/>
      <c r="V96" s="189"/>
    </row>
    <row r="97" spans="1:22">
      <c r="C97" s="257" t="s">
        <v>366</v>
      </c>
      <c r="D97" s="258">
        <f t="shared" ref="D97:I97" si="11">D89</f>
        <v>1308.7290743937447</v>
      </c>
      <c r="E97" s="258">
        <f t="shared" si="11"/>
        <v>1287.0308504668881</v>
      </c>
      <c r="F97" s="258">
        <f t="shared" si="11"/>
        <v>1321.6133236113994</v>
      </c>
      <c r="G97" s="258">
        <f t="shared" si="11"/>
        <v>1368.8552685387717</v>
      </c>
      <c r="H97" s="258">
        <f t="shared" si="11"/>
        <v>1413.3651174821455</v>
      </c>
      <c r="I97" s="258">
        <f t="shared" si="11"/>
        <v>1444.9771207316633</v>
      </c>
      <c r="J97" s="258"/>
      <c r="K97" s="258"/>
      <c r="L97" s="293"/>
      <c r="N97" s="53"/>
      <c r="V97" s="189"/>
    </row>
    <row r="98" spans="1:22" ht="13.8" thickBot="1">
      <c r="C98" s="310" t="s">
        <v>367</v>
      </c>
      <c r="D98" s="262"/>
      <c r="E98" s="262"/>
      <c r="F98" s="262"/>
      <c r="G98" s="262"/>
      <c r="H98" s="262"/>
      <c r="I98" s="262"/>
      <c r="J98" s="262">
        <f>I97+H97*H$105+G97*G$105+F97*F$105+E97*E$105+D97*D$105</f>
        <v>9038.9502661986735</v>
      </c>
      <c r="K98" s="263"/>
      <c r="L98" s="258"/>
      <c r="N98" s="53"/>
      <c r="V98" s="189"/>
    </row>
    <row r="99" spans="1:22">
      <c r="E99" s="109"/>
      <c r="F99" s="109"/>
      <c r="G99" s="109"/>
      <c r="H99" s="109"/>
      <c r="I99" s="109"/>
      <c r="J99" s="109"/>
      <c r="K99" s="109"/>
      <c r="L99" s="258"/>
      <c r="N99" s="53"/>
      <c r="V99" s="189"/>
    </row>
    <row r="100" spans="1:22">
      <c r="C100" t="s">
        <v>317</v>
      </c>
      <c r="D100" s="318">
        <v>4.5520000000000005E-2</v>
      </c>
      <c r="E100" s="318">
        <v>4.4319999999999998E-2</v>
      </c>
      <c r="F100" s="318">
        <v>4.3300000000000005E-2</v>
      </c>
      <c r="G100" s="318">
        <v>4.2280000000000005E-2</v>
      </c>
      <c r="H100" s="318">
        <v>4.1320000000000003E-2</v>
      </c>
      <c r="N100" s="53"/>
      <c r="V100" s="189"/>
    </row>
    <row r="101" spans="1:22">
      <c r="C101" t="s">
        <v>318</v>
      </c>
      <c r="D101" s="318">
        <f>1/((1+D100)^0.5)</f>
        <v>0.97798867902505426</v>
      </c>
      <c r="E101" s="318">
        <f>1/((1+E100)^0.5)</f>
        <v>0.97855040793680914</v>
      </c>
      <c r="F101" s="318">
        <f>1/((1+F100)^0.5)</f>
        <v>0.97902863930730677</v>
      </c>
      <c r="G101" s="318">
        <f>1/((1+G100)^0.5)</f>
        <v>0.9795075725190564</v>
      </c>
      <c r="H101" s="318">
        <f>1/((1+H100)^0.5)</f>
        <v>0.97995897585613423</v>
      </c>
      <c r="J101" s="349"/>
      <c r="V101" s="189"/>
    </row>
    <row r="102" spans="1:22">
      <c r="C102" t="s">
        <v>319</v>
      </c>
      <c r="D102" s="318">
        <f>1/(1+D100)</f>
        <v>0.95646185630117075</v>
      </c>
      <c r="E102" s="318">
        <f>1/(1+E100)*D102</f>
        <v>0.91587047677069366</v>
      </c>
      <c r="F102" s="318">
        <f>1/(1+F100)*E102</f>
        <v>0.87785917451422768</v>
      </c>
      <c r="G102" s="318">
        <f>1/(1+G100)*F102</f>
        <v>0.84224889138641024</v>
      </c>
      <c r="H102" s="318">
        <f>1/(1+H100)*G102</f>
        <v>0.8088281137272022</v>
      </c>
      <c r="V102" s="189"/>
    </row>
    <row r="103" spans="1:22">
      <c r="C103" t="s">
        <v>320</v>
      </c>
      <c r="D103" s="318">
        <f>D101</f>
        <v>0.97798867902505426</v>
      </c>
      <c r="E103" s="318">
        <f>D102*E101</f>
        <v>0.93594613965950835</v>
      </c>
      <c r="F103" s="318">
        <f>E102*F101</f>
        <v>0.89666342665454657</v>
      </c>
      <c r="G103" s="318">
        <f>F102*G101</f>
        <v>0.85986970904201387</v>
      </c>
      <c r="H103" s="318">
        <f>G102*H101</f>
        <v>0.82536936101899105</v>
      </c>
      <c r="V103" s="189"/>
    </row>
    <row r="104" spans="1:22">
      <c r="C104" t="s">
        <v>321</v>
      </c>
      <c r="D104" s="318">
        <f>1+D100</f>
        <v>1.04552</v>
      </c>
      <c r="E104" s="318">
        <f t="shared" ref="E104:H104" si="12">1+E100</f>
        <v>1.0443199999999999</v>
      </c>
      <c r="F104" s="318">
        <f t="shared" si="12"/>
        <v>1.0432999999999999</v>
      </c>
      <c r="G104" s="318">
        <f t="shared" si="12"/>
        <v>1.0422800000000001</v>
      </c>
      <c r="H104" s="318">
        <f t="shared" si="12"/>
        <v>1.04132</v>
      </c>
      <c r="V104" s="189"/>
    </row>
    <row r="105" spans="1:22">
      <c r="C105" t="s">
        <v>368</v>
      </c>
      <c r="D105" s="318">
        <f>PRODUCT(D104:$H$104)</f>
        <v>1.2363566288415084</v>
      </c>
      <c r="E105" s="318">
        <f>PRODUCT(E104:$H$104)</f>
        <v>1.1825279562720068</v>
      </c>
      <c r="F105" s="318">
        <f>PRODUCT(F104:$H$104)</f>
        <v>1.1323425351156799</v>
      </c>
      <c r="G105" s="318">
        <f>PRODUCT(G104:$H$104)</f>
        <v>1.0853470096000002</v>
      </c>
      <c r="H105" s="318">
        <f>PRODUCT(H104:$H$104)</f>
        <v>1.04132</v>
      </c>
      <c r="V105" s="189"/>
    </row>
    <row r="106" spans="1:22" ht="13.8" thickBot="1">
      <c r="D106" s="318"/>
      <c r="E106" s="318"/>
      <c r="F106" s="318"/>
      <c r="G106" s="318"/>
      <c r="H106" s="318"/>
      <c r="V106" s="189"/>
    </row>
    <row r="107" spans="1:22" ht="13.8" thickBot="1">
      <c r="A107" s="38" t="s">
        <v>369</v>
      </c>
      <c r="C107" s="255" t="s">
        <v>190</v>
      </c>
      <c r="D107" s="226"/>
      <c r="E107" s="225"/>
      <c r="F107" s="225"/>
      <c r="G107" s="225"/>
      <c r="H107" s="225"/>
      <c r="I107" s="225"/>
    </row>
    <row r="108" spans="1:22" ht="13.8" thickBot="1">
      <c r="A108" s="38"/>
      <c r="C108" s="255" t="s">
        <v>58</v>
      </c>
      <c r="D108" s="256" t="s">
        <v>59</v>
      </c>
      <c r="E108" s="256" t="s">
        <v>60</v>
      </c>
      <c r="F108" s="256" t="s">
        <v>61</v>
      </c>
      <c r="G108" s="256" t="s">
        <v>62</v>
      </c>
      <c r="H108" s="256" t="s">
        <v>63</v>
      </c>
      <c r="I108" s="256" t="s">
        <v>64</v>
      </c>
      <c r="J108" s="256" t="s">
        <v>65</v>
      </c>
      <c r="K108" s="256" t="s">
        <v>66</v>
      </c>
      <c r="L108" s="256" t="s">
        <v>118</v>
      </c>
      <c r="P108" s="205"/>
    </row>
    <row r="109" spans="1:22">
      <c r="C109" s="257" t="s">
        <v>42</v>
      </c>
      <c r="D109" s="258">
        <f>'18-19 NGET'!D81</f>
        <v>226.54482674025229</v>
      </c>
      <c r="E109" s="258">
        <f>'18-19 NGET'!E81</f>
        <v>189.76583863604765</v>
      </c>
      <c r="F109" s="258">
        <f>'18-19 NGET'!F81</f>
        <v>179.38344990371465</v>
      </c>
      <c r="G109" s="258">
        <f>'18-19 NGET'!G81</f>
        <v>186.89947200056383</v>
      </c>
      <c r="H109" s="258">
        <f>'18-19 NGET'!H81</f>
        <v>142.34099424420381</v>
      </c>
      <c r="I109" s="258">
        <f>'18-19 NGET'!I81</f>
        <v>123.51757213647369</v>
      </c>
      <c r="J109" s="258">
        <f>'18-19 NGET'!J81</f>
        <v>-21.093349498298281</v>
      </c>
      <c r="K109" s="258">
        <f>'18-19 NGET'!K81</f>
        <v>-36.616451358880617</v>
      </c>
      <c r="L109" s="258">
        <f>'18-19 NGET'!L81</f>
        <v>990.74235280407697</v>
      </c>
      <c r="M109" s="53">
        <f>'18-19 NGET'!M81</f>
        <v>0.99074235280407696</v>
      </c>
      <c r="N109" s="53">
        <f>'18-19 NGET'!N81</f>
        <v>0</v>
      </c>
      <c r="P109" s="165"/>
    </row>
    <row r="110" spans="1:22">
      <c r="C110" s="257" t="s">
        <v>191</v>
      </c>
      <c r="D110" s="258">
        <f>'18-19 NGET'!D82</f>
        <v>506.11836500601339</v>
      </c>
      <c r="E110" s="258">
        <f>'18-19 NGET'!E82</f>
        <v>499.20409814951984</v>
      </c>
      <c r="F110" s="258">
        <f>'18-19 NGET'!F82</f>
        <v>485.07329761796098</v>
      </c>
      <c r="G110" s="258">
        <f>'18-19 NGET'!G82</f>
        <v>489.14143160750723</v>
      </c>
      <c r="H110" s="258">
        <f>'18-19 NGET'!H82</f>
        <v>622.61892466629627</v>
      </c>
      <c r="I110" s="258">
        <f>'18-19 NGET'!I82</f>
        <v>715.79753719305393</v>
      </c>
      <c r="J110" s="258">
        <f>'18-19 NGET'!J82</f>
        <v>609.25081046797004</v>
      </c>
      <c r="K110" s="258">
        <f>'18-19 NGET'!K82</f>
        <v>529.21301595565285</v>
      </c>
      <c r="L110" s="258">
        <f>'18-19 NGET'!L82</f>
        <v>4456.4174806639749</v>
      </c>
      <c r="M110" s="53">
        <f>'18-19 NGET'!M82</f>
        <v>4.4564174806639745</v>
      </c>
      <c r="N110" s="53">
        <f>'18-19 NGET'!N82</f>
        <v>0</v>
      </c>
      <c r="P110" s="165"/>
    </row>
    <row r="111" spans="1:22">
      <c r="C111" s="257" t="s">
        <v>44</v>
      </c>
      <c r="D111" s="258">
        <f>'18-19 NGET'!D83</f>
        <v>600.20530321701335</v>
      </c>
      <c r="E111" s="258">
        <f>'18-19 NGET'!E83</f>
        <v>541.62361952854781</v>
      </c>
      <c r="F111" s="258">
        <f>'18-19 NGET'!F83</f>
        <v>472.58109045304445</v>
      </c>
      <c r="G111" s="258">
        <f>'18-19 NGET'!G83</f>
        <v>487.77271822167131</v>
      </c>
      <c r="H111" s="258">
        <f>'18-19 NGET'!H83</f>
        <v>316.99662224396468</v>
      </c>
      <c r="I111" s="258">
        <f>'18-19 NGET'!I83</f>
        <v>294.8499847844547</v>
      </c>
      <c r="J111" s="258">
        <f>'18-19 NGET'!J83</f>
        <v>262.92593137281381</v>
      </c>
      <c r="K111" s="258">
        <f>'18-19 NGET'!K83</f>
        <v>279.65004731913405</v>
      </c>
      <c r="L111" s="258">
        <f>'18-19 NGET'!L83</f>
        <v>3256.6053171406443</v>
      </c>
      <c r="M111" s="53">
        <f>'18-19 NGET'!M83</f>
        <v>3.2566053171406444</v>
      </c>
      <c r="N111" s="53">
        <f>'18-19 NGET'!N83</f>
        <v>0</v>
      </c>
      <c r="P111" s="165"/>
    </row>
    <row r="112" spans="1:22">
      <c r="C112" s="257" t="s">
        <v>45</v>
      </c>
      <c r="D112" s="258">
        <f>'18-19 NGET'!D84</f>
        <v>1.0854967381420191</v>
      </c>
      <c r="E112" s="258">
        <f>'18-19 NGET'!E84</f>
        <v>3.1874299535058723</v>
      </c>
      <c r="F112" s="258">
        <f>'18-19 NGET'!F84</f>
        <v>8.7933031383547409</v>
      </c>
      <c r="G112" s="258">
        <f>'18-19 NGET'!G84</f>
        <v>14.449105184117492</v>
      </c>
      <c r="H112" s="258">
        <f>'18-19 NGET'!H84</f>
        <v>44.98161721307374</v>
      </c>
      <c r="I112" s="258">
        <f>'18-19 NGET'!I84</f>
        <v>56.115444380322963</v>
      </c>
      <c r="J112" s="258">
        <f>'18-19 NGET'!J84</f>
        <v>33.694808241742152</v>
      </c>
      <c r="K112" s="258">
        <f>'18-19 NGET'!K84</f>
        <v>5.1565330854912359</v>
      </c>
      <c r="L112" s="258">
        <f>'18-19 NGET'!L84</f>
        <v>167.46373793475024</v>
      </c>
      <c r="M112" s="53">
        <f>'18-19 NGET'!M84</f>
        <v>0.16746373793475025</v>
      </c>
      <c r="N112" s="53">
        <f>'18-19 NGET'!N84</f>
        <v>0</v>
      </c>
      <c r="P112" s="165"/>
    </row>
    <row r="113" spans="1:16">
      <c r="C113" s="257" t="s">
        <v>192</v>
      </c>
      <c r="D113" s="258">
        <f>'18-19 NGET'!D85</f>
        <v>192.21282629439594</v>
      </c>
      <c r="E113" s="258">
        <f>'18-19 NGET'!E85</f>
        <v>196.41204072355288</v>
      </c>
      <c r="F113" s="258">
        <f>'18-19 NGET'!F85</f>
        <v>203.04710659109347</v>
      </c>
      <c r="G113" s="258">
        <f>'18-19 NGET'!G85</f>
        <v>204.35171680440774</v>
      </c>
      <c r="H113" s="258">
        <f>'18-19 NGET'!H85</f>
        <v>205.72203973741003</v>
      </c>
      <c r="I113" s="258">
        <f>'18-19 NGET'!I85</f>
        <v>206.0644404839947</v>
      </c>
      <c r="J113" s="258">
        <f>'18-19 NGET'!J85</f>
        <v>207.83890997781467</v>
      </c>
      <c r="K113" s="258">
        <f>'18-19 NGET'!K85</f>
        <v>208.20405529640865</v>
      </c>
      <c r="L113" s="258">
        <f>'18-19 NGET'!L85</f>
        <v>1623.853135909078</v>
      </c>
      <c r="M113" s="53">
        <f>'18-19 NGET'!M85</f>
        <v>1.623853135909078</v>
      </c>
      <c r="N113" s="53">
        <f>'18-19 NGET'!N85</f>
        <v>0</v>
      </c>
      <c r="P113" s="168"/>
    </row>
    <row r="114" spans="1:16">
      <c r="C114" s="257" t="s">
        <v>47</v>
      </c>
      <c r="D114" s="258">
        <f>'18-19 NGET'!D86</f>
        <v>-170.72202960069421</v>
      </c>
      <c r="E114" s="258">
        <f>'18-19 NGET'!E86</f>
        <v>-279.16101893509403</v>
      </c>
      <c r="F114" s="258">
        <f>'18-19 NGET'!F86</f>
        <v>-200.43390985286715</v>
      </c>
      <c r="G114" s="258">
        <f>'18-19 NGET'!G86</f>
        <v>-251.72957649047089</v>
      </c>
      <c r="H114" s="258">
        <f>'18-19 NGET'!H86</f>
        <v>0</v>
      </c>
      <c r="I114" s="258">
        <f>'18-19 NGET'!I86</f>
        <v>0</v>
      </c>
      <c r="J114" s="258">
        <f>'18-19 NGET'!J86</f>
        <v>0</v>
      </c>
      <c r="K114" s="258">
        <f>'18-19 NGET'!K86</f>
        <v>0</v>
      </c>
      <c r="L114" s="258">
        <f>'18-19 NGET'!L86</f>
        <v>-902.04653487912628</v>
      </c>
      <c r="M114" s="53">
        <f>'18-19 NGET'!M86</f>
        <v>0</v>
      </c>
      <c r="N114" s="53">
        <f>'18-19 NGET'!N86</f>
        <v>0</v>
      </c>
      <c r="P114" s="168"/>
    </row>
    <row r="115" spans="1:16">
      <c r="C115" s="259" t="s">
        <v>48</v>
      </c>
      <c r="D115" s="260">
        <f>'18-19 NGET'!D87</f>
        <v>1355.4447883951227</v>
      </c>
      <c r="E115" s="260">
        <f>'18-19 NGET'!E87</f>
        <v>1151.03200805608</v>
      </c>
      <c r="F115" s="260">
        <f>'18-19 NGET'!F87</f>
        <v>1148.4443378513013</v>
      </c>
      <c r="G115" s="260">
        <f>'18-19 NGET'!G87</f>
        <v>1130.8848673277967</v>
      </c>
      <c r="H115" s="260">
        <f>'18-19 NGET'!H87</f>
        <v>1332.6601981049487</v>
      </c>
      <c r="I115" s="260">
        <f>'18-19 NGET'!I87</f>
        <v>1396.3449789783001</v>
      </c>
      <c r="J115" s="260">
        <f>'18-19 NGET'!J87</f>
        <v>1092.6171105620424</v>
      </c>
      <c r="K115" s="260">
        <f>'18-19 NGET'!K87</f>
        <v>985.60720029780612</v>
      </c>
      <c r="L115" s="260">
        <f>'18-19 NGET'!L87</f>
        <v>9593.0354895733963</v>
      </c>
      <c r="M115" s="53">
        <f>'18-19 NGET'!M87</f>
        <v>9.5930354895733974</v>
      </c>
      <c r="N115" s="53">
        <f>'18-19 NGET'!N87</f>
        <v>0</v>
      </c>
      <c r="P115" s="167"/>
    </row>
    <row r="116" spans="1:16">
      <c r="C116" s="257" t="s">
        <v>52</v>
      </c>
      <c r="D116" s="258">
        <f>'18-19 NGET'!D88</f>
        <v>94.24723304227993</v>
      </c>
      <c r="E116" s="258">
        <f>'18-19 NGET'!E88</f>
        <v>87.678224204681584</v>
      </c>
      <c r="F116" s="258">
        <f>'18-19 NGET'!F88</f>
        <v>87.676243763178761</v>
      </c>
      <c r="G116" s="258">
        <f>'18-19 NGET'!G88</f>
        <v>87.677481779017953</v>
      </c>
      <c r="H116" s="258">
        <f>'18-19 NGET'!H88</f>
        <v>87.676244486345595</v>
      </c>
      <c r="I116" s="258">
        <f>'18-19 NGET'!I88</f>
        <v>87.676244488148086</v>
      </c>
      <c r="J116" s="258">
        <f>'18-19 NGET'!J88</f>
        <v>87.676244492723825</v>
      </c>
      <c r="K116" s="258">
        <f>'18-19 NGET'!K88</f>
        <v>87.676244462267519</v>
      </c>
      <c r="L116" s="258">
        <f>'18-19 NGET'!L88</f>
        <v>707.98416071864324</v>
      </c>
      <c r="M116" s="53">
        <f>'18-19 NGET'!M88</f>
        <v>0.70798416071864323</v>
      </c>
      <c r="N116" s="53">
        <f>'18-19 NGET'!N88</f>
        <v>0</v>
      </c>
      <c r="P116" s="165"/>
    </row>
    <row r="117" spans="1:16">
      <c r="C117" s="296"/>
      <c r="D117" s="297"/>
      <c r="E117" s="297"/>
      <c r="F117" s="297"/>
      <c r="G117" s="297"/>
      <c r="H117" s="297"/>
      <c r="I117" s="297"/>
      <c r="J117" s="297"/>
      <c r="K117" s="297"/>
      <c r="L117" s="297"/>
      <c r="M117" s="53"/>
      <c r="N117" s="53"/>
      <c r="P117" s="168"/>
    </row>
    <row r="118" spans="1:16">
      <c r="C118" s="257" t="s">
        <v>49</v>
      </c>
      <c r="D118" s="258">
        <f>'18-19 NGET'!D90</f>
        <v>39.405926089795059</v>
      </c>
      <c r="E118" s="258">
        <f>'18-19 NGET'!E90</f>
        <v>35.962368284905509</v>
      </c>
      <c r="F118" s="258">
        <f>'18-19 NGET'!F90</f>
        <v>29.877361132181548</v>
      </c>
      <c r="G118" s="258">
        <f>'18-19 NGET'!G90</f>
        <v>28.846391499185597</v>
      </c>
      <c r="H118" s="258">
        <f>'18-19 NGET'!H90</f>
        <v>29.621699211758404</v>
      </c>
      <c r="I118" s="258">
        <f>'18-19 NGET'!I90</f>
        <v>20.406561078577621</v>
      </c>
      <c r="J118" s="258">
        <f>'18-19 NGET'!J90</f>
        <v>25.457651204161817</v>
      </c>
      <c r="K118" s="258">
        <f>'18-19 NGET'!K90</f>
        <v>25.43438563392731</v>
      </c>
      <c r="L118" s="258">
        <f>'18-19 NGET'!L90</f>
        <v>235.01234413449285</v>
      </c>
      <c r="M118" s="53">
        <f>'18-19 NGET'!M90</f>
        <v>0.23501234413449285</v>
      </c>
      <c r="N118" s="53">
        <f>'18-19 NGET'!N90</f>
        <v>0</v>
      </c>
      <c r="P118" s="168"/>
    </row>
    <row r="119" spans="1:16">
      <c r="C119" s="257" t="s">
        <v>192</v>
      </c>
      <c r="D119" s="258">
        <f>'18-19 NGET'!D91</f>
        <v>74.117786922864468</v>
      </c>
      <c r="E119" s="258">
        <f>'18-19 NGET'!E91</f>
        <v>75.746790961588118</v>
      </c>
      <c r="F119" s="258">
        <f>'18-19 NGET'!F91</f>
        <v>79.100568175978466</v>
      </c>
      <c r="G119" s="258">
        <f>'18-19 NGET'!G91</f>
        <v>82.158309016221935</v>
      </c>
      <c r="H119" s="258">
        <f>'18-19 NGET'!H91</f>
        <v>82.471507363977764</v>
      </c>
      <c r="I119" s="258">
        <f>'18-19 NGET'!I91</f>
        <v>82.912881974263144</v>
      </c>
      <c r="J119" s="258">
        <f>'18-19 NGET'!J91</f>
        <v>84.047729960219527</v>
      </c>
      <c r="K119" s="258">
        <f>'18-19 NGET'!K91</f>
        <v>85.772873632490885</v>
      </c>
      <c r="L119" s="258">
        <f>'18-19 NGET'!L91</f>
        <v>646.32844800760438</v>
      </c>
      <c r="M119" s="53">
        <f>'18-19 NGET'!M91</f>
        <v>0.64632844800760436</v>
      </c>
      <c r="N119" s="53">
        <f>'18-19 NGET'!N91</f>
        <v>0</v>
      </c>
      <c r="P119" s="165"/>
    </row>
    <row r="120" spans="1:16">
      <c r="C120" s="257" t="s">
        <v>47</v>
      </c>
      <c r="D120" s="258">
        <f>'18-19 NGET'!D92</f>
        <v>-6.3316060111058619</v>
      </c>
      <c r="E120" s="258">
        <f>'18-19 NGET'!E92</f>
        <v>-0.42111614105857598</v>
      </c>
      <c r="F120" s="258">
        <f>'18-19 NGET'!F92</f>
        <v>-0.51052411936296949</v>
      </c>
      <c r="G120" s="258">
        <f>'18-19 NGET'!G92</f>
        <v>8.1125888943843449</v>
      </c>
      <c r="H120" s="258">
        <f>'18-19 NGET'!H92</f>
        <v>0</v>
      </c>
      <c r="I120" s="258">
        <f>'18-19 NGET'!I92</f>
        <v>0</v>
      </c>
      <c r="J120" s="258">
        <f>'18-19 NGET'!J92</f>
        <v>0</v>
      </c>
      <c r="K120" s="258">
        <f>'18-19 NGET'!K92</f>
        <v>0</v>
      </c>
      <c r="L120" s="258">
        <f>'18-19 NGET'!L92</f>
        <v>0.84934262285693762</v>
      </c>
      <c r="M120" s="53">
        <f>'18-19 NGET'!M92</f>
        <v>0</v>
      </c>
      <c r="N120" s="53">
        <f>'18-19 NGET'!N92</f>
        <v>0</v>
      </c>
      <c r="P120" s="165"/>
    </row>
    <row r="121" spans="1:16" ht="13.8" thickBot="1">
      <c r="C121" s="261" t="s">
        <v>50</v>
      </c>
      <c r="D121" s="262">
        <f>'18-19 NGET'!D93</f>
        <v>107.19210700155367</v>
      </c>
      <c r="E121" s="262">
        <f>'18-19 NGET'!E93</f>
        <v>111.28804310543505</v>
      </c>
      <c r="F121" s="262">
        <f>'18-19 NGET'!F93</f>
        <v>108.46740518879704</v>
      </c>
      <c r="G121" s="262">
        <f>'18-19 NGET'!G93</f>
        <v>119.11728940979188</v>
      </c>
      <c r="H121" s="262">
        <f>'18-19 NGET'!H93</f>
        <v>112.09320657573616</v>
      </c>
      <c r="I121" s="262">
        <f>'18-19 NGET'!I93</f>
        <v>103.31944305284077</v>
      </c>
      <c r="J121" s="262">
        <f>'18-19 NGET'!J93</f>
        <v>109.50538116438135</v>
      </c>
      <c r="K121" s="262">
        <f>'18-19 NGET'!K93</f>
        <v>111.20725926641819</v>
      </c>
      <c r="L121" s="262">
        <f>'18-19 NGET'!L93</f>
        <v>882.19013476495422</v>
      </c>
      <c r="M121" s="53">
        <f>'18-19 NGET'!M93</f>
        <v>0.88219013476495423</v>
      </c>
      <c r="N121" s="53">
        <f>'18-19 NGET'!N93</f>
        <v>0</v>
      </c>
      <c r="P121" s="50"/>
    </row>
    <row r="122" spans="1:16" ht="13.8" thickBot="1">
      <c r="A122" s="38"/>
    </row>
    <row r="123" spans="1:16" ht="13.8" thickBot="1">
      <c r="C123" s="255" t="s">
        <v>140</v>
      </c>
      <c r="D123" s="226"/>
      <c r="E123" s="225"/>
      <c r="F123" s="225"/>
      <c r="G123" s="225"/>
      <c r="H123" s="225"/>
      <c r="I123" s="225"/>
    </row>
    <row r="124" spans="1:16" ht="13.8" thickBot="1">
      <c r="C124" s="255" t="s">
        <v>58</v>
      </c>
      <c r="D124" s="256" t="s">
        <v>59</v>
      </c>
      <c r="E124" s="256" t="s">
        <v>60</v>
      </c>
      <c r="F124" s="256" t="s">
        <v>61</v>
      </c>
      <c r="G124" s="256" t="s">
        <v>62</v>
      </c>
      <c r="H124" s="256" t="s">
        <v>63</v>
      </c>
      <c r="I124" s="256" t="s">
        <v>64</v>
      </c>
      <c r="J124" s="256" t="s">
        <v>65</v>
      </c>
      <c r="K124" s="256" t="s">
        <v>66</v>
      </c>
      <c r="L124" s="298"/>
      <c r="M124" s="313"/>
    </row>
    <row r="125" spans="1:16">
      <c r="C125" s="257" t="s">
        <v>91</v>
      </c>
      <c r="D125" s="258">
        <f>'18-19 NGET'!D97</f>
        <v>8865.0145032674482</v>
      </c>
      <c r="E125" s="258">
        <f>'18-19 NGET'!E97</f>
        <v>9292.223932912093</v>
      </c>
      <c r="F125" s="258">
        <f>'18-19 NGET'!F97</f>
        <v>9690.9793608364507</v>
      </c>
      <c r="G125" s="258">
        <f>'18-19 NGET'!G97</f>
        <v>10060.752369206379</v>
      </c>
      <c r="H125" s="258">
        <f>'18-19 NGET'!H97</f>
        <v>10395.80765220383</v>
      </c>
      <c r="I125" s="258">
        <f>'18-19 NGET'!I97</f>
        <v>10879.971307554119</v>
      </c>
      <c r="J125" s="258">
        <f>'18-19 NGET'!J97</f>
        <v>11393.07721158311</v>
      </c>
      <c r="K125" s="258">
        <f>'18-19 NGET'!K97</f>
        <v>11637.140700762186</v>
      </c>
      <c r="L125" s="299"/>
      <c r="M125" s="109">
        <f>ROUND(D125-D143-D43,4)</f>
        <v>0</v>
      </c>
    </row>
    <row r="126" spans="1:16">
      <c r="C126" s="257" t="s">
        <v>84</v>
      </c>
      <c r="D126" s="258">
        <f>D44+D144</f>
        <v>-173.83632113615894</v>
      </c>
      <c r="E126" s="258"/>
      <c r="F126" s="258"/>
      <c r="G126" s="258"/>
      <c r="H126" s="258"/>
      <c r="I126" s="258"/>
      <c r="J126" s="258"/>
      <c r="K126" s="258"/>
      <c r="L126" s="299"/>
      <c r="M126" s="109"/>
    </row>
    <row r="127" spans="1:16">
      <c r="C127" s="257" t="s">
        <v>86</v>
      </c>
      <c r="D127" s="258">
        <f t="shared" ref="D127:K127" si="13">D39+D163</f>
        <v>1238.4981792839747</v>
      </c>
      <c r="E127" s="258">
        <f t="shared" si="13"/>
        <v>1060.6463488356308</v>
      </c>
      <c r="F127" s="258">
        <f t="shared" si="13"/>
        <v>1060.0497992098415</v>
      </c>
      <c r="G127" s="258">
        <f t="shared" si="13"/>
        <v>1051.4693774599386</v>
      </c>
      <c r="H127" s="258">
        <f t="shared" si="13"/>
        <v>1217.7019069813034</v>
      </c>
      <c r="I127" s="258">
        <f t="shared" si="13"/>
        <v>1265.4353542239214</v>
      </c>
      <c r="J127" s="258">
        <f t="shared" si="13"/>
        <v>1011.7146052819025</v>
      </c>
      <c r="K127" s="258">
        <f t="shared" si="13"/>
        <v>921.83170858611311</v>
      </c>
      <c r="L127" s="299"/>
      <c r="M127" s="109">
        <f>ROUND(SUM(D127:K127)-SUM(D56:K56)-SUM(D145:K145),4)</f>
        <v>412.738</v>
      </c>
    </row>
    <row r="128" spans="1:16">
      <c r="C128" s="257" t="s">
        <v>87</v>
      </c>
      <c r="D128" s="258">
        <f t="shared" ref="D128:K128" si="14">D46+D47+D146</f>
        <v>-584.50431720848701</v>
      </c>
      <c r="E128" s="258">
        <f t="shared" si="14"/>
        <v>-611.45685605873553</v>
      </c>
      <c r="F128" s="258">
        <f t="shared" si="14"/>
        <v>-638.86004531978165</v>
      </c>
      <c r="G128" s="258">
        <f t="shared" si="14"/>
        <v>-661.10754774648262</v>
      </c>
      <c r="H128" s="258">
        <f t="shared" si="14"/>
        <v>-681.4663980142227</v>
      </c>
      <c r="I128" s="258">
        <f t="shared" si="14"/>
        <v>-704.1801881077937</v>
      </c>
      <c r="J128" s="258">
        <f t="shared" si="14"/>
        <v>-716.77510071247707</v>
      </c>
      <c r="K128" s="258">
        <f t="shared" si="14"/>
        <v>-722.06261360292092</v>
      </c>
      <c r="L128" s="299"/>
      <c r="M128" s="109">
        <f>ROUND(SUM(D128:K128)-SUM(D46:K47)-SUM(D146:K146),4)</f>
        <v>0</v>
      </c>
    </row>
    <row r="129" spans="1:12" ht="13.8" thickBot="1">
      <c r="C129" s="261" t="s">
        <v>94</v>
      </c>
      <c r="D129" s="262">
        <f>'18-19 NGET'!D100</f>
        <v>9292.223932912093</v>
      </c>
      <c r="E129" s="262">
        <f>'18-19 NGET'!E100</f>
        <v>9690.9793608364489</v>
      </c>
      <c r="F129" s="262">
        <f>'18-19 NGET'!F100</f>
        <v>10060.752369206379</v>
      </c>
      <c r="G129" s="262">
        <f>'18-19 NGET'!G100</f>
        <v>10395.80765220383</v>
      </c>
      <c r="H129" s="262">
        <f>'18-19 NGET'!H100</f>
        <v>10879.971307554117</v>
      </c>
      <c r="I129" s="262">
        <f>'18-19 NGET'!I100</f>
        <v>11393.07721158311</v>
      </c>
      <c r="J129" s="262">
        <f>'18-19 NGET'!J100</f>
        <v>11637.140700762186</v>
      </c>
      <c r="K129" s="262">
        <f>'18-19 NGET'!K100</f>
        <v>11785.374442010043</v>
      </c>
      <c r="L129" s="300"/>
    </row>
    <row r="131" spans="1:12" ht="13.8" thickBot="1">
      <c r="D131" s="226"/>
      <c r="E131" s="225"/>
      <c r="F131" s="225"/>
      <c r="G131" s="225"/>
      <c r="H131" s="225"/>
      <c r="I131" s="225"/>
    </row>
    <row r="132" spans="1:12" ht="13.8" thickBot="1">
      <c r="C132" s="255" t="s">
        <v>58</v>
      </c>
      <c r="D132" s="256" t="s">
        <v>59</v>
      </c>
      <c r="E132" s="256" t="s">
        <v>60</v>
      </c>
      <c r="F132" s="256" t="s">
        <v>61</v>
      </c>
      <c r="G132" s="256" t="s">
        <v>62</v>
      </c>
      <c r="H132" s="256" t="s">
        <v>63</v>
      </c>
      <c r="I132" s="256" t="s">
        <v>64</v>
      </c>
      <c r="J132" s="256" t="s">
        <v>65</v>
      </c>
      <c r="K132" s="256" t="s">
        <v>66</v>
      </c>
    </row>
    <row r="133" spans="1:12">
      <c r="C133" s="257" t="s">
        <v>370</v>
      </c>
      <c r="D133" s="258">
        <f>'18-19 NGET'!D104</f>
        <v>13.751034124367685</v>
      </c>
      <c r="E133" s="258">
        <f>'18-19 NGET'!E104</f>
        <v>13.274690050778315</v>
      </c>
      <c r="F133" s="258">
        <f>'18-19 NGET'!F104</f>
        <v>12.798257977175346</v>
      </c>
      <c r="G133" s="258">
        <f>'18-19 NGET'!G104</f>
        <v>0</v>
      </c>
      <c r="H133" s="258">
        <f>'18-19 NGET'!H104</f>
        <v>0</v>
      </c>
      <c r="I133" s="258">
        <f>'18-19 NGET'!I104</f>
        <v>0</v>
      </c>
      <c r="J133" s="258">
        <f>'18-19 NGET'!J104</f>
        <v>0</v>
      </c>
      <c r="K133" s="258">
        <f>'18-19 NGET'!K104</f>
        <v>0</v>
      </c>
    </row>
    <row r="134" spans="1:12">
      <c r="C134" s="257" t="s">
        <v>371</v>
      </c>
      <c r="D134" s="258">
        <f>'18-19 NGET'!D105</f>
        <v>0</v>
      </c>
      <c r="E134" s="258">
        <f>'18-19 NGET'!E105</f>
        <v>0</v>
      </c>
      <c r="F134" s="258">
        <f>'18-19 NGET'!F105</f>
        <v>0</v>
      </c>
      <c r="G134" s="258">
        <f>'18-19 NGET'!G105</f>
        <v>0</v>
      </c>
      <c r="H134" s="258">
        <f>'18-19 NGET'!H105</f>
        <v>0</v>
      </c>
      <c r="I134" s="258">
        <f>'18-19 NGET'!I105</f>
        <v>0</v>
      </c>
      <c r="J134" s="258">
        <f>'18-19 NGET'!J105</f>
        <v>0</v>
      </c>
      <c r="K134" s="258">
        <f>'18-19 NGET'!K105</f>
        <v>0</v>
      </c>
    </row>
    <row r="135" spans="1:12">
      <c r="C135" s="257"/>
      <c r="D135" s="258"/>
      <c r="E135" s="258"/>
      <c r="F135" s="258"/>
      <c r="G135" s="258"/>
      <c r="H135" s="258"/>
      <c r="I135" s="258"/>
      <c r="J135" s="258"/>
      <c r="K135" s="258"/>
    </row>
    <row r="136" spans="1:12">
      <c r="C136" s="257" t="s">
        <v>372</v>
      </c>
      <c r="D136" s="258">
        <f>'18-19 NGET'!D107</f>
        <v>123</v>
      </c>
      <c r="E136" s="258">
        <f>'18-19 NGET'!E107</f>
        <v>122.8</v>
      </c>
      <c r="F136" s="258">
        <f>'18-19 NGET'!F107</f>
        <v>129.80000000000001</v>
      </c>
      <c r="G136" s="258">
        <f>'18-19 NGET'!G107</f>
        <v>125.6</v>
      </c>
      <c r="H136" s="258">
        <f>'18-19 NGET'!H107</f>
        <v>127.3</v>
      </c>
      <c r="I136" s="258">
        <f>'18-19 NGET'!I107</f>
        <v>128.6</v>
      </c>
      <c r="J136" s="258">
        <f>'18-19 NGET'!J107</f>
        <v>130.19999999999999</v>
      </c>
      <c r="K136" s="258">
        <f>'18-19 NGET'!K107</f>
        <v>131.69999999999999</v>
      </c>
    </row>
    <row r="137" spans="1:12">
      <c r="C137" s="257" t="s">
        <v>373</v>
      </c>
      <c r="D137" s="258">
        <f>'18-19 NGET'!D108</f>
        <v>-123</v>
      </c>
      <c r="E137" s="258">
        <f>'18-19 NGET'!E108</f>
        <v>-122.8</v>
      </c>
      <c r="F137" s="258">
        <f>'18-19 NGET'!F108</f>
        <v>-129.80000000000001</v>
      </c>
      <c r="G137" s="258">
        <f>'18-19 NGET'!G108</f>
        <v>-125.6</v>
      </c>
      <c r="H137" s="258">
        <f>'18-19 NGET'!H108</f>
        <v>-127.3</v>
      </c>
      <c r="I137" s="258">
        <f>'18-19 NGET'!I108</f>
        <v>-128.6</v>
      </c>
      <c r="J137" s="258">
        <f>'18-19 NGET'!J108</f>
        <v>-130.19999999999999</v>
      </c>
      <c r="K137" s="258">
        <f>'18-19 NGET'!K108</f>
        <v>-131.69999999999999</v>
      </c>
    </row>
    <row r="138" spans="1:12">
      <c r="C138" s="257"/>
      <c r="D138" s="258"/>
      <c r="E138" s="258"/>
      <c r="F138" s="258"/>
      <c r="G138" s="258"/>
      <c r="H138" s="258"/>
      <c r="I138" s="258"/>
      <c r="J138" s="258"/>
      <c r="K138" s="258"/>
    </row>
    <row r="139" spans="1:12" ht="13.8" thickBot="1">
      <c r="C139" s="264" t="s">
        <v>374</v>
      </c>
      <c r="D139" s="265">
        <f>'18-19 NGET'!D110</f>
        <v>53.1</v>
      </c>
      <c r="E139" s="265">
        <f>'18-19 NGET'!E110</f>
        <v>53.000000000000007</v>
      </c>
      <c r="F139" s="265">
        <f>'18-19 NGET'!F110</f>
        <v>50.999999999999993</v>
      </c>
      <c r="G139" s="265">
        <f>'18-19 NGET'!G110</f>
        <v>57.5</v>
      </c>
      <c r="H139" s="265">
        <f>'18-19 NGET'!H110</f>
        <v>49</v>
      </c>
      <c r="I139" s="265">
        <f>'18-19 NGET'!I110</f>
        <v>28.499999999999996</v>
      </c>
      <c r="J139" s="265">
        <f>'18-19 NGET'!J110</f>
        <v>3.6999999999999993</v>
      </c>
      <c r="K139" s="265">
        <f>'18-19 NGET'!K110</f>
        <v>0</v>
      </c>
    </row>
    <row r="140" spans="1:12" ht="13.8" thickBot="1">
      <c r="A140" s="38" t="s">
        <v>375</v>
      </c>
    </row>
    <row r="141" spans="1:12" ht="13.8" thickBot="1">
      <c r="C141" s="255" t="s">
        <v>376</v>
      </c>
      <c r="D141" s="226"/>
      <c r="E141" s="225"/>
      <c r="F141" s="225"/>
      <c r="G141" s="225"/>
      <c r="H141" s="225"/>
      <c r="I141" s="225"/>
    </row>
    <row r="142" spans="1:12" ht="13.8" thickBot="1">
      <c r="C142" s="255" t="s">
        <v>58</v>
      </c>
      <c r="D142" s="256" t="s">
        <v>59</v>
      </c>
      <c r="E142" s="256" t="s">
        <v>60</v>
      </c>
      <c r="F142" s="256" t="s">
        <v>61</v>
      </c>
      <c r="G142" s="256" t="s">
        <v>62</v>
      </c>
      <c r="H142" s="256" t="s">
        <v>63</v>
      </c>
      <c r="I142" s="256" t="s">
        <v>64</v>
      </c>
      <c r="J142" s="256" t="s">
        <v>65</v>
      </c>
      <c r="K142" s="256" t="s">
        <v>66</v>
      </c>
    </row>
    <row r="143" spans="1:12">
      <c r="C143" s="257" t="s">
        <v>91</v>
      </c>
      <c r="D143" s="258">
        <f>'18-19 NGET'!D114</f>
        <v>74.160747515587701</v>
      </c>
      <c r="E143" s="258">
        <f>'18-19 NGET'!E114</f>
        <v>94.867572674081416</v>
      </c>
      <c r="F143" s="258">
        <f>'18-19 NGET'!F114</f>
        <v>107.32321132105858</v>
      </c>
      <c r="G143" s="258">
        <f>'18-19 NGET'!G114</f>
        <v>117.25614636668001</v>
      </c>
      <c r="H143" s="258">
        <f>'18-19 NGET'!H114</f>
        <v>126.83711588396275</v>
      </c>
      <c r="I143" s="258">
        <f>'18-19 NGET'!I114</f>
        <v>130.85477652434648</v>
      </c>
      <c r="J143" s="258">
        <f>'18-19 NGET'!J114</f>
        <v>130.20874357842737</v>
      </c>
      <c r="K143" s="258">
        <f>'18-19 NGET'!K114</f>
        <v>129.79015438526633</v>
      </c>
    </row>
    <row r="144" spans="1:12">
      <c r="C144" s="257" t="s">
        <v>84</v>
      </c>
      <c r="D144" s="258">
        <f>'ET workings 18-19'!D257</f>
        <v>2.9301486584244367</v>
      </c>
      <c r="E144" s="258"/>
      <c r="F144" s="258"/>
      <c r="G144" s="258"/>
      <c r="H144" s="258"/>
      <c r="I144" s="258"/>
      <c r="J144" s="258"/>
      <c r="K144" s="258"/>
    </row>
    <row r="145" spans="1:15">
      <c r="C145" s="257" t="s">
        <v>86</v>
      </c>
      <c r="D145" s="258">
        <f>D164</f>
        <v>33.421997853433467</v>
      </c>
      <c r="E145" s="258">
        <f t="shared" ref="E145:K145" si="15">E164</f>
        <v>31.835077135425333</v>
      </c>
      <c r="F145" s="258">
        <f t="shared" si="15"/>
        <v>32.455366516102345</v>
      </c>
      <c r="G145" s="258">
        <f t="shared" si="15"/>
        <v>34.910693515306264</v>
      </c>
      <c r="H145" s="258">
        <f t="shared" si="15"/>
        <v>32.868884975305278</v>
      </c>
      <c r="I145" s="258">
        <f t="shared" si="15"/>
        <v>30.392860005229078</v>
      </c>
      <c r="J145" s="258">
        <f t="shared" si="15"/>
        <v>32.114045913817506</v>
      </c>
      <c r="K145" s="258">
        <f t="shared" si="15"/>
        <v>32.530234597643322</v>
      </c>
    </row>
    <row r="146" spans="1:15">
      <c r="C146" s="257" t="s">
        <v>87</v>
      </c>
      <c r="D146" s="258">
        <f>'18-19 NGET'!D116</f>
        <v>-15.645321353364194</v>
      </c>
      <c r="E146" s="258">
        <f>'18-19 NGET'!E116</f>
        <v>-19.379438488448173</v>
      </c>
      <c r="F146" s="258">
        <f>'18-19 NGET'!F116</f>
        <v>-22.522431470480917</v>
      </c>
      <c r="G146" s="258">
        <f>'18-19 NGET'!G116</f>
        <v>-25.329723998023518</v>
      </c>
      <c r="H146" s="258">
        <f>'18-19 NGET'!H116</f>
        <v>-28.851224334921568</v>
      </c>
      <c r="I146" s="258">
        <f>'18-19 NGET'!I116</f>
        <v>-31.038892951148178</v>
      </c>
      <c r="J146" s="258">
        <f>'18-19 NGET'!J116</f>
        <v>-32.532635106978553</v>
      </c>
      <c r="K146" s="258">
        <f>'18-19 NGET'!K116</f>
        <v>-32.989867796149099</v>
      </c>
    </row>
    <row r="147" spans="1:15" ht="13.8" thickBot="1">
      <c r="C147" s="261" t="s">
        <v>94</v>
      </c>
      <c r="D147" s="262">
        <f>'18-19 NGET'!D117</f>
        <v>94.867572674081416</v>
      </c>
      <c r="E147" s="262">
        <f>'18-19 NGET'!E117</f>
        <v>107.32321132105858</v>
      </c>
      <c r="F147" s="262">
        <f>'18-19 NGET'!F117</f>
        <v>117.25614636668001</v>
      </c>
      <c r="G147" s="262">
        <f>'18-19 NGET'!G117</f>
        <v>126.83711588396275</v>
      </c>
      <c r="H147" s="262">
        <f>'18-19 NGET'!H117</f>
        <v>130.85477652434648</v>
      </c>
      <c r="I147" s="262">
        <f>'18-19 NGET'!I117</f>
        <v>130.20874357842737</v>
      </c>
      <c r="J147" s="262">
        <f>'18-19 NGET'!J117</f>
        <v>129.79015438526633</v>
      </c>
      <c r="K147" s="262">
        <f>'18-19 NGET'!K117</f>
        <v>129.33052118676056</v>
      </c>
    </row>
    <row r="148" spans="1:15" ht="13.8" thickBot="1"/>
    <row r="149" spans="1:15" ht="13.8" thickBot="1">
      <c r="C149" s="255" t="s">
        <v>377</v>
      </c>
      <c r="D149" s="315"/>
      <c r="E149" s="533"/>
      <c r="F149" s="533"/>
      <c r="G149" s="257"/>
      <c r="H149" s="257"/>
      <c r="I149" s="257"/>
      <c r="J149" s="243"/>
      <c r="K149" s="243"/>
      <c r="L149" s="243"/>
      <c r="M149" s="243"/>
      <c r="N149" s="243"/>
      <c r="O149" s="243"/>
    </row>
    <row r="150" spans="1:15" ht="13.8" thickBot="1">
      <c r="C150" s="255" t="s">
        <v>58</v>
      </c>
      <c r="D150" s="314" t="s">
        <v>59</v>
      </c>
      <c r="E150" s="314" t="s">
        <v>60</v>
      </c>
      <c r="F150" s="314" t="s">
        <v>61</v>
      </c>
      <c r="G150" s="314" t="s">
        <v>62</v>
      </c>
      <c r="H150" s="314" t="s">
        <v>63</v>
      </c>
      <c r="I150" s="314" t="s">
        <v>64</v>
      </c>
      <c r="J150" s="314" t="s">
        <v>65</v>
      </c>
      <c r="K150" s="314" t="s">
        <v>66</v>
      </c>
      <c r="L150" s="314" t="s">
        <v>118</v>
      </c>
    </row>
    <row r="151" spans="1:15">
      <c r="C151" s="257"/>
      <c r="D151" s="258"/>
      <c r="E151" s="258"/>
      <c r="F151" s="258"/>
      <c r="G151" s="258"/>
      <c r="H151" s="258"/>
      <c r="I151" s="258"/>
      <c r="J151" s="258"/>
      <c r="K151" s="258"/>
      <c r="L151" s="293"/>
    </row>
    <row r="152" spans="1:15">
      <c r="A152" t="s">
        <v>338</v>
      </c>
      <c r="C152" s="257" t="s">
        <v>157</v>
      </c>
      <c r="D152" s="320">
        <f>'Baseline NGET'!D120</f>
        <v>39.230261993822481</v>
      </c>
      <c r="E152" s="320">
        <f>'14-15 NGET'!E120</f>
        <v>34.208586772300464</v>
      </c>
      <c r="F152" s="320">
        <f>'16-17 NGET'!F122</f>
        <v>30.894900022849214</v>
      </c>
      <c r="G152" s="320">
        <f>'16-17 NGET'!G122</f>
        <v>28.301072099524138</v>
      </c>
      <c r="H152" s="320">
        <f>'16-17 NGET'!H122</f>
        <v>30.672102023183324</v>
      </c>
      <c r="I152" s="320">
        <f>'16-17 NGET'!I122</f>
        <v>21.438897958036218</v>
      </c>
      <c r="J152" s="320">
        <f>'16-17 NGET'!J122</f>
        <v>26.487810428292697</v>
      </c>
      <c r="K152" s="320">
        <f>'16-17 NGET'!K122</f>
        <v>26.426824166461682</v>
      </c>
      <c r="L152" s="322">
        <f>SUM(D152:K152)</f>
        <v>237.66045546447023</v>
      </c>
      <c r="N152" s="53"/>
    </row>
    <row r="153" spans="1:15">
      <c r="C153" s="257" t="s">
        <v>70</v>
      </c>
      <c r="D153" s="320">
        <f>'Baseline NGET'!D121</f>
        <v>73.775027711210655</v>
      </c>
      <c r="E153" s="320">
        <f>'14-15 NGET'!E121</f>
        <v>74.857370793520886</v>
      </c>
      <c r="F153" s="320">
        <f>'16-17 NGET'!F123</f>
        <v>83.380513630549061</v>
      </c>
      <c r="G153" s="320">
        <f>'16-17 NGET'!G123</f>
        <v>83.456770329445604</v>
      </c>
      <c r="H153" s="320">
        <f>'16-17 NGET'!H123</f>
        <v>83.996521544219092</v>
      </c>
      <c r="I153" s="320">
        <f>'16-17 NGET'!I123</f>
        <v>84.553084139559033</v>
      </c>
      <c r="J153" s="320">
        <f>'16-17 NGET'!J123</f>
        <v>86.295296789691179</v>
      </c>
      <c r="K153" s="320">
        <f>'16-17 NGET'!K123</f>
        <v>88.042998764159549</v>
      </c>
      <c r="L153" s="322">
        <f t="shared" ref="L153:L160" si="16">SUM(D153:K153)</f>
        <v>658.35758370235499</v>
      </c>
      <c r="N153" s="53"/>
    </row>
    <row r="154" spans="1:15">
      <c r="C154" s="259" t="s">
        <v>158</v>
      </c>
      <c r="D154" s="321">
        <f>'Baseline NGET'!D122</f>
        <v>113.00528970503314</v>
      </c>
      <c r="E154" s="321">
        <f>'Baseline NGET'!E122</f>
        <v>109.06595756582135</v>
      </c>
      <c r="F154" s="321">
        <f>'Baseline NGET'!F122</f>
        <v>106.41534028985718</v>
      </c>
      <c r="G154" s="321">
        <f>'Baseline NGET'!G122</f>
        <v>105.7471980921442</v>
      </c>
      <c r="H154" s="321">
        <f>'Baseline NGET'!H122</f>
        <v>108.95220657573617</v>
      </c>
      <c r="I154" s="321">
        <f>'Baseline NGET'!I122</f>
        <v>100.37644305284076</v>
      </c>
      <c r="J154" s="321">
        <f>'Baseline NGET'!J122</f>
        <v>107.18438116438134</v>
      </c>
      <c r="K154" s="321">
        <f>'Baseline NGET'!K122</f>
        <v>109.0812592664182</v>
      </c>
      <c r="L154" s="321">
        <f t="shared" si="16"/>
        <v>859.82807571223236</v>
      </c>
    </row>
    <row r="155" spans="1:15">
      <c r="C155" s="257" t="s">
        <v>72</v>
      </c>
      <c r="D155" s="320">
        <f>D156-D154</f>
        <v>13.118423307626387</v>
      </c>
      <c r="E155" s="320">
        <f t="shared" ref="E155:L155" si="17">E156-E154</f>
        <v>5.4593776986255023</v>
      </c>
      <c r="F155" s="320">
        <f t="shared" si="17"/>
        <v>10.422662381843921</v>
      </c>
      <c r="G155" s="320">
        <f t="shared" si="17"/>
        <v>11.268146760088868</v>
      </c>
      <c r="H155" s="320">
        <f t="shared" si="17"/>
        <v>8.8574169916662413</v>
      </c>
      <c r="I155" s="320">
        <f t="shared" si="17"/>
        <v>8.5585390447544967</v>
      </c>
      <c r="J155" s="320">
        <f t="shared" si="17"/>
        <v>7.9197260536025453</v>
      </c>
      <c r="K155" s="320">
        <f t="shared" si="17"/>
        <v>7.514563664203024</v>
      </c>
      <c r="L155" s="322">
        <f t="shared" si="17"/>
        <v>73.118855902410814</v>
      </c>
      <c r="N155" s="53"/>
    </row>
    <row r="156" spans="1:15">
      <c r="C156" s="259" t="s">
        <v>73</v>
      </c>
      <c r="D156" s="321">
        <f>'18-19 NGET'!D124</f>
        <v>126.12371301265952</v>
      </c>
      <c r="E156" s="321">
        <f>'18-19 NGET'!E124</f>
        <v>114.52533526444685</v>
      </c>
      <c r="F156" s="321">
        <f>'18-19 NGET'!F124</f>
        <v>116.8380026717011</v>
      </c>
      <c r="G156" s="321">
        <f>'18-19 NGET'!G124</f>
        <v>117.01534485223307</v>
      </c>
      <c r="H156" s="321">
        <f>'18-19 NGET'!H124</f>
        <v>117.80962356740241</v>
      </c>
      <c r="I156" s="321">
        <f>'18-19 NGET'!I124</f>
        <v>108.93498209759525</v>
      </c>
      <c r="J156" s="321">
        <f>'18-19 NGET'!J124</f>
        <v>115.10410721798388</v>
      </c>
      <c r="K156" s="321">
        <f>'18-19 NGET'!K124</f>
        <v>116.59582293062122</v>
      </c>
      <c r="L156" s="321">
        <f>'18-19 NGET'!L124</f>
        <v>932.94693161464318</v>
      </c>
      <c r="N156" s="53"/>
    </row>
    <row r="157" spans="1:15">
      <c r="C157" s="259"/>
      <c r="D157" s="321"/>
      <c r="E157" s="321"/>
      <c r="F157" s="321"/>
      <c r="G157" s="321"/>
      <c r="H157" s="321"/>
      <c r="I157" s="321"/>
      <c r="J157" s="321"/>
      <c r="K157" s="321"/>
      <c r="L157" s="321"/>
    </row>
    <row r="158" spans="1:15">
      <c r="A158" t="s">
        <v>346</v>
      </c>
      <c r="C158" s="257" t="s">
        <v>121</v>
      </c>
      <c r="D158" s="320">
        <f>'18-19 NGET'!D125</f>
        <v>32.211047115864652</v>
      </c>
      <c r="E158" s="320">
        <f>'18-19 NGET'!E125</f>
        <v>34.407051612012893</v>
      </c>
      <c r="F158" s="320">
        <f>'18-19 NGET'!F125</f>
        <v>33.431784730351914</v>
      </c>
      <c r="G158" s="320">
        <f>'18-19 NGET'!G125</f>
        <v>45.046194512275676</v>
      </c>
      <c r="H158" s="320">
        <f>'18-19 NGET'!H125</f>
        <v>30.702102023183325</v>
      </c>
      <c r="I158" s="320">
        <f>'18-19 NGET'!I125</f>
        <v>21.467897958036218</v>
      </c>
      <c r="J158" s="320">
        <f>'18-19 NGET'!J125</f>
        <v>26.515810428292696</v>
      </c>
      <c r="K158" s="320">
        <f>'18-19 NGET'!K125</f>
        <v>26.452824166461681</v>
      </c>
      <c r="L158" s="322">
        <f t="shared" si="16"/>
        <v>250.23471254647905</v>
      </c>
      <c r="N158" s="53"/>
    </row>
    <row r="159" spans="1:15">
      <c r="C159" s="257" t="s">
        <v>76</v>
      </c>
      <c r="D159" s="320">
        <f>'18-19 NGET'!D126</f>
        <v>81.99098257707</v>
      </c>
      <c r="E159" s="320">
        <f>'18-19 NGET'!E126</f>
        <v>79.325370564392955</v>
      </c>
      <c r="F159" s="320">
        <f>'18-19 NGET'!F126</f>
        <v>82.444959949703616</v>
      </c>
      <c r="G159" s="320">
        <f>'18-19 NGET'!G126</f>
        <v>87.24421886638244</v>
      </c>
      <c r="H159" s="320">
        <f>'18-19 NGET'!H126</f>
        <v>87.107521544219082</v>
      </c>
      <c r="I159" s="320">
        <f>'18-19 NGET'!I126</f>
        <v>87.467084139559034</v>
      </c>
      <c r="J159" s="320">
        <f>'18-19 NGET'!J126</f>
        <v>88.588296789691185</v>
      </c>
      <c r="K159" s="320">
        <f>'18-19 NGET'!K126</f>
        <v>90.142998764159543</v>
      </c>
      <c r="L159" s="322">
        <f t="shared" si="16"/>
        <v>684.31143319517787</v>
      </c>
      <c r="N159" s="53"/>
    </row>
    <row r="160" spans="1:15">
      <c r="C160" s="259" t="s">
        <v>77</v>
      </c>
      <c r="D160" s="321">
        <f>'18-19 NGET'!D127</f>
        <v>114.20202969293464</v>
      </c>
      <c r="E160" s="321">
        <f>'18-19 NGET'!E127</f>
        <v>113.73242217640585</v>
      </c>
      <c r="F160" s="321">
        <f>'18-19 NGET'!F127</f>
        <v>115.87674468005554</v>
      </c>
      <c r="G160" s="321">
        <f>'18-19 NGET'!G127</f>
        <v>132.29041337865812</v>
      </c>
      <c r="H160" s="321">
        <f>'18-19 NGET'!H127</f>
        <v>117.80962356740241</v>
      </c>
      <c r="I160" s="321">
        <f>'18-19 NGET'!I127</f>
        <v>108.93498209759525</v>
      </c>
      <c r="J160" s="321">
        <f>'18-19 NGET'!J127</f>
        <v>115.10410721798388</v>
      </c>
      <c r="K160" s="321">
        <f>'18-19 NGET'!K127</f>
        <v>116.59582293062122</v>
      </c>
      <c r="L160" s="321">
        <f t="shared" si="16"/>
        <v>934.54614574165691</v>
      </c>
    </row>
    <row r="161" spans="1:14">
      <c r="C161" s="259"/>
      <c r="D161" s="319"/>
      <c r="E161" s="321"/>
      <c r="F161" s="321"/>
      <c r="G161" s="321"/>
      <c r="H161" s="321"/>
      <c r="I161" s="321"/>
      <c r="J161" s="321"/>
      <c r="K161" s="321"/>
      <c r="L161" s="321"/>
    </row>
    <row r="162" spans="1:14">
      <c r="C162" s="259" t="s">
        <v>159</v>
      </c>
      <c r="D162" s="321">
        <f>'18-19 NGET'!D130</f>
        <v>119.79210700155366</v>
      </c>
      <c r="E162" s="321">
        <f>'18-19 NGET'!E130</f>
        <v>114.10421912338828</v>
      </c>
      <c r="F162" s="321">
        <f>'18-19 NGET'!F130</f>
        <v>116.32747855233814</v>
      </c>
      <c r="G162" s="321">
        <f>'18-19 NGET'!G130</f>
        <v>125.12793374661742</v>
      </c>
      <c r="H162" s="321">
        <f>'18-19 NGET'!H130</f>
        <v>117.80962356740241</v>
      </c>
      <c r="I162" s="321">
        <f>'18-19 NGET'!I130</f>
        <v>108.93498209759525</v>
      </c>
      <c r="J162" s="321">
        <f>'18-19 NGET'!J130</f>
        <v>115.10410721798388</v>
      </c>
      <c r="K162" s="321">
        <f>'18-19 NGET'!K130</f>
        <v>116.59582293062122</v>
      </c>
      <c r="L162" s="321">
        <f t="shared" ref="L162:L164" si="18">SUM(D162:K162)</f>
        <v>933.79627423750037</v>
      </c>
    </row>
    <row r="163" spans="1:14">
      <c r="C163" s="257" t="s">
        <v>79</v>
      </c>
      <c r="D163" s="320">
        <f>'18-19 NGET'!D132</f>
        <v>86.370109148120179</v>
      </c>
      <c r="E163" s="320">
        <f>'18-19 NGET'!E132</f>
        <v>82.269141987962939</v>
      </c>
      <c r="F163" s="320">
        <f>'18-19 NGET'!F132</f>
        <v>83.872112036235805</v>
      </c>
      <c r="G163" s="320">
        <f>'18-19 NGET'!G132</f>
        <v>90.217240231311152</v>
      </c>
      <c r="H163" s="320">
        <f>'18-19 NGET'!H132</f>
        <v>84.940738592097134</v>
      </c>
      <c r="I163" s="320">
        <f>'18-19 NGET'!I132</f>
        <v>78.542122092366171</v>
      </c>
      <c r="J163" s="320">
        <f>'18-19 NGET'!J132</f>
        <v>82.990061304166375</v>
      </c>
      <c r="K163" s="320">
        <f>'18-19 NGET'!K132</f>
        <v>84.065588332977896</v>
      </c>
      <c r="L163" s="322">
        <f t="shared" si="18"/>
        <v>673.26711372523766</v>
      </c>
    </row>
    <row r="164" spans="1:14">
      <c r="C164" s="257" t="s">
        <v>80</v>
      </c>
      <c r="D164" s="320">
        <f>'18-19 NGET'!D133</f>
        <v>33.421997853433467</v>
      </c>
      <c r="E164" s="320">
        <f>'18-19 NGET'!E133</f>
        <v>31.835077135425333</v>
      </c>
      <c r="F164" s="320">
        <f>'18-19 NGET'!F133</f>
        <v>32.455366516102345</v>
      </c>
      <c r="G164" s="320">
        <f>'18-19 NGET'!G133</f>
        <v>34.910693515306264</v>
      </c>
      <c r="H164" s="320">
        <f>'18-19 NGET'!H133</f>
        <v>32.868884975305278</v>
      </c>
      <c r="I164" s="320">
        <f>'18-19 NGET'!I133</f>
        <v>30.392860005229078</v>
      </c>
      <c r="J164" s="320">
        <f>'18-19 NGET'!J133</f>
        <v>32.114045913817506</v>
      </c>
      <c r="K164" s="320">
        <f>'18-19 NGET'!K133</f>
        <v>32.530234597643322</v>
      </c>
      <c r="L164" s="322">
        <f t="shared" si="18"/>
        <v>260.52916051226254</v>
      </c>
    </row>
    <row r="165" spans="1:14" ht="13.8" thickBot="1"/>
    <row r="166" spans="1:14" ht="13.8" thickBot="1">
      <c r="A166" s="38" t="s">
        <v>378</v>
      </c>
      <c r="C166" s="255" t="s">
        <v>379</v>
      </c>
      <c r="D166" s="316"/>
      <c r="E166" s="532"/>
      <c r="F166" s="532"/>
      <c r="G166" s="317"/>
      <c r="H166" s="317"/>
      <c r="I166" s="317"/>
      <c r="J166" s="312"/>
      <c r="K166" s="312"/>
      <c r="L166" s="312"/>
      <c r="M166" s="312"/>
      <c r="N166" s="312"/>
    </row>
    <row r="167" spans="1:14" ht="13.8" thickBot="1">
      <c r="C167" s="255" t="s">
        <v>58</v>
      </c>
      <c r="D167" s="256" t="s">
        <v>59</v>
      </c>
      <c r="E167" s="256" t="s">
        <v>60</v>
      </c>
      <c r="F167" s="256" t="s">
        <v>61</v>
      </c>
      <c r="G167" s="256" t="s">
        <v>62</v>
      </c>
      <c r="H167" s="256" t="s">
        <v>63</v>
      </c>
      <c r="I167" s="256" t="s">
        <v>64</v>
      </c>
      <c r="J167" s="256" t="s">
        <v>65</v>
      </c>
      <c r="K167" s="256" t="s">
        <v>66</v>
      </c>
      <c r="L167" s="298"/>
    </row>
    <row r="168" spans="1:14">
      <c r="C168" s="257" t="s">
        <v>79</v>
      </c>
      <c r="D168" s="258">
        <f>'18-19 NGET'!D138</f>
        <v>86.370109148120179</v>
      </c>
      <c r="E168" s="258">
        <f>'18-19 NGET'!E138</f>
        <v>82.269141987962939</v>
      </c>
      <c r="F168" s="258">
        <f>'18-19 NGET'!F138</f>
        <v>83.872112036235805</v>
      </c>
      <c r="G168" s="258">
        <f>'18-19 NGET'!G138</f>
        <v>90.217240231311152</v>
      </c>
      <c r="H168" s="258">
        <f>'18-19 NGET'!H138</f>
        <v>84.940738592097134</v>
      </c>
      <c r="I168" s="258">
        <f>'18-19 NGET'!I138</f>
        <v>78.542122092366171</v>
      </c>
      <c r="J168" s="258">
        <f>'18-19 NGET'!J138</f>
        <v>82.990061304166375</v>
      </c>
      <c r="K168" s="258">
        <f>'18-19 NGET'!K138</f>
        <v>84.065588332977896</v>
      </c>
      <c r="L168" s="301"/>
    </row>
    <row r="169" spans="1:14">
      <c r="C169" s="257" t="s">
        <v>98</v>
      </c>
      <c r="D169" s="258">
        <f>'18-19 NGET'!D139</f>
        <v>0</v>
      </c>
      <c r="E169" s="258">
        <f>'18-19 NGET'!E139</f>
        <v>0</v>
      </c>
      <c r="F169" s="258">
        <f>'18-19 NGET'!F139</f>
        <v>0</v>
      </c>
      <c r="G169" s="258">
        <f>'18-19 NGET'!G139</f>
        <v>0</v>
      </c>
      <c r="H169" s="258">
        <f>'18-19 NGET'!H139</f>
        <v>0</v>
      </c>
      <c r="I169" s="258">
        <f>'18-19 NGET'!I139</f>
        <v>0</v>
      </c>
      <c r="J169" s="258">
        <f>'18-19 NGET'!J139</f>
        <v>0</v>
      </c>
      <c r="K169" s="258">
        <f>'18-19 NGET'!K139</f>
        <v>0</v>
      </c>
      <c r="L169" s="301"/>
    </row>
    <row r="170" spans="1:14">
      <c r="C170" s="257" t="s">
        <v>99</v>
      </c>
      <c r="D170" s="258">
        <f>'18-19 NGET'!D140</f>
        <v>10.271521977223172</v>
      </c>
      <c r="E170" s="258">
        <f>'18-19 NGET'!E140</f>
        <v>10.214748985437437</v>
      </c>
      <c r="F170" s="258">
        <f>'18-19 NGET'!F140</f>
        <v>11.357789408220997</v>
      </c>
      <c r="G170" s="258">
        <f>'18-19 NGET'!G140</f>
        <v>11.50271907609619</v>
      </c>
      <c r="H170" s="258">
        <f>'18-19 NGET'!H140</f>
        <v>11.448485075095853</v>
      </c>
      <c r="I170" s="258">
        <f>'18-19 NGET'!I140</f>
        <v>10.074085894010073</v>
      </c>
      <c r="J170" s="258">
        <f>'18-19 NGET'!J140</f>
        <v>10.222290137908479</v>
      </c>
      <c r="K170" s="258">
        <f>'18-19 NGET'!K140</f>
        <v>10.172431228326722</v>
      </c>
      <c r="L170" s="301"/>
    </row>
    <row r="171" spans="1:14">
      <c r="C171" s="257" t="s">
        <v>100</v>
      </c>
      <c r="D171" s="258">
        <f>'18-19 NGET'!D141</f>
        <v>0</v>
      </c>
      <c r="E171" s="258">
        <f>'18-19 NGET'!E141</f>
        <v>0</v>
      </c>
      <c r="F171" s="258">
        <f>'18-19 NGET'!F141</f>
        <v>0</v>
      </c>
      <c r="G171" s="258">
        <f>'18-19 NGET'!G141</f>
        <v>0</v>
      </c>
      <c r="H171" s="258">
        <f>'18-19 NGET'!H141</f>
        <v>0</v>
      </c>
      <c r="I171" s="258">
        <f>'18-19 NGET'!I141</f>
        <v>0</v>
      </c>
      <c r="J171" s="258">
        <f>'18-19 NGET'!J141</f>
        <v>0</v>
      </c>
      <c r="K171" s="258">
        <f>'18-19 NGET'!K141</f>
        <v>0</v>
      </c>
      <c r="L171" s="301"/>
    </row>
    <row r="172" spans="1:14">
      <c r="C172" s="257" t="s">
        <v>101</v>
      </c>
      <c r="D172" s="258">
        <f>'18-19 NGET'!D142</f>
        <v>0.93219394583370063</v>
      </c>
      <c r="E172" s="258">
        <f>'18-19 NGET'!E142</f>
        <v>0.89969793099769957</v>
      </c>
      <c r="F172" s="258">
        <f>'18-19 NGET'!F142</f>
        <v>0.87783267686821997</v>
      </c>
      <c r="G172" s="258">
        <f>'18-19 NGET'!G142</f>
        <v>0.87232109317784756</v>
      </c>
      <c r="H172" s="258">
        <f>'18-19 NGET'!H142</f>
        <v>0.89875958568159287</v>
      </c>
      <c r="I172" s="258">
        <f>'18-19 NGET'!I142</f>
        <v>0.82801710222961222</v>
      </c>
      <c r="J172" s="258">
        <f>'18-19 NGET'!J142</f>
        <v>0.88417658562860901</v>
      </c>
      <c r="K172" s="258">
        <f>'18-19 NGET'!K142</f>
        <v>0.89982415652833247</v>
      </c>
      <c r="L172" s="28"/>
    </row>
    <row r="173" spans="1:14">
      <c r="C173" s="257" t="s">
        <v>102</v>
      </c>
      <c r="D173" s="258">
        <f>'18-19 NGET'!D143</f>
        <v>1.4521360461839699</v>
      </c>
      <c r="E173" s="258">
        <f>'18-19 NGET'!E143</f>
        <v>1.1036807868804244</v>
      </c>
      <c r="F173" s="258">
        <f>'18-19 NGET'!F143</f>
        <v>0.98058307041899617</v>
      </c>
      <c r="G173" s="258">
        <f>'18-19 NGET'!G143</f>
        <v>1.1629663939654993</v>
      </c>
      <c r="H173" s="258">
        <f>'18-19 NGET'!H143</f>
        <v>0.60361916118799863</v>
      </c>
      <c r="I173" s="258">
        <f>'18-19 NGET'!I143</f>
        <v>0</v>
      </c>
      <c r="J173" s="258">
        <f>'18-19 NGET'!J143</f>
        <v>0.96374799482875384</v>
      </c>
      <c r="K173" s="258">
        <f>'18-19 NGET'!K143</f>
        <v>1.0636689837693487</v>
      </c>
      <c r="L173" s="28"/>
    </row>
    <row r="174" spans="1:14">
      <c r="C174" s="257" t="s">
        <v>103</v>
      </c>
      <c r="D174" s="258">
        <f>'18-19 NGET'!D144</f>
        <v>19.398398972540615</v>
      </c>
      <c r="E174" s="258">
        <f>'18-19 NGET'!E144</f>
        <v>23.759054100831143</v>
      </c>
      <c r="F174" s="258">
        <f>'18-19 NGET'!F144</f>
        <v>27.279215426942542</v>
      </c>
      <c r="G174" s="258">
        <f>'18-19 NGET'!G144</f>
        <v>30.381087368515335</v>
      </c>
      <c r="H174" s="258">
        <f>'18-19 NGET'!H144</f>
        <v>34.067864455227401</v>
      </c>
      <c r="I174" s="258">
        <f>'18-19 NGET'!I144</f>
        <v>36.182612513457158</v>
      </c>
      <c r="J174" s="258">
        <f>'18-19 NGET'!J144</f>
        <v>37.655291250423687</v>
      </c>
      <c r="K174" s="258">
        <f>'18-19 NGET'!K144</f>
        <v>38.095237143245093</v>
      </c>
      <c r="L174" s="28"/>
    </row>
    <row r="175" spans="1:14">
      <c r="C175" s="257" t="s">
        <v>169</v>
      </c>
      <c r="D175" s="258">
        <f>'18-19 NGET'!D145</f>
        <v>1.9673768800481106</v>
      </c>
      <c r="E175" s="258">
        <f>'18-19 NGET'!E145</f>
        <v>2.0545710233718428</v>
      </c>
      <c r="F175" s="258">
        <f>'18-19 NGET'!F145</f>
        <v>2.1435339486838436</v>
      </c>
      <c r="G175" s="258">
        <f>'18-19 NGET'!G145</f>
        <v>2.2341625640341967</v>
      </c>
      <c r="H175" s="258">
        <f>'18-19 NGET'!H145</f>
        <v>2.3264781611800895</v>
      </c>
      <c r="I175" s="258">
        <f>'18-19 NGET'!I145</f>
        <v>2.4199560536963056</v>
      </c>
      <c r="J175" s="258">
        <f>'18-19 NGET'!J145</f>
        <v>2.5171898879338235</v>
      </c>
      <c r="K175" s="258">
        <f>'18-19 NGET'!K145</f>
        <v>2.6183305776310046</v>
      </c>
      <c r="L175" s="28"/>
    </row>
    <row r="176" spans="1:14" ht="13.8" thickBot="1">
      <c r="C176" s="261" t="s">
        <v>107</v>
      </c>
      <c r="D176" s="262">
        <f>'18-19 NGET'!D146</f>
        <v>120.39173696994975</v>
      </c>
      <c r="E176" s="262">
        <f>'18-19 NGET'!E146</f>
        <v>120.3008948154815</v>
      </c>
      <c r="F176" s="262">
        <f>'18-19 NGET'!F146</f>
        <v>126.51106656737041</v>
      </c>
      <c r="G176" s="262">
        <f>'18-19 NGET'!G146</f>
        <v>136.3704967271002</v>
      </c>
      <c r="H176" s="262">
        <f>'18-19 NGET'!H146</f>
        <v>134.28594503047006</v>
      </c>
      <c r="I176" s="263">
        <f>'18-19 NGET'!I146</f>
        <v>128.0467936557593</v>
      </c>
      <c r="J176" s="263">
        <f>'18-19 NGET'!J146</f>
        <v>135.23275716088972</v>
      </c>
      <c r="K176" s="263">
        <f>'18-19 NGET'!K146</f>
        <v>136.91508042247841</v>
      </c>
      <c r="L176" s="28"/>
    </row>
    <row r="177" spans="1:22" ht="13.8" thickBot="1">
      <c r="C177" s="259"/>
      <c r="D177" s="260"/>
      <c r="E177" s="260"/>
      <c r="F177" s="260"/>
      <c r="G177" s="260"/>
      <c r="H177" s="260"/>
      <c r="I177" s="309"/>
      <c r="J177" s="309"/>
      <c r="K177" s="309"/>
      <c r="L177" s="28"/>
    </row>
    <row r="178" spans="1:22" ht="13.8" thickBot="1">
      <c r="C178" s="255" t="s">
        <v>380</v>
      </c>
      <c r="D178" s="260"/>
      <c r="E178" s="260"/>
      <c r="F178" s="260"/>
      <c r="G178" s="260"/>
      <c r="H178" s="260"/>
      <c r="I178" s="309"/>
      <c r="J178" s="309"/>
      <c r="K178" s="309"/>
      <c r="L178" s="28"/>
    </row>
    <row r="179" spans="1:22" ht="13.8" thickBot="1">
      <c r="C179" s="255" t="s">
        <v>58</v>
      </c>
      <c r="D179" s="256" t="s">
        <v>59</v>
      </c>
      <c r="E179" s="256" t="s">
        <v>60</v>
      </c>
      <c r="F179" s="256" t="s">
        <v>61</v>
      </c>
      <c r="G179" s="256" t="s">
        <v>62</v>
      </c>
      <c r="H179" s="256" t="s">
        <v>63</v>
      </c>
      <c r="I179" s="256" t="s">
        <v>64</v>
      </c>
      <c r="J179" s="256" t="s">
        <v>65</v>
      </c>
      <c r="K179" s="256" t="s">
        <v>66</v>
      </c>
      <c r="M179" s="53"/>
      <c r="N179" s="53"/>
      <c r="O179" s="53"/>
      <c r="V179" s="189"/>
    </row>
    <row r="180" spans="1:22">
      <c r="C180" s="257" t="s">
        <v>110</v>
      </c>
      <c r="D180" s="258">
        <f>'ET workings base'!D212</f>
        <v>113.97553115199239</v>
      </c>
      <c r="E180" s="258">
        <f>'ET workings base'!E212</f>
        <v>113.53286514020465</v>
      </c>
      <c r="F180" s="258">
        <f>'ET workings base'!F212</f>
        <v>114.35655675002086</v>
      </c>
      <c r="G180" s="258">
        <f>'ET workings base'!G212</f>
        <v>116.7054339196653</v>
      </c>
      <c r="H180" s="258">
        <f>'ET workings base'!H212</f>
        <v>122.83308772040758</v>
      </c>
      <c r="I180" s="258">
        <f>'ET workings base'!I212</f>
        <v>117.52358286418433</v>
      </c>
      <c r="J180" s="258">
        <f>'ET workings base'!J212</f>
        <v>124.79574213500736</v>
      </c>
      <c r="K180" s="258">
        <f>'ET workings base'!K212</f>
        <v>126.19116022714998</v>
      </c>
      <c r="L180" s="258"/>
      <c r="M180" s="53"/>
      <c r="N180" s="53"/>
      <c r="O180" s="53"/>
      <c r="V180" s="189"/>
    </row>
    <row r="181" spans="1:22">
      <c r="C181" s="259" t="s">
        <v>111</v>
      </c>
      <c r="D181" s="260">
        <f>'ET workings 18-19'!D236</f>
        <v>0</v>
      </c>
      <c r="E181" s="260">
        <f>'ET workings 18-19'!E236</f>
        <v>3.7106038241035293</v>
      </c>
      <c r="F181" s="260">
        <f>'ET workings 18-19'!F236</f>
        <v>6.0364438354306174</v>
      </c>
      <c r="G181" s="260">
        <f>'ET workings 18-19'!G236</f>
        <v>20.850581449170846</v>
      </c>
      <c r="H181" s="260">
        <f>'ET workings 18-19'!H236</f>
        <v>9.1750949396110855</v>
      </c>
      <c r="I181" s="260">
        <f>'ET workings 18-19'!I237</f>
        <v>30.084347672795616</v>
      </c>
      <c r="J181" s="309"/>
      <c r="K181" s="309"/>
      <c r="L181" s="309"/>
      <c r="M181" s="53"/>
      <c r="N181" s="53"/>
      <c r="O181" s="53"/>
      <c r="V181" s="189"/>
    </row>
    <row r="182" spans="1:22">
      <c r="C182" s="257" t="s">
        <v>112</v>
      </c>
      <c r="D182" s="258">
        <f t="shared" ref="D182:I182" si="19">D180+D181</f>
        <v>113.97553115199239</v>
      </c>
      <c r="E182" s="258">
        <f t="shared" si="19"/>
        <v>117.24346896430818</v>
      </c>
      <c r="F182" s="258">
        <f t="shared" si="19"/>
        <v>120.39300058545147</v>
      </c>
      <c r="G182" s="258">
        <f t="shared" si="19"/>
        <v>137.55601536883614</v>
      </c>
      <c r="H182" s="258">
        <f t="shared" si="19"/>
        <v>132.00818266001866</v>
      </c>
      <c r="I182" s="258">
        <f t="shared" si="19"/>
        <v>147.60793053697995</v>
      </c>
      <c r="J182" s="258"/>
      <c r="K182" s="258"/>
      <c r="L182" s="258"/>
      <c r="M182" s="53"/>
      <c r="N182" s="53"/>
      <c r="O182" s="53"/>
      <c r="V182" s="189"/>
    </row>
    <row r="183" spans="1:22">
      <c r="C183" s="311" t="s">
        <v>367</v>
      </c>
      <c r="D183" s="258"/>
      <c r="E183" s="258"/>
      <c r="F183" s="258"/>
      <c r="G183" s="258"/>
      <c r="I183" s="260"/>
      <c r="J183" s="260">
        <f>I182+H182*H$105+G182*G$105+F182*F$105+E182*E$105+D182*D$105</f>
        <v>850.25089993678353</v>
      </c>
      <c r="K183" s="258"/>
      <c r="L183" s="258"/>
      <c r="M183" s="53"/>
      <c r="N183" s="53"/>
      <c r="O183" s="53"/>
      <c r="V183" s="189"/>
    </row>
    <row r="184" spans="1:22">
      <c r="C184" s="257" t="s">
        <v>366</v>
      </c>
      <c r="D184" s="258">
        <f t="shared" ref="D184:I184" si="20">D176</f>
        <v>120.39173696994975</v>
      </c>
      <c r="E184" s="258">
        <f t="shared" si="20"/>
        <v>120.3008948154815</v>
      </c>
      <c r="F184" s="258">
        <f t="shared" si="20"/>
        <v>126.51106656737041</v>
      </c>
      <c r="G184" s="258">
        <f t="shared" si="20"/>
        <v>136.3704967271002</v>
      </c>
      <c r="H184" s="258">
        <f t="shared" si="20"/>
        <v>134.28594503047006</v>
      </c>
      <c r="I184" s="258">
        <f t="shared" si="20"/>
        <v>128.0467936557593</v>
      </c>
      <c r="J184" s="258"/>
      <c r="K184" s="258"/>
      <c r="L184" s="293"/>
      <c r="V184" s="189"/>
    </row>
    <row r="185" spans="1:22" ht="13.8" thickBot="1">
      <c r="C185" s="310" t="s">
        <v>367</v>
      </c>
      <c r="D185" s="262"/>
      <c r="E185" s="262"/>
      <c r="F185" s="262"/>
      <c r="G185" s="262"/>
      <c r="H185" s="262"/>
      <c r="I185" s="262"/>
      <c r="J185" s="262">
        <f>I184+H184*H$105+G184*G$105+F184*F$105+E184*E$105+D184*D$105</f>
        <v>850.25089993678364</v>
      </c>
      <c r="K185" s="263"/>
      <c r="L185" s="258"/>
      <c r="V185" s="189"/>
    </row>
    <row r="186" spans="1:22">
      <c r="C186" s="259"/>
      <c r="D186" s="260"/>
      <c r="E186" s="260"/>
      <c r="F186" s="260"/>
      <c r="G186" s="260"/>
      <c r="H186" s="260"/>
      <c r="I186" s="309"/>
      <c r="J186" s="309">
        <f>J185-J183</f>
        <v>0</v>
      </c>
      <c r="K186" s="309"/>
      <c r="L186" s="28"/>
    </row>
    <row r="187" spans="1:22">
      <c r="C187" s="259"/>
      <c r="D187" s="260"/>
      <c r="E187" s="260"/>
      <c r="F187" s="260"/>
      <c r="G187" s="260"/>
      <c r="H187" s="260"/>
      <c r="I187" s="309"/>
      <c r="J187" s="309"/>
      <c r="K187" s="309"/>
      <c r="L187" s="28"/>
    </row>
    <row r="188" spans="1:22">
      <c r="F188" s="53"/>
      <c r="J188" s="350"/>
    </row>
    <row r="189" spans="1:22">
      <c r="F189" s="53"/>
      <c r="I189" s="227"/>
    </row>
    <row r="190" spans="1:22" ht="31.8" thickBot="1">
      <c r="A190" s="38" t="s">
        <v>381</v>
      </c>
      <c r="C190" s="357" t="s">
        <v>145</v>
      </c>
      <c r="D190" s="244" t="s">
        <v>21</v>
      </c>
      <c r="F190" s="53"/>
      <c r="I190" s="227"/>
      <c r="J190" s="227"/>
    </row>
    <row r="191" spans="1:22" ht="15.6">
      <c r="C191" s="245" t="s">
        <v>22</v>
      </c>
      <c r="D191" s="266" t="s">
        <v>146</v>
      </c>
    </row>
    <row r="192" spans="1:22" ht="15.6">
      <c r="C192" s="247" t="s">
        <v>24</v>
      </c>
      <c r="D192" s="248" t="s">
        <v>25</v>
      </c>
    </row>
    <row r="193" spans="3:4" ht="15.6">
      <c r="C193" s="247" t="s">
        <v>26</v>
      </c>
      <c r="D193" s="267" t="s">
        <v>147</v>
      </c>
    </row>
    <row r="194" spans="3:4" ht="31.2">
      <c r="C194" s="247" t="s">
        <v>28</v>
      </c>
      <c r="D194" s="248" t="s">
        <v>382</v>
      </c>
    </row>
    <row r="195" spans="3:4" ht="15.6">
      <c r="C195" s="247" t="s">
        <v>30</v>
      </c>
      <c r="D195" s="267" t="s">
        <v>148</v>
      </c>
    </row>
    <row r="196" spans="3:4" ht="15.6">
      <c r="C196" s="247" t="s">
        <v>34</v>
      </c>
      <c r="D196" s="267" t="s">
        <v>149</v>
      </c>
    </row>
    <row r="197" spans="3:4" ht="15.6">
      <c r="C197" s="247" t="s">
        <v>383</v>
      </c>
      <c r="D197" s="268">
        <v>112</v>
      </c>
    </row>
    <row r="198" spans="3:4" ht="15.6">
      <c r="C198" s="247" t="s">
        <v>35</v>
      </c>
      <c r="D198" s="267" t="s">
        <v>150</v>
      </c>
    </row>
  </sheetData>
  <mergeCells count="2">
    <mergeCell ref="E166:F166"/>
    <mergeCell ref="E149:F149"/>
  </mergeCells>
  <pageMargins left="0.7" right="0.7" top="0.75" bottom="0.75" header="0.3" footer="0.3"/>
  <pageSetup paperSize="9" orientation="portrait" r:id="rId1"/>
  <customProperties>
    <customPr name="EpmWorksheetKeyString_GUID" r:id="rId2"/>
  </customProperties>
  <ignoredErrors>
    <ignoredError sqref="E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AM147"/>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381</v>
      </c>
      <c r="C2" s="1" t="s">
        <v>384</v>
      </c>
      <c r="D2" s="2" t="s">
        <v>40</v>
      </c>
      <c r="E2" s="47" t="s">
        <v>41</v>
      </c>
      <c r="G2" s="112" t="s">
        <v>362</v>
      </c>
      <c r="H2" s="113" t="str">
        <f>RPI!$B$1</f>
        <v>Updated Oct 2019</v>
      </c>
      <c r="S2" s="1" t="s">
        <v>384</v>
      </c>
      <c r="T2" s="2" t="s">
        <v>40</v>
      </c>
      <c r="U2" s="47" t="s">
        <v>41</v>
      </c>
    </row>
    <row r="3" spans="1:24" ht="15.6" thickBot="1">
      <c r="C3" s="4" t="s">
        <v>42</v>
      </c>
      <c r="D3" s="64">
        <f>'14-15 NGET'!D3-'Baseline NGET'!D3</f>
        <v>0</v>
      </c>
      <c r="E3" s="232">
        <f>'14-15 NGET'!E3-'Baseline NGET'!E3</f>
        <v>0</v>
      </c>
      <c r="S3" s="142" t="s">
        <v>385</v>
      </c>
      <c r="T3" s="148">
        <v>11.7</v>
      </c>
      <c r="U3" s="149">
        <v>9</v>
      </c>
      <c r="W3" s="53">
        <f>D3-T3</f>
        <v>-11.7</v>
      </c>
      <c r="X3" s="53">
        <f t="shared" ref="X3:X20" si="0">E3-U3</f>
        <v>-9</v>
      </c>
    </row>
    <row r="4" spans="1:24" ht="15.6" thickBot="1">
      <c r="C4" s="3" t="s">
        <v>43</v>
      </c>
      <c r="D4" s="62">
        <f>'14-15 NGET'!D4-'Baseline NGET'!D4</f>
        <v>0</v>
      </c>
      <c r="E4" s="63">
        <f>'14-15 NGET'!E4-'Baseline NGET'!E4</f>
        <v>0</v>
      </c>
      <c r="S4" s="142"/>
      <c r="T4" s="148"/>
      <c r="U4" s="149"/>
      <c r="W4" s="53"/>
      <c r="X4" s="53"/>
    </row>
    <row r="5" spans="1:24" ht="15.6" thickBot="1">
      <c r="C5" s="4" t="s">
        <v>44</v>
      </c>
      <c r="D5" s="64">
        <f>'14-15 NGET'!D5-'Baseline NGET'!D5</f>
        <v>0</v>
      </c>
      <c r="E5" s="232">
        <f>'14-15 NGET'!E5-'Baseline NGET'!E5</f>
        <v>0</v>
      </c>
      <c r="S5" s="143" t="s">
        <v>44</v>
      </c>
      <c r="T5" s="150">
        <v>3.3</v>
      </c>
      <c r="U5" s="149">
        <v>2.6</v>
      </c>
      <c r="W5" s="53">
        <f t="shared" ref="W5:W20" si="1">D5-T5</f>
        <v>-3.3</v>
      </c>
      <c r="X5" s="53">
        <f t="shared" si="0"/>
        <v>-2.6</v>
      </c>
    </row>
    <row r="6" spans="1:24" ht="15.6" thickBot="1">
      <c r="C6" s="3" t="s">
        <v>45</v>
      </c>
      <c r="D6" s="62">
        <f>'14-15 NGET'!D6-'Baseline NGET'!D6</f>
        <v>0</v>
      </c>
      <c r="E6" s="63">
        <f>'14-15 NGET'!E6-'Baseline NGET'!E6</f>
        <v>0</v>
      </c>
      <c r="S6" s="142" t="s">
        <v>45</v>
      </c>
      <c r="T6" s="148">
        <v>0.1</v>
      </c>
      <c r="U6" s="149">
        <v>0.1</v>
      </c>
      <c r="W6" s="53">
        <f t="shared" si="1"/>
        <v>-0.1</v>
      </c>
      <c r="X6" s="53">
        <f t="shared" si="0"/>
        <v>-0.1</v>
      </c>
    </row>
    <row r="7" spans="1:24" ht="15.6" thickBot="1">
      <c r="C7" s="4" t="s">
        <v>46</v>
      </c>
      <c r="D7" s="64">
        <f>'14-15 NGET'!D7-'Baseline NGET'!D7</f>
        <v>0</v>
      </c>
      <c r="E7" s="232">
        <f>'14-15 NGET'!E7-'Baseline NGET'!E7</f>
        <v>0</v>
      </c>
      <c r="S7" s="143" t="s">
        <v>46</v>
      </c>
      <c r="T7" s="150">
        <v>1.9</v>
      </c>
      <c r="U7" s="149">
        <v>1.4</v>
      </c>
      <c r="W7" s="53">
        <f t="shared" si="1"/>
        <v>-1.9</v>
      </c>
      <c r="X7" s="53">
        <f t="shared" si="0"/>
        <v>-1.4</v>
      </c>
    </row>
    <row r="8" spans="1:24" ht="15.6" thickBot="1">
      <c r="C8" s="3" t="s">
        <v>47</v>
      </c>
      <c r="D8" s="62">
        <f>'14-15 NGET'!D8-'Baseline NGET'!D8</f>
        <v>0</v>
      </c>
      <c r="E8" s="63">
        <f>'14-15 NGET'!E8-'Baseline NGET'!E8</f>
        <v>0</v>
      </c>
      <c r="S8" s="143"/>
      <c r="T8" s="150"/>
      <c r="U8" s="149"/>
      <c r="W8" s="53"/>
      <c r="X8" s="53"/>
    </row>
    <row r="9" spans="1:24" ht="16.2" thickBot="1">
      <c r="C9" s="5" t="s">
        <v>48</v>
      </c>
      <c r="D9" s="67">
        <f>'14-15 NGET'!D9-'Baseline NGET'!D9</f>
        <v>0</v>
      </c>
      <c r="E9" s="233">
        <f>'14-15 NGET'!E9-'Baseline NGET'!E9</f>
        <v>0</v>
      </c>
      <c r="S9" s="144" t="s">
        <v>48</v>
      </c>
      <c r="T9" s="151">
        <v>17</v>
      </c>
      <c r="U9" s="152">
        <v>13.1</v>
      </c>
      <c r="W9" s="53">
        <f t="shared" si="1"/>
        <v>-17</v>
      </c>
      <c r="X9" s="53">
        <f t="shared" si="0"/>
        <v>-13.1</v>
      </c>
    </row>
    <row r="10" spans="1:24" ht="15.6" thickBot="1">
      <c r="C10" s="3" t="s">
        <v>52</v>
      </c>
      <c r="D10" s="62">
        <f>'14-15 NGET'!D10-'Baseline NGET'!D10</f>
        <v>0</v>
      </c>
      <c r="E10" s="63">
        <f>'14-15 NGET'!E10-'Baseline NGET'!E10</f>
        <v>0</v>
      </c>
      <c r="S10" s="143" t="s">
        <v>52</v>
      </c>
      <c r="T10" s="150">
        <v>1</v>
      </c>
      <c r="U10" s="149">
        <v>0.9</v>
      </c>
      <c r="W10" s="53">
        <f t="shared" si="1"/>
        <v>-1</v>
      </c>
      <c r="X10" s="53">
        <f t="shared" si="0"/>
        <v>-0.9</v>
      </c>
    </row>
    <row r="11" spans="1:24" ht="15.6" thickBot="1">
      <c r="C11" s="4"/>
      <c r="D11" s="64"/>
      <c r="E11" s="232"/>
      <c r="S11" s="145"/>
      <c r="T11" s="153"/>
      <c r="U11" s="154"/>
      <c r="W11" s="53">
        <f t="shared" si="1"/>
        <v>0</v>
      </c>
      <c r="X11" s="53">
        <f t="shared" si="0"/>
        <v>0</v>
      </c>
    </row>
    <row r="12" spans="1:24" ht="15.6" thickBot="1">
      <c r="C12" s="3" t="s">
        <v>49</v>
      </c>
      <c r="D12" s="62">
        <f>'14-15 NGET'!D12-'Baseline NGET'!D12</f>
        <v>0</v>
      </c>
      <c r="E12" s="63">
        <f>'14-15 NGET'!E12-'Baseline NGET'!E12</f>
        <v>0</v>
      </c>
      <c r="S12" s="143" t="s">
        <v>138</v>
      </c>
      <c r="T12" s="150">
        <v>0.3</v>
      </c>
      <c r="U12" s="149">
        <v>0.2</v>
      </c>
      <c r="W12" s="53">
        <f t="shared" si="1"/>
        <v>-0.3</v>
      </c>
      <c r="X12" s="53">
        <f t="shared" si="0"/>
        <v>-0.2</v>
      </c>
    </row>
    <row r="13" spans="1:24" ht="15.6" thickBot="1">
      <c r="C13" s="4" t="s">
        <v>46</v>
      </c>
      <c r="D13" s="64">
        <f>'14-15 NGET'!D13-'Baseline NGET'!D13</f>
        <v>0</v>
      </c>
      <c r="E13" s="232">
        <f>'14-15 NGET'!E13-'Baseline NGET'!E13</f>
        <v>0</v>
      </c>
      <c r="S13" s="142" t="s">
        <v>46</v>
      </c>
      <c r="T13" s="148">
        <v>0.7</v>
      </c>
      <c r="U13" s="149">
        <v>0.6</v>
      </c>
      <c r="W13" s="53">
        <f t="shared" si="1"/>
        <v>-0.7</v>
      </c>
      <c r="X13" s="53">
        <f t="shared" si="0"/>
        <v>-0.6</v>
      </c>
    </row>
    <row r="14" spans="1:24" ht="15.6" thickBot="1">
      <c r="C14" s="3" t="s">
        <v>47</v>
      </c>
      <c r="D14" s="62">
        <f>'14-15 NGET'!D14-'Baseline NGET'!D14</f>
        <v>0</v>
      </c>
      <c r="E14" s="63">
        <f>'14-15 NGET'!E14-'Baseline NGET'!E14</f>
        <v>0</v>
      </c>
      <c r="S14" s="142"/>
      <c r="T14" s="148"/>
      <c r="U14" s="149"/>
      <c r="W14" s="53"/>
      <c r="X14" s="53"/>
    </row>
    <row r="15" spans="1:24" ht="16.2" thickBot="1">
      <c r="C15" s="5" t="s">
        <v>50</v>
      </c>
      <c r="D15" s="67">
        <f>'14-15 NGET'!D15-'Baseline NGET'!D15</f>
        <v>0</v>
      </c>
      <c r="E15" s="233">
        <f>'14-15 NGET'!E15-'Baseline NGET'!E15</f>
        <v>0</v>
      </c>
      <c r="S15" s="146" t="s">
        <v>50</v>
      </c>
      <c r="T15" s="155">
        <v>1</v>
      </c>
      <c r="U15" s="152">
        <v>0.8</v>
      </c>
      <c r="W15" s="53">
        <f t="shared" si="1"/>
        <v>-1</v>
      </c>
      <c r="X15" s="53">
        <f t="shared" si="0"/>
        <v>-0.8</v>
      </c>
    </row>
    <row r="16" spans="1:24" ht="15.6" thickBot="1">
      <c r="C16" s="3"/>
      <c r="D16" s="62"/>
      <c r="E16" s="63"/>
      <c r="S16" s="147"/>
      <c r="T16" s="153"/>
      <c r="U16" s="154"/>
      <c r="W16" s="53">
        <f t="shared" si="1"/>
        <v>0</v>
      </c>
      <c r="X16" s="53">
        <f t="shared" si="0"/>
        <v>0</v>
      </c>
    </row>
    <row r="17" spans="1:24" ht="16.2" thickBot="1">
      <c r="C17" s="5" t="s">
        <v>153</v>
      </c>
      <c r="D17" s="67">
        <f>'14-15 NGET'!D17-'Baseline NGET'!D17</f>
        <v>0</v>
      </c>
      <c r="E17" s="233">
        <f>'14-15 NGET'!E17-'Baseline NGET'!E17</f>
        <v>0</v>
      </c>
      <c r="S17" s="146" t="s">
        <v>153</v>
      </c>
      <c r="T17" s="155">
        <v>18</v>
      </c>
      <c r="U17" s="152">
        <v>13.9</v>
      </c>
      <c r="W17" s="53">
        <f t="shared" si="1"/>
        <v>-18</v>
      </c>
      <c r="X17" s="53">
        <f t="shared" si="0"/>
        <v>-13.9</v>
      </c>
    </row>
    <row r="18" spans="1:24" ht="15.6" thickBot="1">
      <c r="C18" s="3"/>
      <c r="D18" s="62"/>
      <c r="E18" s="63"/>
      <c r="S18" s="147"/>
      <c r="T18" s="153"/>
      <c r="U18" s="154"/>
      <c r="W18" s="53">
        <f t="shared" si="1"/>
        <v>0</v>
      </c>
      <c r="X18" s="53">
        <f t="shared" si="0"/>
        <v>0</v>
      </c>
    </row>
    <row r="19" spans="1:24" ht="16.2" thickBot="1">
      <c r="C19" s="5" t="s">
        <v>53</v>
      </c>
      <c r="D19" s="67">
        <f>'14-15 NGET'!D19-'Baseline NGET'!D19</f>
        <v>0</v>
      </c>
      <c r="E19" s="233">
        <f>'14-15 NGET'!E19-'Baseline NGET'!E19</f>
        <v>0</v>
      </c>
      <c r="S19" s="146" t="s">
        <v>53</v>
      </c>
      <c r="T19" s="155">
        <v>10.3</v>
      </c>
      <c r="U19" s="152">
        <v>8.9</v>
      </c>
      <c r="W19" s="53">
        <f t="shared" si="1"/>
        <v>-10.3</v>
      </c>
      <c r="X19" s="53">
        <f t="shared" si="0"/>
        <v>-8.9</v>
      </c>
    </row>
    <row r="20" spans="1:24" ht="16.2" thickBot="1">
      <c r="C20" s="6" t="s">
        <v>54</v>
      </c>
      <c r="D20" s="65">
        <f>'14-15 NGET'!D20-'Baseline NGET'!D20</f>
        <v>-0.15026212639900649</v>
      </c>
      <c r="E20" s="66">
        <f>'14-15 NGET'!E20-'Baseline NGET'!E20</f>
        <v>-0.107178704592922</v>
      </c>
      <c r="S20" s="144" t="s">
        <v>54</v>
      </c>
      <c r="T20" s="151">
        <v>21.4</v>
      </c>
      <c r="U20" s="156">
        <v>14.4</v>
      </c>
      <c r="W20" s="53">
        <f t="shared" si="1"/>
        <v>-21.550262126399005</v>
      </c>
      <c r="X20" s="53">
        <f t="shared" si="0"/>
        <v>-14.507178704592922</v>
      </c>
    </row>
    <row r="23" spans="1:24" ht="13.8" thickBot="1">
      <c r="A23" s="38" t="s">
        <v>360</v>
      </c>
    </row>
    <row r="24" spans="1:24" ht="13.8" thickBot="1">
      <c r="C24" s="14" t="s">
        <v>58</v>
      </c>
      <c r="D24" s="15" t="s">
        <v>59</v>
      </c>
      <c r="E24" s="15" t="s">
        <v>60</v>
      </c>
      <c r="F24" s="15" t="s">
        <v>61</v>
      </c>
      <c r="G24" s="15" t="s">
        <v>62</v>
      </c>
      <c r="H24" s="15" t="s">
        <v>63</v>
      </c>
      <c r="I24" s="15" t="s">
        <v>64</v>
      </c>
      <c r="J24" s="15" t="s">
        <v>65</v>
      </c>
      <c r="K24" s="15" t="s">
        <v>66</v>
      </c>
      <c r="L24" s="15" t="s">
        <v>118</v>
      </c>
    </row>
    <row r="25" spans="1:24">
      <c r="C25" s="16"/>
      <c r="D25" s="26"/>
      <c r="E25" s="26"/>
      <c r="F25" s="26"/>
      <c r="G25" s="26"/>
      <c r="H25" s="26"/>
      <c r="I25" s="26"/>
      <c r="J25" s="26"/>
      <c r="K25" s="26"/>
      <c r="L25" s="26"/>
    </row>
    <row r="26" spans="1:24">
      <c r="A26" t="s">
        <v>338</v>
      </c>
      <c r="C26" s="17" t="s">
        <v>119</v>
      </c>
      <c r="D26" s="27">
        <f>'14-15 NGET'!D26-'Baseline NGET'!D26</f>
        <v>0</v>
      </c>
      <c r="E26" s="27">
        <f>'14-15 NGET'!E26-'Baseline NGET'!E26</f>
        <v>0</v>
      </c>
      <c r="F26" s="27">
        <f>'14-15 NGET'!F26-'Baseline NGET'!F26</f>
        <v>0</v>
      </c>
      <c r="G26" s="27">
        <f>'14-15 NGET'!G26-'Baseline NGET'!G26</f>
        <v>0</v>
      </c>
      <c r="H26" s="27">
        <f>'14-15 NGET'!H26-'Baseline NGET'!H26</f>
        <v>0</v>
      </c>
      <c r="I26" s="27">
        <f>'14-15 NGET'!I26-'Baseline NGET'!I26</f>
        <v>0</v>
      </c>
      <c r="J26" s="27">
        <f>'14-15 NGET'!J26-'Baseline NGET'!J26</f>
        <v>0</v>
      </c>
      <c r="K26" s="27">
        <f>'14-15 NGET'!K26-'Baseline NGET'!K26</f>
        <v>0</v>
      </c>
      <c r="L26" s="28">
        <f>'14-15 NGET'!L26-'Baseline NGET'!L26</f>
        <v>0</v>
      </c>
    </row>
    <row r="27" spans="1:24">
      <c r="C27" s="18" t="s">
        <v>386</v>
      </c>
      <c r="D27" s="29">
        <f>'14-15 NGET'!D27-'Baseline NGET'!D27</f>
        <v>0</v>
      </c>
      <c r="E27" s="29">
        <f>'14-15 NGET'!E27-'Baseline NGET'!E27</f>
        <v>0</v>
      </c>
      <c r="F27" s="29">
        <f>'14-15 NGET'!F27-'Baseline NGET'!F27</f>
        <v>0</v>
      </c>
      <c r="G27" s="29">
        <f>'14-15 NGET'!G27-'Baseline NGET'!G27</f>
        <v>0</v>
      </c>
      <c r="H27" s="29">
        <f>'14-15 NGET'!H27-'Baseline NGET'!H27</f>
        <v>0</v>
      </c>
      <c r="I27" s="29">
        <f>'14-15 NGET'!I27-'Baseline NGET'!I27</f>
        <v>0</v>
      </c>
      <c r="J27" s="29">
        <f>'14-15 NGET'!J27-'Baseline NGET'!J27</f>
        <v>0</v>
      </c>
      <c r="K27" s="29">
        <f>'14-15 NGET'!K27-'Baseline NGET'!K27</f>
        <v>0</v>
      </c>
      <c r="L27" s="30">
        <f>'14-15 NGET'!L27-'Baseline NGET'!L27</f>
        <v>0</v>
      </c>
    </row>
    <row r="28" spans="1:24">
      <c r="C28" s="19" t="s">
        <v>71</v>
      </c>
      <c r="D28" s="31">
        <f>'14-15 NGET'!D28-'Baseline NGET'!D28</f>
        <v>0</v>
      </c>
      <c r="E28" s="31">
        <f>'14-15 NGET'!E28-'Baseline NGET'!E28</f>
        <v>0</v>
      </c>
      <c r="F28" s="31">
        <f>'14-15 NGET'!F28-'Baseline NGET'!F28</f>
        <v>0</v>
      </c>
      <c r="G28" s="31">
        <f>'14-15 NGET'!G28-'Baseline NGET'!G28</f>
        <v>0</v>
      </c>
      <c r="H28" s="31">
        <f>'14-15 NGET'!H28-'Baseline NGET'!H28</f>
        <v>0</v>
      </c>
      <c r="I28" s="31">
        <f>'14-15 NGET'!I28-'Baseline NGET'!I28</f>
        <v>0</v>
      </c>
      <c r="J28" s="31">
        <f>'14-15 NGET'!J28-'Baseline NGET'!J28</f>
        <v>0</v>
      </c>
      <c r="K28" s="31">
        <f>'14-15 NGET'!K28-'Baseline NGET'!K28</f>
        <v>0</v>
      </c>
      <c r="L28" s="28">
        <f>'14-15 NGET'!L28-'Baseline NGET'!L28</f>
        <v>0</v>
      </c>
    </row>
    <row r="29" spans="1:24">
      <c r="A29" t="s">
        <v>346</v>
      </c>
      <c r="C29" s="17" t="s">
        <v>121</v>
      </c>
      <c r="D29" s="27">
        <f>'14-15 NGET'!D29-'Baseline NGET'!D29</f>
        <v>0</v>
      </c>
      <c r="E29" s="27">
        <f>'14-15 NGET'!E29-'Baseline NGET'!E29</f>
        <v>0</v>
      </c>
      <c r="F29" s="27">
        <f>'14-15 NGET'!F29-'Baseline NGET'!F29</f>
        <v>0</v>
      </c>
      <c r="G29" s="27">
        <f>'14-15 NGET'!G29-'Baseline NGET'!G29</f>
        <v>0</v>
      </c>
      <c r="H29" s="27">
        <f>'14-15 NGET'!H29-'Baseline NGET'!H29</f>
        <v>0</v>
      </c>
      <c r="I29" s="27">
        <f>'14-15 NGET'!I29-'Baseline NGET'!I29</f>
        <v>0</v>
      </c>
      <c r="J29" s="27">
        <f>'14-15 NGET'!J29-'Baseline NGET'!J29</f>
        <v>0</v>
      </c>
      <c r="K29" s="27">
        <f>'14-15 NGET'!K29-'Baseline NGET'!K29</f>
        <v>0</v>
      </c>
      <c r="L29" s="27">
        <f>'14-15 NGET'!L29-'Baseline NGET'!L29</f>
        <v>0</v>
      </c>
    </row>
    <row r="30" spans="1:24">
      <c r="C30" s="18" t="s">
        <v>387</v>
      </c>
      <c r="D30" s="29">
        <f>'14-15 NGET'!D30-'Baseline NGET'!D30</f>
        <v>0</v>
      </c>
      <c r="E30" s="29">
        <f>'14-15 NGET'!E30-'Baseline NGET'!E30</f>
        <v>0</v>
      </c>
      <c r="F30" s="29">
        <f>'14-15 NGET'!F30-'Baseline NGET'!F30</f>
        <v>0</v>
      </c>
      <c r="G30" s="29">
        <f>'14-15 NGET'!G30-'Baseline NGET'!G30</f>
        <v>0</v>
      </c>
      <c r="H30" s="29">
        <f>'14-15 NGET'!H30-'Baseline NGET'!H30</f>
        <v>0</v>
      </c>
      <c r="I30" s="29">
        <f>'14-15 NGET'!I30-'Baseline NGET'!I30</f>
        <v>0</v>
      </c>
      <c r="J30" s="29">
        <f>'14-15 NGET'!J30-'Baseline NGET'!J30</f>
        <v>0</v>
      </c>
      <c r="K30" s="29">
        <f>'14-15 NGET'!K30-'Baseline NGET'!K30</f>
        <v>0</v>
      </c>
      <c r="L30" s="29">
        <f>'14-15 NGET'!L30-'Baseline NGET'!L30</f>
        <v>0</v>
      </c>
    </row>
    <row r="31" spans="1:24">
      <c r="C31" s="19" t="s">
        <v>77</v>
      </c>
      <c r="D31" s="31">
        <f>'14-15 NGET'!D31-'Baseline NGET'!D31</f>
        <v>0</v>
      </c>
      <c r="E31" s="31">
        <f>'14-15 NGET'!E31-'Baseline NGET'!E31</f>
        <v>0</v>
      </c>
      <c r="F31" s="31">
        <f>'14-15 NGET'!F31-'Baseline NGET'!F31</f>
        <v>0</v>
      </c>
      <c r="G31" s="31">
        <f>'14-15 NGET'!G31-'Baseline NGET'!G31</f>
        <v>0</v>
      </c>
      <c r="H31" s="31">
        <f>'14-15 NGET'!H31-'Baseline NGET'!H31</f>
        <v>0</v>
      </c>
      <c r="I31" s="31">
        <f>'14-15 NGET'!I31-'Baseline NGET'!I31</f>
        <v>0</v>
      </c>
      <c r="J31" s="31">
        <f>'14-15 NGET'!J31-'Baseline NGET'!J31</f>
        <v>0</v>
      </c>
      <c r="K31" s="31">
        <f>'14-15 NGET'!K31-'Baseline NGET'!K31</f>
        <v>0</v>
      </c>
      <c r="L31" s="31">
        <f>'14-15 NGET'!L31-'Baseline NGET'!L31</f>
        <v>0</v>
      </c>
    </row>
    <row r="32" spans="1:24">
      <c r="A32" t="s">
        <v>233</v>
      </c>
      <c r="C32" s="17" t="s">
        <v>388</v>
      </c>
      <c r="D32" s="27">
        <f>'14-15 NGET'!D32-'Baseline NGET'!D32</f>
        <v>0</v>
      </c>
      <c r="E32" s="27">
        <f>'14-15 NGET'!E32-'Baseline NGET'!E32</f>
        <v>0</v>
      </c>
      <c r="F32" s="27">
        <f>'14-15 NGET'!F32-'Baseline NGET'!F32</f>
        <v>0</v>
      </c>
      <c r="G32" s="27">
        <f>'14-15 NGET'!G32-'Baseline NGET'!G32</f>
        <v>0</v>
      </c>
      <c r="H32" s="27">
        <f>'14-15 NGET'!H32-'Baseline NGET'!H32</f>
        <v>0</v>
      </c>
      <c r="I32" s="27">
        <f>'14-15 NGET'!I32-'Baseline NGET'!I32</f>
        <v>0</v>
      </c>
      <c r="J32" s="27">
        <f>'14-15 NGET'!J32-'Baseline NGET'!J32</f>
        <v>0</v>
      </c>
      <c r="K32" s="27">
        <f>'14-15 NGET'!K32-'Baseline NGET'!K32</f>
        <v>0</v>
      </c>
      <c r="L32" s="27">
        <f>'14-15 NGET'!L32-'Baseline NGET'!L32</f>
        <v>0</v>
      </c>
    </row>
    <row r="33" spans="3:14">
      <c r="C33" s="18" t="s">
        <v>389</v>
      </c>
      <c r="D33" s="29">
        <f>'14-15 NGET'!D33-'Baseline NGET'!D33</f>
        <v>0</v>
      </c>
      <c r="E33" s="29">
        <f>'14-15 NGET'!E33-'Baseline NGET'!E33</f>
        <v>0</v>
      </c>
      <c r="F33" s="29">
        <f>'14-15 NGET'!F33-'Baseline NGET'!F33</f>
        <v>0</v>
      </c>
      <c r="G33" s="29">
        <f>'14-15 NGET'!G33-'Baseline NGET'!G33</f>
        <v>0</v>
      </c>
      <c r="H33" s="29">
        <f>'14-15 NGET'!H33-'Baseline NGET'!H33</f>
        <v>0</v>
      </c>
      <c r="I33" s="29">
        <f>'14-15 NGET'!I33-'Baseline NGET'!I33</f>
        <v>0</v>
      </c>
      <c r="J33" s="29">
        <f>'14-15 NGET'!J33-'Baseline NGET'!J33</f>
        <v>0</v>
      </c>
      <c r="K33" s="29">
        <f>'14-15 NGET'!K33-'Baseline NGET'!K33</f>
        <v>0</v>
      </c>
      <c r="L33" s="29">
        <f>'14-15 NGET'!L33-'Baseline NGET'!L33</f>
        <v>0</v>
      </c>
    </row>
    <row r="34" spans="3:14">
      <c r="C34" s="19" t="s">
        <v>78</v>
      </c>
      <c r="D34" s="31">
        <f>'14-15 NGET'!D34-'Baseline NGET'!D34</f>
        <v>0</v>
      </c>
      <c r="E34" s="31">
        <f>'14-15 NGET'!E34-'Baseline NGET'!E34</f>
        <v>0</v>
      </c>
      <c r="F34" s="31">
        <f>'14-15 NGET'!F34-'Baseline NGET'!F34</f>
        <v>0</v>
      </c>
      <c r="G34" s="31">
        <f>'14-15 NGET'!G34-'Baseline NGET'!G34</f>
        <v>0</v>
      </c>
      <c r="H34" s="31">
        <f>'14-15 NGET'!H34-'Baseline NGET'!H34</f>
        <v>0</v>
      </c>
      <c r="I34" s="31">
        <f>'14-15 NGET'!I34-'Baseline NGET'!I34</f>
        <v>0</v>
      </c>
      <c r="J34" s="31">
        <f>'14-15 NGET'!J34-'Baseline NGET'!J34</f>
        <v>0</v>
      </c>
      <c r="K34" s="31">
        <f>'14-15 NGET'!K34-'Baseline NGET'!K34</f>
        <v>0</v>
      </c>
      <c r="L34" s="31">
        <f>'14-15 NGET'!L34-'Baseline NGET'!L34</f>
        <v>0</v>
      </c>
    </row>
    <row r="35" spans="3:14">
      <c r="C35" s="20"/>
      <c r="D35" s="32"/>
      <c r="E35" s="32"/>
      <c r="F35" s="32"/>
      <c r="G35" s="32"/>
      <c r="H35" s="32"/>
      <c r="I35" s="32"/>
      <c r="J35" s="32"/>
      <c r="K35" s="32"/>
      <c r="L35" s="33"/>
    </row>
    <row r="36" spans="3:14">
      <c r="C36" s="17" t="s">
        <v>79</v>
      </c>
      <c r="D36" s="27">
        <f>'14-15 NGET'!D36-'Baseline NGET'!D36</f>
        <v>0</v>
      </c>
      <c r="E36" s="27">
        <f>'14-15 NGET'!E36-'Baseline NGET'!E36</f>
        <v>0</v>
      </c>
      <c r="F36" s="27">
        <f>'14-15 NGET'!F36-'Baseline NGET'!F36</f>
        <v>0</v>
      </c>
      <c r="G36" s="27">
        <f>'14-15 NGET'!G36-'Baseline NGET'!G36</f>
        <v>0</v>
      </c>
      <c r="H36" s="27">
        <f>'14-15 NGET'!H36-'Baseline NGET'!H36</f>
        <v>0</v>
      </c>
      <c r="I36" s="27">
        <f>'14-15 NGET'!I36-'Baseline NGET'!I36</f>
        <v>0</v>
      </c>
      <c r="J36" s="27">
        <f>'14-15 NGET'!J36-'Baseline NGET'!J36</f>
        <v>0</v>
      </c>
      <c r="K36" s="27">
        <f>'14-15 NGET'!K36-'Baseline NGET'!K36</f>
        <v>0</v>
      </c>
      <c r="L36" s="28">
        <f>'14-15 NGET'!L36-'Baseline NGET'!L36</f>
        <v>0</v>
      </c>
    </row>
    <row r="37" spans="3:14">
      <c r="C37" s="18" t="s">
        <v>80</v>
      </c>
      <c r="D37" s="29">
        <f>'14-15 NGET'!D37-'Baseline NGET'!D37</f>
        <v>0</v>
      </c>
      <c r="E37" s="29">
        <f>'14-15 NGET'!E37-'Baseline NGET'!E37</f>
        <v>0</v>
      </c>
      <c r="F37" s="29">
        <f>'14-15 NGET'!F37-'Baseline NGET'!F37</f>
        <v>0</v>
      </c>
      <c r="G37" s="29">
        <f>'14-15 NGET'!G37-'Baseline NGET'!G37</f>
        <v>0</v>
      </c>
      <c r="H37" s="29">
        <f>'14-15 NGET'!H37-'Baseline NGET'!H37</f>
        <v>0</v>
      </c>
      <c r="I37" s="29">
        <f>'14-15 NGET'!I37-'Baseline NGET'!I37</f>
        <v>0</v>
      </c>
      <c r="J37" s="29">
        <f>'14-15 NGET'!J37-'Baseline NGET'!J37</f>
        <v>0</v>
      </c>
      <c r="K37" s="29">
        <f>'14-15 NGET'!K37-'Baseline NGET'!K37</f>
        <v>0</v>
      </c>
      <c r="L37" s="30">
        <f>'14-15 NGET'!L37-'Baseline NGET'!L37</f>
        <v>0</v>
      </c>
    </row>
    <row r="38" spans="3:14" ht="13.8" thickBot="1">
      <c r="C38" s="21" t="s">
        <v>390</v>
      </c>
      <c r="D38" s="34">
        <f>'14-15 NGET'!D38-'Baseline NGET'!D38</f>
        <v>0</v>
      </c>
      <c r="E38" s="34">
        <f>'14-15 NGET'!E38-'Baseline NGET'!E38</f>
        <v>0</v>
      </c>
      <c r="F38" s="34">
        <f>'14-15 NGET'!F38-'Baseline NGET'!F38</f>
        <v>0</v>
      </c>
      <c r="G38" s="34">
        <f>'14-15 NGET'!G38-'Baseline NGET'!G38</f>
        <v>0</v>
      </c>
      <c r="H38" s="34">
        <f>'14-15 NGET'!H38-'Baseline NGET'!H38</f>
        <v>0</v>
      </c>
      <c r="I38" s="34">
        <f>'14-15 NGET'!I38-'Baseline NGET'!I38</f>
        <v>0</v>
      </c>
      <c r="J38" s="34">
        <f>'14-15 NGET'!J38-'Baseline NGET'!J38</f>
        <v>0</v>
      </c>
      <c r="K38" s="34">
        <f>'14-15 NGET'!K38-'Baseline NGET'!K38</f>
        <v>0</v>
      </c>
      <c r="L38" s="35">
        <f>'14-15 NGET'!L38-'Baseline NGET'!L38</f>
        <v>0</v>
      </c>
    </row>
    <row r="39" spans="3:14">
      <c r="D39" s="109"/>
      <c r="E39" s="109"/>
      <c r="F39" s="109"/>
      <c r="G39" s="109"/>
      <c r="H39" s="109"/>
      <c r="I39" s="109"/>
      <c r="J39" s="109"/>
      <c r="K39" s="109"/>
      <c r="L39" s="109"/>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'14-15 NGET'!D42-'Baseline NGET'!D42</f>
        <v>0</v>
      </c>
      <c r="E42" s="36">
        <f>'14-15 NGET'!E42-'Baseline NGET'!E42</f>
        <v>-153.70589418365307</v>
      </c>
      <c r="F42" s="36">
        <f>'14-15 NGET'!F42-'Baseline NGET'!F42</f>
        <v>-147.05915281354828</v>
      </c>
      <c r="G42" s="36">
        <f>'14-15 NGET'!G42-'Baseline NGET'!G42</f>
        <v>-140.41241144344531</v>
      </c>
      <c r="H42" s="36">
        <f>'14-15 NGET'!H42-'Baseline NGET'!H42</f>
        <v>-133.76567007334052</v>
      </c>
      <c r="I42" s="36">
        <f>'14-15 NGET'!I42-'Baseline NGET'!I42</f>
        <v>-127.11892870323572</v>
      </c>
      <c r="J42" s="36">
        <f>'14-15 NGET'!J42-'Baseline NGET'!J42</f>
        <v>-120.47218733313093</v>
      </c>
      <c r="K42" s="36">
        <f>'14-15 NGET'!K42-'Baseline NGET'!K42</f>
        <v>-113.82544596302614</v>
      </c>
    </row>
    <row r="43" spans="3:14">
      <c r="C43" s="17" t="s">
        <v>86</v>
      </c>
      <c r="D43" s="27">
        <f>'14-15 NGET'!D43-'Baseline NGET'!D43</f>
        <v>-153.70589418365284</v>
      </c>
      <c r="E43" s="27">
        <f>'14-15 NGET'!E43-'Baseline NGET'!E43</f>
        <v>0</v>
      </c>
      <c r="F43" s="27">
        <f>'14-15 NGET'!F43-'Baseline NGET'!F43</f>
        <v>0</v>
      </c>
      <c r="G43" s="27">
        <f>'14-15 NGET'!G43-'Baseline NGET'!G43</f>
        <v>0</v>
      </c>
      <c r="H43" s="27">
        <f>'14-15 NGET'!H43-'Baseline NGET'!H43</f>
        <v>0</v>
      </c>
      <c r="I43" s="27">
        <f>'14-15 NGET'!I43-'Baseline NGET'!I43</f>
        <v>0</v>
      </c>
      <c r="J43" s="27">
        <f>'14-15 NGET'!J43-'Baseline NGET'!J43</f>
        <v>0</v>
      </c>
      <c r="K43" s="27">
        <f>'14-15 NGET'!K43-'Baseline NGET'!K43</f>
        <v>0</v>
      </c>
    </row>
    <row r="44" spans="3:14">
      <c r="C44" s="18" t="s">
        <v>92</v>
      </c>
      <c r="D44" s="29">
        <f>'14-15 NGET'!D44-'Baseline NGET'!D44</f>
        <v>0</v>
      </c>
      <c r="E44" s="29">
        <f>'14-15 NGET'!E44-'Baseline NGET'!E44</f>
        <v>0</v>
      </c>
      <c r="F44" s="29">
        <f>'14-15 NGET'!F44-'Baseline NGET'!F44</f>
        <v>0</v>
      </c>
      <c r="G44" s="29">
        <f>'14-15 NGET'!G44-'Baseline NGET'!G44</f>
        <v>0</v>
      </c>
      <c r="H44" s="29">
        <f>'14-15 NGET'!H44-'Baseline NGET'!H44</f>
        <v>0</v>
      </c>
      <c r="I44" s="29">
        <f>'14-15 NGET'!I44-'Baseline NGET'!I44</f>
        <v>0</v>
      </c>
      <c r="J44" s="29">
        <f>'14-15 NGET'!J44-'Baseline NGET'!J44</f>
        <v>0</v>
      </c>
      <c r="K44" s="29">
        <f>'14-15 NGET'!K44-'Baseline NGET'!K44</f>
        <v>0</v>
      </c>
    </row>
    <row r="45" spans="3:14">
      <c r="C45" s="17" t="s">
        <v>93</v>
      </c>
      <c r="D45" s="27">
        <f>'14-15 NGET'!D45-'Baseline NGET'!D45</f>
        <v>0</v>
      </c>
      <c r="E45" s="27">
        <f>'14-15 NGET'!E45-'Baseline NGET'!E45</f>
        <v>6.6467413701039035</v>
      </c>
      <c r="F45" s="27">
        <f>'14-15 NGET'!F45-'Baseline NGET'!F45</f>
        <v>6.6467413701038964</v>
      </c>
      <c r="G45" s="27">
        <f>'14-15 NGET'!G45-'Baseline NGET'!G45</f>
        <v>6.6467413701039106</v>
      </c>
      <c r="H45" s="27">
        <f>'14-15 NGET'!H45-'Baseline NGET'!H45</f>
        <v>6.6467413701039391</v>
      </c>
      <c r="I45" s="27">
        <f>'14-15 NGET'!I45-'Baseline NGET'!I45</f>
        <v>6.6467413701039391</v>
      </c>
      <c r="J45" s="27">
        <f>'14-15 NGET'!J45-'Baseline NGET'!J45</f>
        <v>6.6467413701039391</v>
      </c>
      <c r="K45" s="27">
        <f>'14-15 NGET'!K45-'Baseline NGET'!K45</f>
        <v>6.6467413701039391</v>
      </c>
      <c r="N45" s="208"/>
    </row>
    <row r="46" spans="3:14" ht="13.8" thickBot="1">
      <c r="C46" s="25" t="s">
        <v>94</v>
      </c>
      <c r="D46" s="37">
        <f>'14-15 NGET'!D46-'Baseline NGET'!D46</f>
        <v>-153.70589418365307</v>
      </c>
      <c r="E46" s="37">
        <f>'14-15 NGET'!E46-'Baseline NGET'!E46</f>
        <v>-147.05915281354828</v>
      </c>
      <c r="F46" s="37">
        <f>'14-15 NGET'!F46-'Baseline NGET'!F46</f>
        <v>-140.41241144344531</v>
      </c>
      <c r="G46" s="37">
        <f>'14-15 NGET'!G46-'Baseline NGET'!G46</f>
        <v>-133.76567007334052</v>
      </c>
      <c r="H46" s="37">
        <f>'14-15 NGET'!H46-'Baseline NGET'!H46</f>
        <v>-127.11892870323572</v>
      </c>
      <c r="I46" s="37">
        <f>'14-15 NGET'!I46-'Baseline NGET'!I46</f>
        <v>-120.47218733313093</v>
      </c>
      <c r="J46" s="37">
        <f>'14-15 NGET'!J46-'Baseline NGET'!J46</f>
        <v>-113.82544596302614</v>
      </c>
      <c r="K46" s="37">
        <f>'14-15 NGET'!K46-'Baseline NGET'!K46</f>
        <v>-107.17870459292135</v>
      </c>
      <c r="N46" s="209"/>
    </row>
    <row r="47" spans="3:14">
      <c r="D47" s="53"/>
      <c r="E47" s="53"/>
      <c r="F47" s="53"/>
      <c r="G47" s="53"/>
      <c r="H47" s="53"/>
      <c r="I47" s="53"/>
      <c r="J47" s="53"/>
      <c r="K47" s="53"/>
    </row>
    <row r="49" spans="1:39" ht="13.8" thickBot="1">
      <c r="A49" s="38" t="s">
        <v>363</v>
      </c>
    </row>
    <row r="50" spans="1:39" ht="13.8" thickBot="1">
      <c r="C50" s="7" t="s">
        <v>58</v>
      </c>
      <c r="D50" s="8" t="s">
        <v>59</v>
      </c>
      <c r="E50" s="8" t="s">
        <v>60</v>
      </c>
      <c r="F50" s="8" t="s">
        <v>61</v>
      </c>
      <c r="G50" s="8" t="s">
        <v>62</v>
      </c>
      <c r="H50" s="8" t="s">
        <v>63</v>
      </c>
      <c r="I50" s="8" t="s">
        <v>64</v>
      </c>
      <c r="J50" s="8" t="s">
        <v>65</v>
      </c>
      <c r="K50" s="8" t="s">
        <v>66</v>
      </c>
      <c r="P50" s="204"/>
    </row>
    <row r="51" spans="1:39">
      <c r="C51" s="22" t="s">
        <v>91</v>
      </c>
      <c r="D51" s="41">
        <f>'14-15 NGET'!D51-'Baseline NGET'!D51</f>
        <v>0</v>
      </c>
      <c r="E51" s="41">
        <f>'14-15 NGET'!E51-'Baseline NGET'!E51</f>
        <v>-153.70589418365307</v>
      </c>
      <c r="F51" s="41">
        <f>'14-15 NGET'!F51-'Baseline NGET'!F51</f>
        <v>-147.0591528135501</v>
      </c>
      <c r="G51" s="41">
        <f>'14-15 NGET'!G51-'Baseline NGET'!G51</f>
        <v>-140.41241144344531</v>
      </c>
      <c r="H51" s="41">
        <f>'14-15 NGET'!H51-'Baseline NGET'!H51</f>
        <v>-133.76567007334052</v>
      </c>
      <c r="I51" s="41">
        <f>'14-15 NGET'!I51-'Baseline NGET'!I51</f>
        <v>-127.11892870323572</v>
      </c>
      <c r="J51" s="41">
        <f>'14-15 NGET'!J51-'Baseline NGET'!J51</f>
        <v>-120.47218733313093</v>
      </c>
      <c r="K51" s="41">
        <f>'14-15 NGET'!K51-'Baseline NGET'!K51</f>
        <v>-113.82544596302614</v>
      </c>
      <c r="P51" s="42"/>
    </row>
    <row r="52" spans="1:39">
      <c r="C52" s="10" t="s">
        <v>85</v>
      </c>
      <c r="D52" s="42">
        <f>'14-15 NGET'!D52-'Baseline NGET'!D52</f>
        <v>0</v>
      </c>
      <c r="E52" s="42">
        <f>'14-15 NGET'!E52-'Baseline NGET'!E52</f>
        <v>0</v>
      </c>
      <c r="F52" s="42">
        <f>'14-15 NGET'!F52-'Baseline NGET'!F52</f>
        <v>0</v>
      </c>
      <c r="G52" s="42">
        <f>'14-15 NGET'!G52-'Baseline NGET'!G52</f>
        <v>0</v>
      </c>
      <c r="H52" s="42">
        <f>'14-15 NGET'!H52-'Baseline NGET'!H52</f>
        <v>0</v>
      </c>
      <c r="I52" s="42">
        <f>'14-15 NGET'!I52-'Baseline NGET'!I52</f>
        <v>0</v>
      </c>
      <c r="J52" s="42">
        <f>'14-15 NGET'!J52-'Baseline NGET'!J52</f>
        <v>0</v>
      </c>
      <c r="K52" s="42">
        <f>'14-15 NGET'!K52-'Baseline NGET'!K52</f>
        <v>0</v>
      </c>
      <c r="P52" s="42"/>
    </row>
    <row r="53" spans="1:39">
      <c r="C53" s="11" t="s">
        <v>86</v>
      </c>
      <c r="D53" s="43">
        <f>'14-15 NGET'!D53-'Baseline NGET'!D53</f>
        <v>-153.70589418365284</v>
      </c>
      <c r="E53" s="43">
        <f>'14-15 NGET'!E53-'Baseline NGET'!E53</f>
        <v>0</v>
      </c>
      <c r="F53" s="43">
        <f>'14-15 NGET'!F53-'Baseline NGET'!F53</f>
        <v>0</v>
      </c>
      <c r="G53" s="43">
        <f>'14-15 NGET'!G53-'Baseline NGET'!G53</f>
        <v>0</v>
      </c>
      <c r="H53" s="43">
        <f>'14-15 NGET'!H53-'Baseline NGET'!H53</f>
        <v>0</v>
      </c>
      <c r="I53" s="43">
        <f>'14-15 NGET'!I53-'Baseline NGET'!I53</f>
        <v>0</v>
      </c>
      <c r="J53" s="43">
        <f>'14-15 NGET'!J53-'Baseline NGET'!J53</f>
        <v>0</v>
      </c>
      <c r="K53" s="43">
        <f>'14-15 NGET'!K53-'Baseline NGET'!K53</f>
        <v>0</v>
      </c>
      <c r="P53" s="42"/>
    </row>
    <row r="54" spans="1:39">
      <c r="C54" s="10" t="s">
        <v>87</v>
      </c>
      <c r="D54" s="42">
        <f>'14-15 NGET'!D54-'Baseline NGET'!D54</f>
        <v>0</v>
      </c>
      <c r="E54" s="42">
        <f>'14-15 NGET'!E54-'Baseline NGET'!E54</f>
        <v>6.6467413701038822</v>
      </c>
      <c r="F54" s="42">
        <f>'14-15 NGET'!F54-'Baseline NGET'!F54</f>
        <v>6.6467413701038822</v>
      </c>
      <c r="G54" s="42">
        <f>'14-15 NGET'!G54-'Baseline NGET'!G54</f>
        <v>6.6467413701038822</v>
      </c>
      <c r="H54" s="42">
        <f>'14-15 NGET'!H54-'Baseline NGET'!H54</f>
        <v>6.6467413701038822</v>
      </c>
      <c r="I54" s="42">
        <f>'14-15 NGET'!I54-'Baseline NGET'!I54</f>
        <v>6.6467413701038822</v>
      </c>
      <c r="J54" s="42">
        <f>'14-15 NGET'!J54-'Baseline NGET'!J54</f>
        <v>6.6467413701038822</v>
      </c>
      <c r="K54" s="42">
        <f>'14-15 NGET'!K54-'Baseline NGET'!K54</f>
        <v>6.6467413701038822</v>
      </c>
      <c r="P54" s="42"/>
    </row>
    <row r="55" spans="1:39">
      <c r="C55" s="39" t="s">
        <v>94</v>
      </c>
      <c r="D55" s="45">
        <f>'14-15 NGET'!D55-'Baseline NGET'!D55</f>
        <v>-153.70589418365307</v>
      </c>
      <c r="E55" s="45">
        <f>'14-15 NGET'!E55-'Baseline NGET'!E55</f>
        <v>-147.0591528135501</v>
      </c>
      <c r="F55" s="45">
        <f>'14-15 NGET'!F55-'Baseline NGET'!F55</f>
        <v>-140.41241144344531</v>
      </c>
      <c r="G55" s="45">
        <f>'14-15 NGET'!G55-'Baseline NGET'!G55</f>
        <v>-133.76567007334052</v>
      </c>
      <c r="H55" s="45">
        <f>'14-15 NGET'!H55-'Baseline NGET'!H55</f>
        <v>-127.11892870323572</v>
      </c>
      <c r="I55" s="45">
        <f>'14-15 NGET'!I55-'Baseline NGET'!I55</f>
        <v>-120.47218733313093</v>
      </c>
      <c r="J55" s="45">
        <f>'14-15 NGET'!J55-'Baseline NGET'!J55</f>
        <v>-113.82544596302614</v>
      </c>
      <c r="K55" s="45">
        <f>'14-15 NGET'!K55-'Baseline NGET'!K55</f>
        <v>-107.17870459292135</v>
      </c>
      <c r="M55" s="189"/>
      <c r="O55" s="210"/>
      <c r="P55" s="50"/>
    </row>
    <row r="56" spans="1:39" ht="13.8" thickBot="1">
      <c r="C56" s="40" t="s">
        <v>163</v>
      </c>
      <c r="D56" s="46">
        <f>'14-15 NGET'!D56-'Baseline NGET'!D56</f>
        <v>0</v>
      </c>
      <c r="E56" s="46">
        <f>'14-15 NGET'!E56-'Baseline NGET'!E56</f>
        <v>0</v>
      </c>
      <c r="F56" s="46">
        <f>'14-15 NGET'!F56-'Baseline NGET'!F56</f>
        <v>0</v>
      </c>
      <c r="G56" s="46">
        <f>'14-15 NGET'!G56-'Baseline NGET'!G56</f>
        <v>0</v>
      </c>
      <c r="H56" s="46">
        <f>'14-15 NGET'!H56-'Baseline NGET'!H56</f>
        <v>0</v>
      </c>
      <c r="I56" s="46">
        <f>'14-15 NGET'!I56-'Baseline NGET'!I56</f>
        <v>0</v>
      </c>
      <c r="J56" s="46">
        <f>'14-15 NGET'!J56-'Baseline NGET'!J56</f>
        <v>0</v>
      </c>
      <c r="K56" s="46">
        <f>'14-15 NGET'!K56-'Baseline NGET'!K56</f>
        <v>0</v>
      </c>
      <c r="P56" s="42"/>
    </row>
    <row r="57" spans="1:39">
      <c r="D57" s="53"/>
      <c r="E57" s="53"/>
      <c r="F57" s="53"/>
      <c r="G57" s="53"/>
      <c r="H57" s="53"/>
      <c r="I57" s="53"/>
      <c r="J57" s="53"/>
      <c r="K57" s="53"/>
      <c r="P57" s="53"/>
    </row>
    <row r="58" spans="1:39" ht="13.8" thickBot="1">
      <c r="P58" s="207"/>
    </row>
    <row r="59" spans="1:39" ht="13.8" thickBot="1">
      <c r="C59" s="7" t="s">
        <v>58</v>
      </c>
      <c r="D59" s="8" t="s">
        <v>59</v>
      </c>
      <c r="E59" s="8" t="s">
        <v>60</v>
      </c>
      <c r="F59" s="8" t="s">
        <v>61</v>
      </c>
      <c r="G59" s="8" t="s">
        <v>62</v>
      </c>
      <c r="H59" s="8" t="s">
        <v>63</v>
      </c>
      <c r="I59" s="8" t="s">
        <v>64</v>
      </c>
      <c r="J59" s="8" t="s">
        <v>65</v>
      </c>
      <c r="K59" s="8" t="s">
        <v>66</v>
      </c>
      <c r="P59" s="204"/>
      <c r="S59" s="7" t="s">
        <v>58</v>
      </c>
      <c r="T59" s="8" t="s">
        <v>59</v>
      </c>
      <c r="U59" s="8" t="s">
        <v>60</v>
      </c>
      <c r="V59" s="8" t="s">
        <v>61</v>
      </c>
      <c r="W59" s="8" t="s">
        <v>62</v>
      </c>
      <c r="X59" s="8" t="s">
        <v>63</v>
      </c>
      <c r="Y59" s="8" t="s">
        <v>64</v>
      </c>
      <c r="Z59" s="8" t="s">
        <v>65</v>
      </c>
      <c r="AA59" s="8" t="s">
        <v>66</v>
      </c>
      <c r="AC59" s="8" t="s">
        <v>59</v>
      </c>
      <c r="AD59" s="8" t="s">
        <v>60</v>
      </c>
      <c r="AE59" s="8" t="s">
        <v>61</v>
      </c>
      <c r="AF59" s="8" t="s">
        <v>62</v>
      </c>
      <c r="AG59" s="8" t="s">
        <v>63</v>
      </c>
      <c r="AH59" s="8" t="s">
        <v>64</v>
      </c>
      <c r="AI59" s="8" t="s">
        <v>65</v>
      </c>
      <c r="AJ59" s="8" t="s">
        <v>66</v>
      </c>
      <c r="AK59" s="8" t="s">
        <v>391</v>
      </c>
    </row>
    <row r="60" spans="1:39">
      <c r="C60" s="22" t="s">
        <v>79</v>
      </c>
      <c r="D60" s="41">
        <f>'14-15 NGET'!D60-'Baseline NGET'!D60</f>
        <v>0</v>
      </c>
      <c r="E60" s="41">
        <f>'14-15 NGET'!E60-'Baseline NGET'!E60</f>
        <v>0</v>
      </c>
      <c r="F60" s="41">
        <f>'14-15 NGET'!F60-'Baseline NGET'!F60</f>
        <v>0</v>
      </c>
      <c r="G60" s="41">
        <f>'14-15 NGET'!G60-'Baseline NGET'!G60</f>
        <v>0</v>
      </c>
      <c r="H60" s="41">
        <f>'14-15 NGET'!H60-'Baseline NGET'!H60</f>
        <v>0</v>
      </c>
      <c r="I60" s="41">
        <f>'14-15 NGET'!I60-'Baseline NGET'!I60</f>
        <v>0</v>
      </c>
      <c r="J60" s="41">
        <f>'14-15 NGET'!J60-'Baseline NGET'!J60</f>
        <v>0</v>
      </c>
      <c r="K60" s="41">
        <f>'14-15 NGET'!K60-'Baseline NGET'!K60</f>
        <v>0</v>
      </c>
      <c r="L60" s="28">
        <f>'14-15 NGET'!L60-'Baseline NGET'!L60</f>
        <v>0</v>
      </c>
      <c r="P60" s="42"/>
      <c r="S60" s="22" t="s">
        <v>79</v>
      </c>
      <c r="T60" s="41">
        <v>262</v>
      </c>
      <c r="U60" s="41">
        <v>292</v>
      </c>
      <c r="V60" s="41">
        <v>277</v>
      </c>
      <c r="W60" s="41">
        <v>287</v>
      </c>
      <c r="X60" s="41">
        <v>249</v>
      </c>
      <c r="Y60" s="41">
        <v>252</v>
      </c>
      <c r="Z60" s="41">
        <v>199</v>
      </c>
      <c r="AA60" s="41">
        <v>153</v>
      </c>
      <c r="AB60" s="109"/>
      <c r="AC60" s="41">
        <f>D60-T60</f>
        <v>-262</v>
      </c>
      <c r="AD60" s="41">
        <f t="shared" ref="AD60:AJ74" si="2">E60-U60</f>
        <v>-292</v>
      </c>
      <c r="AE60" s="41">
        <f t="shared" si="2"/>
        <v>-277</v>
      </c>
      <c r="AF60" s="41">
        <f t="shared" si="2"/>
        <v>-287</v>
      </c>
      <c r="AG60" s="41">
        <f t="shared" si="2"/>
        <v>-249</v>
      </c>
      <c r="AH60" s="41">
        <f t="shared" si="2"/>
        <v>-252</v>
      </c>
      <c r="AI60" s="41">
        <f t="shared" si="2"/>
        <v>-199</v>
      </c>
      <c r="AJ60" s="41">
        <f t="shared" si="2"/>
        <v>-153</v>
      </c>
      <c r="AK60" s="162">
        <f>SUM(AC60:AJ60)</f>
        <v>-1971</v>
      </c>
      <c r="AL60" s="109"/>
      <c r="AM60" s="109"/>
    </row>
    <row r="61" spans="1:39">
      <c r="C61" s="10" t="s">
        <v>98</v>
      </c>
      <c r="D61" s="42">
        <f>'14-15 NGET'!D61-'Baseline NGET'!D61</f>
        <v>0</v>
      </c>
      <c r="E61" s="42">
        <f>'14-15 NGET'!E61-'Baseline NGET'!E61</f>
        <v>0</v>
      </c>
      <c r="F61" s="42">
        <f>'14-15 NGET'!F61-'Baseline NGET'!F61</f>
        <v>0</v>
      </c>
      <c r="G61" s="42">
        <f>'14-15 NGET'!G61-'Baseline NGET'!G61</f>
        <v>0</v>
      </c>
      <c r="H61" s="42">
        <f>'14-15 NGET'!H61-'Baseline NGET'!H61</f>
        <v>0</v>
      </c>
      <c r="I61" s="42">
        <f>'14-15 NGET'!I61-'Baseline NGET'!I61</f>
        <v>0</v>
      </c>
      <c r="J61" s="42">
        <f>'14-15 NGET'!J61-'Baseline NGET'!J61</f>
        <v>0</v>
      </c>
      <c r="K61" s="42">
        <f>'14-15 NGET'!K61-'Baseline NGET'!K61</f>
        <v>0</v>
      </c>
      <c r="L61" s="28">
        <f>'14-15 NGET'!L61-'Baseline NGET'!L61</f>
        <v>0</v>
      </c>
      <c r="P61" s="42"/>
      <c r="S61" s="10" t="s">
        <v>98</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99</v>
      </c>
      <c r="D62" s="43">
        <f>'14-15 NGET'!D62-'Baseline NGET'!D62</f>
        <v>0</v>
      </c>
      <c r="E62" s="43">
        <f>'14-15 NGET'!E62-'Baseline NGET'!E62</f>
        <v>0</v>
      </c>
      <c r="F62" s="43">
        <f>'14-15 NGET'!F62-'Baseline NGET'!F62</f>
        <v>0</v>
      </c>
      <c r="G62" s="43">
        <f>'14-15 NGET'!G62-'Baseline NGET'!G62</f>
        <v>0</v>
      </c>
      <c r="H62" s="43">
        <f>'14-15 NGET'!H62-'Baseline NGET'!H62</f>
        <v>0</v>
      </c>
      <c r="I62" s="43">
        <f>'14-15 NGET'!I62-'Baseline NGET'!I62</f>
        <v>0</v>
      </c>
      <c r="J62" s="43">
        <f>'14-15 NGET'!J62-'Baseline NGET'!J62</f>
        <v>0</v>
      </c>
      <c r="K62" s="43">
        <f>'14-15 NGET'!K62-'Baseline NGET'!K62</f>
        <v>0</v>
      </c>
      <c r="L62" s="28">
        <f>'14-15 NGET'!L62-'Baseline NGET'!L62</f>
        <v>0</v>
      </c>
      <c r="P62" s="42"/>
      <c r="S62" s="11" t="s">
        <v>99</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v>
      </c>
      <c r="AG62" s="43">
        <f t="shared" si="2"/>
        <v>-32</v>
      </c>
      <c r="AH62" s="43">
        <f t="shared" si="2"/>
        <v>-32</v>
      </c>
      <c r="AI62" s="43">
        <f t="shared" si="2"/>
        <v>-32</v>
      </c>
      <c r="AJ62" s="43">
        <f t="shared" si="2"/>
        <v>-32</v>
      </c>
      <c r="AK62" s="45">
        <f t="shared" si="4"/>
        <v>-256</v>
      </c>
      <c r="AL62" s="109"/>
      <c r="AM62" s="109"/>
    </row>
    <row r="63" spans="1:39">
      <c r="C63" s="10" t="s">
        <v>100</v>
      </c>
      <c r="D63" s="42">
        <f>'14-15 NGET'!D63-'Baseline NGET'!D63</f>
        <v>0</v>
      </c>
      <c r="E63" s="42">
        <f>'14-15 NGET'!E63-'Baseline NGET'!E63</f>
        <v>-0.73444576702985032</v>
      </c>
      <c r="F63" s="42">
        <f>'14-15 NGET'!F63-'Baseline NGET'!F63</f>
        <v>0</v>
      </c>
      <c r="G63" s="42">
        <f>'14-15 NGET'!G63-'Baseline NGET'!G63</f>
        <v>-0.86709349346685727</v>
      </c>
      <c r="H63" s="42">
        <f>'14-15 NGET'!H63-'Baseline NGET'!H63</f>
        <v>0</v>
      </c>
      <c r="I63" s="42">
        <f>'14-15 NGET'!I63-'Baseline NGET'!I63</f>
        <v>0</v>
      </c>
      <c r="J63" s="42">
        <f>'14-15 NGET'!J63-'Baseline NGET'!J63</f>
        <v>0</v>
      </c>
      <c r="K63" s="42">
        <f>'14-15 NGET'!K63-'Baseline NGET'!K63</f>
        <v>0</v>
      </c>
      <c r="L63" s="28">
        <f>'14-15 NGET'!L63-'Baseline NGET'!L63</f>
        <v>-1.6015392604967076</v>
      </c>
      <c r="P63" s="42"/>
      <c r="S63" s="10" t="s">
        <v>100</v>
      </c>
      <c r="T63" s="42">
        <v>0</v>
      </c>
      <c r="U63" s="42">
        <v>17</v>
      </c>
      <c r="V63" s="42">
        <v>14</v>
      </c>
      <c r="W63" s="42">
        <v>0</v>
      </c>
      <c r="X63" s="42">
        <v>22</v>
      </c>
      <c r="Y63" s="42">
        <v>0</v>
      </c>
      <c r="Z63" s="42">
        <v>0</v>
      </c>
      <c r="AA63" s="42">
        <v>0</v>
      </c>
      <c r="AB63" s="109"/>
      <c r="AC63" s="42">
        <f t="shared" si="3"/>
        <v>0</v>
      </c>
      <c r="AD63" s="42">
        <f t="shared" si="2"/>
        <v>-17.73444576702985</v>
      </c>
      <c r="AE63" s="42">
        <f t="shared" si="2"/>
        <v>-14</v>
      </c>
      <c r="AF63" s="42">
        <f t="shared" si="2"/>
        <v>-0.86709349346685727</v>
      </c>
      <c r="AG63" s="42">
        <f t="shared" si="2"/>
        <v>-22</v>
      </c>
      <c r="AH63" s="42">
        <f t="shared" si="2"/>
        <v>0</v>
      </c>
      <c r="AI63" s="42">
        <f t="shared" si="2"/>
        <v>0</v>
      </c>
      <c r="AJ63" s="42">
        <f t="shared" si="2"/>
        <v>0</v>
      </c>
      <c r="AK63" s="50">
        <f t="shared" si="4"/>
        <v>-54.601539260496708</v>
      </c>
      <c r="AL63" s="109"/>
      <c r="AM63" s="109"/>
    </row>
    <row r="64" spans="1:39">
      <c r="C64" s="11" t="s">
        <v>101</v>
      </c>
      <c r="D64" s="43">
        <f>'14-15 NGET'!D64-'Baseline NGET'!D64</f>
        <v>0</v>
      </c>
      <c r="E64" s="43">
        <f>'14-15 NGET'!E64-'Baseline NGET'!E64</f>
        <v>0</v>
      </c>
      <c r="F64" s="43">
        <f>'14-15 NGET'!F64-'Baseline NGET'!F64</f>
        <v>0</v>
      </c>
      <c r="G64" s="43">
        <f>'14-15 NGET'!G64-'Baseline NGET'!G64</f>
        <v>0</v>
      </c>
      <c r="H64" s="43">
        <f>'14-15 NGET'!H64-'Baseline NGET'!H64</f>
        <v>0</v>
      </c>
      <c r="I64" s="43">
        <f>'14-15 NGET'!I64-'Baseline NGET'!I64</f>
        <v>0</v>
      </c>
      <c r="J64" s="43">
        <f>'14-15 NGET'!J64-'Baseline NGET'!J64</f>
        <v>0</v>
      </c>
      <c r="K64" s="43">
        <f>'14-15 NGET'!K64-'Baseline NGET'!K64</f>
        <v>0</v>
      </c>
      <c r="L64" s="28">
        <f>'14-15 NGET'!L64-'Baseline NGET'!L64</f>
        <v>0</v>
      </c>
      <c r="P64" s="42"/>
      <c r="S64" s="11" t="s">
        <v>101</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102</v>
      </c>
      <c r="D65" s="42">
        <f>'14-15 NGET'!D65-'Baseline NGET'!D65</f>
        <v>-9.1617557948097783E-2</v>
      </c>
      <c r="E65" s="42">
        <f>'14-15 NGET'!E65-'Baseline NGET'!E65</f>
        <v>-2.2495564512085338</v>
      </c>
      <c r="F65" s="42">
        <f>'14-15 NGET'!F65-'Baseline NGET'!F65</f>
        <v>-1.7947844747106672</v>
      </c>
      <c r="G65" s="42">
        <f>'14-15 NGET'!G65-'Baseline NGET'!G65</f>
        <v>-2.2675204822356392</v>
      </c>
      <c r="H65" s="42">
        <f>'14-15 NGET'!H65-'Baseline NGET'!H65</f>
        <v>-1.8290201169232532</v>
      </c>
      <c r="I65" s="42">
        <f>'14-15 NGET'!I65-'Baseline NGET'!I65</f>
        <v>-1.6378065020273169</v>
      </c>
      <c r="J65" s="42">
        <f>'14-15 NGET'!J65-'Baseline NGET'!J65</f>
        <v>-1.4569979505053041</v>
      </c>
      <c r="K65" s="42">
        <f>'14-15 NGET'!K65-'Baseline NGET'!K65</f>
        <v>-1.2947774858450884</v>
      </c>
      <c r="L65" s="28">
        <f>'14-15 NGET'!L65-'Baseline NGET'!L65</f>
        <v>-12.622081021404028</v>
      </c>
      <c r="P65" s="42"/>
      <c r="S65" s="10" t="s">
        <v>102</v>
      </c>
      <c r="T65" s="42">
        <v>90</v>
      </c>
      <c r="U65" s="42">
        <v>95</v>
      </c>
      <c r="V65" s="42">
        <v>92</v>
      </c>
      <c r="W65" s="42">
        <v>86</v>
      </c>
      <c r="X65" s="42">
        <v>75</v>
      </c>
      <c r="Y65" s="42">
        <v>70</v>
      </c>
      <c r="Z65" s="42">
        <v>61</v>
      </c>
      <c r="AA65" s="42">
        <v>59</v>
      </c>
      <c r="AB65" s="109"/>
      <c r="AC65" s="42">
        <f t="shared" si="3"/>
        <v>-90.091617557948098</v>
      </c>
      <c r="AD65" s="42">
        <f t="shared" si="2"/>
        <v>-97.249556451208534</v>
      </c>
      <c r="AE65" s="42">
        <f t="shared" si="2"/>
        <v>-93.794784474710667</v>
      </c>
      <c r="AF65" s="42">
        <f t="shared" si="2"/>
        <v>-88.267520482235639</v>
      </c>
      <c r="AG65" s="42">
        <f t="shared" si="2"/>
        <v>-76.82902011692326</v>
      </c>
      <c r="AH65" s="42">
        <f t="shared" si="2"/>
        <v>-71.637806502027317</v>
      </c>
      <c r="AI65" s="42">
        <f t="shared" si="2"/>
        <v>-62.456997950505304</v>
      </c>
      <c r="AJ65" s="42">
        <f t="shared" si="2"/>
        <v>-60.294777485845088</v>
      </c>
      <c r="AK65" s="50">
        <f t="shared" si="4"/>
        <v>-640.6220810214038</v>
      </c>
      <c r="AL65" s="109"/>
      <c r="AM65" s="109"/>
    </row>
    <row r="66" spans="1:39">
      <c r="C66" s="11" t="s">
        <v>103</v>
      </c>
      <c r="D66" s="43">
        <f>'14-15 NGET'!D66-'Baseline NGET'!D66</f>
        <v>-3.3460346541625086</v>
      </c>
      <c r="E66" s="43">
        <f>'14-15 NGET'!E66-'Baseline NGET'!E66</f>
        <v>-24.537496786990801</v>
      </c>
      <c r="F66" s="43">
        <f>'14-15 NGET'!F66-'Baseline NGET'!F66</f>
        <v>-25.184418496555509</v>
      </c>
      <c r="G66" s="43">
        <f>'14-15 NGET'!G66-'Baseline NGET'!G66</f>
        <v>-25.802656852568589</v>
      </c>
      <c r="H66" s="43">
        <f>'14-15 NGET'!H66-'Baseline NGET'!H66</f>
        <v>-26.141738501275768</v>
      </c>
      <c r="I66" s="43">
        <f>'14-15 NGET'!I66-'Baseline NGET'!I66</f>
        <v>-26.314187644547701</v>
      </c>
      <c r="J66" s="43">
        <f>'14-15 NGET'!J66-'Baseline NGET'!J66</f>
        <v>-26.372742971445859</v>
      </c>
      <c r="K66" s="43">
        <f>'14-15 NGET'!K66-'Baseline NGET'!K66</f>
        <v>-26.266565858703188</v>
      </c>
      <c r="L66" s="28">
        <f>'14-15 NGET'!L66-'Baseline NGET'!L66</f>
        <v>-183.96584176624856</v>
      </c>
      <c r="P66" s="42"/>
      <c r="S66" s="11" t="s">
        <v>103</v>
      </c>
      <c r="T66" s="43">
        <v>976</v>
      </c>
      <c r="U66" s="43">
        <v>1065</v>
      </c>
      <c r="V66" s="43">
        <v>1159</v>
      </c>
      <c r="W66" s="43">
        <v>1250</v>
      </c>
      <c r="X66" s="43">
        <v>1324</v>
      </c>
      <c r="Y66" s="43">
        <v>1382</v>
      </c>
      <c r="Z66" s="43">
        <v>1422</v>
      </c>
      <c r="AA66" s="43">
        <v>1441</v>
      </c>
      <c r="AB66" s="109"/>
      <c r="AC66" s="43">
        <f t="shared" si="3"/>
        <v>-979.34603465416251</v>
      </c>
      <c r="AD66" s="43">
        <f t="shared" si="2"/>
        <v>-1089.5374967869907</v>
      </c>
      <c r="AE66" s="43">
        <f t="shared" si="2"/>
        <v>-1184.1844184965555</v>
      </c>
      <c r="AF66" s="43">
        <f t="shared" si="2"/>
        <v>-1275.8026568525686</v>
      </c>
      <c r="AG66" s="43">
        <f t="shared" si="2"/>
        <v>-1350.1417385012758</v>
      </c>
      <c r="AH66" s="43">
        <f t="shared" si="2"/>
        <v>-1408.3141876445477</v>
      </c>
      <c r="AI66" s="43">
        <f t="shared" si="2"/>
        <v>-1448.3727429714459</v>
      </c>
      <c r="AJ66" s="43">
        <f t="shared" si="2"/>
        <v>-1467.2665658587032</v>
      </c>
      <c r="AK66" s="45">
        <f t="shared" si="4"/>
        <v>-10202.965841766249</v>
      </c>
      <c r="AL66" s="109"/>
      <c r="AM66" s="109"/>
    </row>
    <row r="67" spans="1:39">
      <c r="C67" s="10" t="s">
        <v>168</v>
      </c>
      <c r="D67" s="42">
        <f>'14-15 NGET'!D67-'Baseline NGET'!D67</f>
        <v>0</v>
      </c>
      <c r="E67" s="42">
        <f>'14-15 NGET'!E67-'Baseline NGET'!E67</f>
        <v>0</v>
      </c>
      <c r="F67" s="42">
        <f>'14-15 NGET'!F67-'Baseline NGET'!F67</f>
        <v>0</v>
      </c>
      <c r="G67" s="42">
        <f>'14-15 NGET'!G67-'Baseline NGET'!G67</f>
        <v>0</v>
      </c>
      <c r="H67" s="42">
        <f>'14-15 NGET'!H67-'Baseline NGET'!H67</f>
        <v>0</v>
      </c>
      <c r="I67" s="42">
        <f>'14-15 NGET'!I67-'Baseline NGET'!I67</f>
        <v>0</v>
      </c>
      <c r="J67" s="42">
        <f>'14-15 NGET'!J67-'Baseline NGET'!J67</f>
        <v>0</v>
      </c>
      <c r="K67" s="42">
        <f>'14-15 NGET'!K67-'Baseline NGET'!K67</f>
        <v>0</v>
      </c>
      <c r="L67" s="28">
        <f>'14-15 NGET'!L67-'Baseline NGET'!L67</f>
        <v>0</v>
      </c>
      <c r="P67" s="42"/>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169</v>
      </c>
      <c r="D68" s="43">
        <f>'14-15 NGET'!D68-'Baseline NGET'!D68</f>
        <v>12.28246637663846</v>
      </c>
      <c r="E68" s="43">
        <f>'14-15 NGET'!E68-'Baseline NGET'!E68</f>
        <v>12.826825286451069</v>
      </c>
      <c r="F68" s="43">
        <f>'14-15 NGET'!F68-'Baseline NGET'!F68</f>
        <v>13.395310183146563</v>
      </c>
      <c r="G68" s="43">
        <f>'14-15 NGET'!G68-'Baseline NGET'!G68</f>
        <v>13.98899033046365</v>
      </c>
      <c r="H68" s="43">
        <f>'14-15 NGET'!H68-'Baseline NGET'!H68</f>
        <v>14.608982381909783</v>
      </c>
      <c r="I68" s="43">
        <f>'14-15 NGET'!I68-'Baseline NGET'!I68</f>
        <v>15.256452481076039</v>
      </c>
      <c r="J68" s="43">
        <f>'14-15 NGET'!J68-'Baseline NGET'!J68</f>
        <v>15.932618455037314</v>
      </c>
      <c r="K68" s="43">
        <f>'14-15 NGET'!K68-'Baseline NGET'!K68</f>
        <v>16.638752104964567</v>
      </c>
      <c r="L68" s="28">
        <f>'14-15 NGET'!L68-'Baseline NGET'!L68</f>
        <v>114.93039759968747</v>
      </c>
      <c r="P68" s="42"/>
      <c r="S68" s="10" t="s">
        <v>104</v>
      </c>
      <c r="T68" s="42">
        <v>-50</v>
      </c>
      <c r="U68" s="42">
        <v>-49</v>
      </c>
      <c r="V68" s="42">
        <v>-55</v>
      </c>
      <c r="W68" s="42">
        <v>-63</v>
      </c>
      <c r="X68" s="42">
        <v>-116</v>
      </c>
      <c r="Y68" s="42">
        <v>-117</v>
      </c>
      <c r="Z68" s="42">
        <v>-118</v>
      </c>
      <c r="AA68" s="42">
        <v>-119</v>
      </c>
      <c r="AB68" s="109"/>
      <c r="AC68" s="42">
        <f t="shared" si="3"/>
        <v>62.28246637663846</v>
      </c>
      <c r="AD68" s="42">
        <f t="shared" si="2"/>
        <v>61.826825286451069</v>
      </c>
      <c r="AE68" s="42">
        <f t="shared" si="2"/>
        <v>68.395310183146563</v>
      </c>
      <c r="AF68" s="42">
        <f t="shared" si="2"/>
        <v>76.98899033046365</v>
      </c>
      <c r="AG68" s="42">
        <f t="shared" si="2"/>
        <v>130.60898238190978</v>
      </c>
      <c r="AH68" s="42">
        <f t="shared" si="2"/>
        <v>132.25645248107605</v>
      </c>
      <c r="AI68" s="42">
        <f t="shared" si="2"/>
        <v>133.9326184550373</v>
      </c>
      <c r="AJ68" s="42">
        <f t="shared" si="2"/>
        <v>135.63875210496457</v>
      </c>
      <c r="AK68" s="50">
        <f t="shared" si="4"/>
        <v>801.93039759968747</v>
      </c>
      <c r="AL68" s="109"/>
      <c r="AM68" s="109"/>
    </row>
    <row r="69" spans="1:39" ht="13.8" thickBot="1">
      <c r="C69" s="23" t="s">
        <v>107</v>
      </c>
      <c r="D69" s="44">
        <f>'14-15 NGET'!D69-'Baseline NGET'!D69</f>
        <v>8.8448141645276337</v>
      </c>
      <c r="E69" s="44">
        <f>'14-15 NGET'!E69-'Baseline NGET'!E69</f>
        <v>-14.694673718777949</v>
      </c>
      <c r="F69" s="44">
        <f>'14-15 NGET'!F69-'Baseline NGET'!F69</f>
        <v>-13.583892788119329</v>
      </c>
      <c r="G69" s="44">
        <f>'14-15 NGET'!G69-'Baseline NGET'!G69</f>
        <v>-14.948280497807445</v>
      </c>
      <c r="H69" s="44">
        <f>'14-15 NGET'!H69-'Baseline NGET'!H69</f>
        <v>-13.361776236289415</v>
      </c>
      <c r="I69" s="44">
        <f>'14-15 NGET'!I69-'Baseline NGET'!I69</f>
        <v>-12.69554166549915</v>
      </c>
      <c r="J69" s="44">
        <f>'14-15 NGET'!J69-'Baseline NGET'!J69</f>
        <v>-11.897122466913743</v>
      </c>
      <c r="K69" s="44">
        <f>'14-15 NGET'!K69-'Baseline NGET'!K69</f>
        <v>-10.922591239583653</v>
      </c>
      <c r="L69" s="28">
        <f>'14-15 NGET'!L69-'Baseline NGET'!L69</f>
        <v>-83.259064448462595</v>
      </c>
      <c r="P69" s="50"/>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58</v>
      </c>
      <c r="D71" s="8" t="s">
        <v>59</v>
      </c>
      <c r="E71" s="8" t="s">
        <v>60</v>
      </c>
      <c r="F71" s="8" t="s">
        <v>61</v>
      </c>
      <c r="G71" s="8" t="s">
        <v>62</v>
      </c>
      <c r="H71" s="8" t="s">
        <v>63</v>
      </c>
      <c r="I71" s="8" t="s">
        <v>64</v>
      </c>
      <c r="J71" s="8" t="s">
        <v>65</v>
      </c>
      <c r="K71" s="8" t="s">
        <v>66</v>
      </c>
      <c r="L71" s="28"/>
      <c r="P71" s="20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392</v>
      </c>
      <c r="D72" s="42">
        <f>'14-15 NGET'!D72-'Baseline NGET'!D72</f>
        <v>8.8448141645274063</v>
      </c>
      <c r="E72" s="42">
        <f>'14-15 NGET'!E72-'Baseline NGET'!E72</f>
        <v>-14.694673718778176</v>
      </c>
      <c r="F72" s="42">
        <f>'14-15 NGET'!F72-'Baseline NGET'!F72</f>
        <v>-13.583892788120011</v>
      </c>
      <c r="G72" s="42">
        <f>'14-15 NGET'!G72-'Baseline NGET'!G72</f>
        <v>-14.948280497807673</v>
      </c>
      <c r="H72" s="42">
        <f>'14-15 NGET'!H72-'Baseline NGET'!H72</f>
        <v>-13.361776236289415</v>
      </c>
      <c r="I72" s="42">
        <f>'14-15 NGET'!I72-'Baseline NGET'!I72</f>
        <v>-12.695541665499377</v>
      </c>
      <c r="J72" s="42">
        <f>'14-15 NGET'!J72-'Baseline NGET'!J72</f>
        <v>-11.897122466913743</v>
      </c>
      <c r="K72" s="42">
        <f>'14-15 NGET'!K72-'Baseline NGET'!K72</f>
        <v>-10.92259123958388</v>
      </c>
      <c r="L72" s="28">
        <f>'14-15 NGET'!L72-'Baseline NGET'!L72</f>
        <v>-83.259064448462595</v>
      </c>
      <c r="P72" s="42"/>
      <c r="S72" s="11" t="s">
        <v>105</v>
      </c>
      <c r="T72" s="43">
        <v>1427</v>
      </c>
      <c r="U72" s="43">
        <v>1565</v>
      </c>
      <c r="V72" s="43">
        <v>1629</v>
      </c>
      <c r="W72" s="43">
        <v>1701</v>
      </c>
      <c r="X72" s="43">
        <v>1692</v>
      </c>
      <c r="Y72" s="43">
        <v>1723</v>
      </c>
      <c r="Z72" s="43">
        <v>1698</v>
      </c>
      <c r="AA72" s="43">
        <v>1666</v>
      </c>
      <c r="AB72" s="109"/>
      <c r="AC72" s="43">
        <f t="shared" si="3"/>
        <v>-1418.1551858354726</v>
      </c>
      <c r="AD72" s="43">
        <f t="shared" si="2"/>
        <v>-1579.6946737187782</v>
      </c>
      <c r="AE72" s="43">
        <f t="shared" si="2"/>
        <v>-1642.58389278812</v>
      </c>
      <c r="AF72" s="43">
        <f t="shared" si="2"/>
        <v>-1715.9482804978077</v>
      </c>
      <c r="AG72" s="43">
        <f t="shared" si="2"/>
        <v>-1705.3617762362894</v>
      </c>
      <c r="AH72" s="43">
        <f t="shared" si="2"/>
        <v>-1735.6955416654994</v>
      </c>
      <c r="AI72" s="43">
        <f t="shared" si="2"/>
        <v>-1709.8971224669137</v>
      </c>
      <c r="AJ72" s="43">
        <f t="shared" si="2"/>
        <v>-1676.9225912395839</v>
      </c>
      <c r="AK72" s="45">
        <f t="shared" si="4"/>
        <v>-13184.259064448464</v>
      </c>
      <c r="AL72" s="109"/>
      <c r="AM72" s="109"/>
    </row>
    <row r="73" spans="1:39">
      <c r="C73" s="11" t="s">
        <v>175</v>
      </c>
      <c r="D73" s="43">
        <f>'14-15 NGET'!D73-'Baseline NGET'!D73</f>
        <v>0</v>
      </c>
      <c r="E73" s="43">
        <f>'14-15 NGET'!E73-'Baseline NGET'!E73</f>
        <v>0</v>
      </c>
      <c r="F73" s="43">
        <f>'14-15 NGET'!F73-'Baseline NGET'!F73</f>
        <v>0</v>
      </c>
      <c r="G73" s="43">
        <f>'14-15 NGET'!G73-'Baseline NGET'!G73</f>
        <v>0</v>
      </c>
      <c r="H73" s="43">
        <f>'14-15 NGET'!H73-'Baseline NGET'!H73</f>
        <v>0</v>
      </c>
      <c r="I73" s="43">
        <f>'14-15 NGET'!I73-'Baseline NGET'!I73</f>
        <v>0</v>
      </c>
      <c r="J73" s="43">
        <f>'14-15 NGET'!J73-'Baseline NGET'!J73</f>
        <v>0</v>
      </c>
      <c r="K73" s="43">
        <f>'14-15 NGET'!K73-'Baseline NGET'!K73</f>
        <v>0</v>
      </c>
      <c r="L73" s="28">
        <f>'14-15 NGET'!L73-'Baseline NGET'!L73</f>
        <v>0</v>
      </c>
      <c r="N73" s="208"/>
      <c r="P73" s="42"/>
      <c r="S73" s="10" t="s">
        <v>175</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107</v>
      </c>
      <c r="D74" s="44">
        <f>'14-15 NGET'!D74-'Baseline NGET'!D74</f>
        <v>8.8448141645274063</v>
      </c>
      <c r="E74" s="44">
        <f>'14-15 NGET'!E74-'Baseline NGET'!E74</f>
        <v>-14.694673718778176</v>
      </c>
      <c r="F74" s="44">
        <f>'14-15 NGET'!F74-'Baseline NGET'!F74</f>
        <v>-13.583892788120011</v>
      </c>
      <c r="G74" s="44">
        <f>'14-15 NGET'!G74-'Baseline NGET'!G74</f>
        <v>-14.948280497807673</v>
      </c>
      <c r="H74" s="44">
        <f>'14-15 NGET'!H74-'Baseline NGET'!H74</f>
        <v>-13.361776236289415</v>
      </c>
      <c r="I74" s="44">
        <f>'14-15 NGET'!I74-'Baseline NGET'!I74</f>
        <v>-12.695541665499377</v>
      </c>
      <c r="J74" s="44">
        <f>'14-15 NGET'!J74-'Baseline NGET'!J74</f>
        <v>-11.897122466913743</v>
      </c>
      <c r="K74" s="44">
        <f>'14-15 NGET'!K74-'Baseline NGET'!K74</f>
        <v>-10.92259123958388</v>
      </c>
      <c r="L74" s="28">
        <f>'14-15 NGET'!L74-'Baseline NGET'!L74</f>
        <v>-83.259064448462595</v>
      </c>
      <c r="N74" s="209"/>
      <c r="P74" s="50"/>
      <c r="S74" s="23" t="s">
        <v>107</v>
      </c>
      <c r="T74" s="44">
        <v>1542</v>
      </c>
      <c r="U74" s="44">
        <v>1681</v>
      </c>
      <c r="V74" s="44">
        <v>1753</v>
      </c>
      <c r="W74" s="44">
        <v>1823</v>
      </c>
      <c r="X74" s="44">
        <v>1816</v>
      </c>
      <c r="Y74" s="44">
        <v>1849</v>
      </c>
      <c r="Z74" s="44">
        <v>1826</v>
      </c>
      <c r="AA74" s="44">
        <v>1795</v>
      </c>
      <c r="AB74" s="109"/>
      <c r="AC74" s="44">
        <f t="shared" si="3"/>
        <v>-1533.1551858354726</v>
      </c>
      <c r="AD74" s="44">
        <f t="shared" si="2"/>
        <v>-1695.6946737187782</v>
      </c>
      <c r="AE74" s="44">
        <f t="shared" si="2"/>
        <v>-1766.58389278812</v>
      </c>
      <c r="AF74" s="44">
        <f t="shared" si="2"/>
        <v>-1837.9482804978077</v>
      </c>
      <c r="AG74" s="44">
        <f t="shared" si="2"/>
        <v>-1829.3617762362894</v>
      </c>
      <c r="AH74" s="44">
        <f t="shared" si="2"/>
        <v>-1861.6955416654994</v>
      </c>
      <c r="AI74" s="44">
        <f t="shared" si="2"/>
        <v>-1837.8971224669137</v>
      </c>
      <c r="AJ74" s="44">
        <f t="shared" si="2"/>
        <v>-1805.9225912395839</v>
      </c>
      <c r="AK74" s="44">
        <f t="shared" si="4"/>
        <v>-14168.259064448464</v>
      </c>
      <c r="AL74" s="109"/>
      <c r="AM74" s="109"/>
    </row>
    <row r="75" spans="1:39">
      <c r="D75" s="53"/>
      <c r="E75" s="53"/>
      <c r="F75" s="53"/>
      <c r="G75" s="53"/>
      <c r="H75" s="53"/>
      <c r="I75" s="53"/>
      <c r="J75" s="53"/>
      <c r="K75" s="53"/>
      <c r="L75" s="53"/>
      <c r="P75" s="53"/>
      <c r="AK75" s="38"/>
    </row>
    <row r="76" spans="1:39">
      <c r="D76" s="53" t="s">
        <v>393</v>
      </c>
      <c r="E76" s="53">
        <f>D74*1.04552+E74</f>
        <v>-5.4472436134814828</v>
      </c>
      <c r="F76" s="53"/>
      <c r="G76" s="53"/>
      <c r="H76" s="53"/>
      <c r="I76" s="53"/>
      <c r="J76" s="53"/>
      <c r="K76" s="53"/>
      <c r="L76" s="53"/>
      <c r="AK76" s="38"/>
    </row>
    <row r="77" spans="1:39">
      <c r="D77" s="53" t="s">
        <v>201</v>
      </c>
      <c r="E77" s="53">
        <f>E76-'ET workings 14-15'!E104</f>
        <v>4.9737991503207013E-14</v>
      </c>
      <c r="F77" s="53"/>
      <c r="G77" s="53"/>
      <c r="H77" s="53"/>
      <c r="I77" s="53"/>
      <c r="J77" s="53"/>
      <c r="K77" s="53"/>
      <c r="L77" s="53"/>
      <c r="AK77" s="38"/>
    </row>
    <row r="78" spans="1:39" ht="13.8" thickBot="1"/>
    <row r="79" spans="1:39" ht="13.8" thickBot="1">
      <c r="A79" s="38"/>
      <c r="C79" s="14" t="s">
        <v>58</v>
      </c>
      <c r="D79" s="15" t="s">
        <v>59</v>
      </c>
      <c r="E79" s="15" t="s">
        <v>60</v>
      </c>
      <c r="F79" s="15" t="s">
        <v>61</v>
      </c>
      <c r="G79" s="15" t="s">
        <v>62</v>
      </c>
      <c r="H79" s="15" t="s">
        <v>63</v>
      </c>
      <c r="I79" s="15" t="s">
        <v>64</v>
      </c>
      <c r="J79" s="15" t="s">
        <v>65</v>
      </c>
      <c r="K79" s="15" t="s">
        <v>66</v>
      </c>
      <c r="L79" s="15" t="s">
        <v>118</v>
      </c>
      <c r="P79" s="205"/>
    </row>
    <row r="80" spans="1:39">
      <c r="C80" s="124"/>
      <c r="D80" s="125"/>
      <c r="E80" s="125"/>
      <c r="F80" s="125"/>
      <c r="G80" s="125"/>
      <c r="H80" s="125"/>
      <c r="I80" s="125"/>
      <c r="J80" s="125"/>
      <c r="K80" s="125"/>
      <c r="L80" s="125"/>
      <c r="P80" s="206"/>
    </row>
    <row r="81" spans="1:16">
      <c r="C81" s="17" t="str">
        <f>C3</f>
        <v>TO capex - load-related</v>
      </c>
      <c r="D81" s="165">
        <f>'14-15 NGET'!D81-'Baseline NGET'!D81</f>
        <v>0</v>
      </c>
      <c r="E81" s="165">
        <f>'14-15 NGET'!E81-'Baseline NGET'!E81</f>
        <v>0</v>
      </c>
      <c r="F81" s="165">
        <f>'14-15 NGET'!F81-'Baseline NGET'!F81</f>
        <v>0</v>
      </c>
      <c r="G81" s="165">
        <f>'14-15 NGET'!G81-'Baseline NGET'!G81</f>
        <v>0</v>
      </c>
      <c r="H81" s="165">
        <f>'14-15 NGET'!H81-'Baseline NGET'!H81</f>
        <v>0</v>
      </c>
      <c r="I81" s="165">
        <f>'14-15 NGET'!I81-'Baseline NGET'!I81</f>
        <v>0</v>
      </c>
      <c r="J81" s="165">
        <f>'14-15 NGET'!J81-'Baseline NGET'!J81</f>
        <v>0</v>
      </c>
      <c r="K81" s="165">
        <f>'14-15 NGET'!K81-'Baseline NGET'!K81</f>
        <v>0</v>
      </c>
      <c r="L81" s="165">
        <f>'14-15 NGET'!L81-'Baseline NGET'!L81</f>
        <v>0</v>
      </c>
      <c r="M81" s="53">
        <f>'14-15 NGET'!M81-'Baseline NGET'!M81</f>
        <v>0</v>
      </c>
      <c r="N81" s="53">
        <f>'14-15 NGET'!N81-'Baseline NGET'!N81</f>
        <v>0</v>
      </c>
      <c r="P81" s="165"/>
    </row>
    <row r="82" spans="1:16">
      <c r="C82" s="17" t="s">
        <v>394</v>
      </c>
      <c r="D82" s="165">
        <f>'14-15 NGET'!D82-'Baseline NGET'!D82</f>
        <v>0</v>
      </c>
      <c r="E82" s="165">
        <f>'14-15 NGET'!E82-'Baseline NGET'!E82</f>
        <v>0</v>
      </c>
      <c r="F82" s="165">
        <f>'14-15 NGET'!F82-'Baseline NGET'!F82</f>
        <v>0</v>
      </c>
      <c r="G82" s="165">
        <f>'14-15 NGET'!G82-'Baseline NGET'!G82</f>
        <v>0</v>
      </c>
      <c r="H82" s="165">
        <f>'14-15 NGET'!H82-'Baseline NGET'!H82</f>
        <v>0</v>
      </c>
      <c r="I82" s="165">
        <f>'14-15 NGET'!I82-'Baseline NGET'!I82</f>
        <v>0</v>
      </c>
      <c r="J82" s="165">
        <f>'14-15 NGET'!J82-'Baseline NGET'!J82</f>
        <v>0</v>
      </c>
      <c r="K82" s="165">
        <f>'14-15 NGET'!K82-'Baseline NGET'!K82</f>
        <v>0</v>
      </c>
      <c r="L82" s="165">
        <f>'14-15 NGET'!L82-'Baseline NGET'!L82</f>
        <v>0</v>
      </c>
      <c r="M82" s="53">
        <f>'14-15 NGET'!M82-'Baseline NGET'!M82</f>
        <v>0</v>
      </c>
      <c r="N82" s="53">
        <f>'14-15 NGET'!N82-'Baseline NGET'!N82</f>
        <v>0</v>
      </c>
      <c r="P82" s="165"/>
    </row>
    <row r="83" spans="1:16">
      <c r="C83" s="18" t="str">
        <f>C5</f>
        <v xml:space="preserve">Uncertainty mechanism capex </v>
      </c>
      <c r="D83" s="166">
        <f>'14-15 NGET'!D83-'Baseline NGET'!D83</f>
        <v>0</v>
      </c>
      <c r="E83" s="166">
        <f>'14-15 NGET'!E83-'Baseline NGET'!E83</f>
        <v>0</v>
      </c>
      <c r="F83" s="166">
        <f>'14-15 NGET'!F83-'Baseline NGET'!F83</f>
        <v>0</v>
      </c>
      <c r="G83" s="166">
        <f>'14-15 NGET'!G83-'Baseline NGET'!G83</f>
        <v>0</v>
      </c>
      <c r="H83" s="166">
        <f>'14-15 NGET'!H83-'Baseline NGET'!H83</f>
        <v>0</v>
      </c>
      <c r="I83" s="166">
        <f>'14-15 NGET'!I83-'Baseline NGET'!I83</f>
        <v>0</v>
      </c>
      <c r="J83" s="166">
        <f>'14-15 NGET'!J83-'Baseline NGET'!J83</f>
        <v>0</v>
      </c>
      <c r="K83" s="166">
        <f>'14-15 NGET'!K83-'Baseline NGET'!K83</f>
        <v>0</v>
      </c>
      <c r="L83" s="166">
        <f>'14-15 NGET'!L83-'Baseline NGET'!L83</f>
        <v>0</v>
      </c>
      <c r="M83" s="53">
        <f>'14-15 NGET'!M83-'Baseline NGET'!M83</f>
        <v>0</v>
      </c>
      <c r="N83" s="53">
        <f>'14-15 NGET'!N83-'Baseline NGET'!N83</f>
        <v>0</v>
      </c>
      <c r="P83" s="165"/>
    </row>
    <row r="84" spans="1:16">
      <c r="C84" s="17" t="str">
        <f>C6</f>
        <v xml:space="preserve">Uncertainty mechanism opex </v>
      </c>
      <c r="D84" s="165">
        <f>'14-15 NGET'!D84-'Baseline NGET'!D84</f>
        <v>0</v>
      </c>
      <c r="E84" s="165">
        <f>'14-15 NGET'!E84-'Baseline NGET'!E84</f>
        <v>0</v>
      </c>
      <c r="F84" s="165">
        <f>'14-15 NGET'!F84-'Baseline NGET'!F84</f>
        <v>0</v>
      </c>
      <c r="G84" s="165">
        <f>'14-15 NGET'!G84-'Baseline NGET'!G84</f>
        <v>0</v>
      </c>
      <c r="H84" s="165">
        <f>'14-15 NGET'!H84-'Baseline NGET'!H84</f>
        <v>0</v>
      </c>
      <c r="I84" s="165">
        <f>'14-15 NGET'!I84-'Baseline NGET'!I84</f>
        <v>0</v>
      </c>
      <c r="J84" s="165">
        <f>'14-15 NGET'!J84-'Baseline NGET'!J84</f>
        <v>0</v>
      </c>
      <c r="K84" s="165">
        <f>'14-15 NGET'!K84-'Baseline NGET'!K84</f>
        <v>0</v>
      </c>
      <c r="L84" s="165">
        <f>'14-15 NGET'!L84-'Baseline NGET'!L84</f>
        <v>0</v>
      </c>
      <c r="M84" s="53">
        <f>'14-15 NGET'!M84-'Baseline NGET'!M84</f>
        <v>0</v>
      </c>
      <c r="N84" s="53">
        <f>'14-15 NGET'!N84-'Baseline NGET'!N84</f>
        <v>0</v>
      </c>
      <c r="P84" s="165"/>
    </row>
    <row r="85" spans="1:16">
      <c r="C85" s="18" t="str">
        <f>C7</f>
        <v xml:space="preserve">Controllable opex </v>
      </c>
      <c r="D85" s="158">
        <f>'14-15 NGET'!D85-'Baseline NGET'!D85</f>
        <v>0</v>
      </c>
      <c r="E85" s="158">
        <f>'14-15 NGET'!E85-'Baseline NGET'!E85</f>
        <v>0</v>
      </c>
      <c r="F85" s="158">
        <f>'14-15 NGET'!F85-'Baseline NGET'!F85</f>
        <v>0</v>
      </c>
      <c r="G85" s="158">
        <f>'14-15 NGET'!G85-'Baseline NGET'!G85</f>
        <v>0</v>
      </c>
      <c r="H85" s="158">
        <f>'14-15 NGET'!H85-'Baseline NGET'!H85</f>
        <v>0</v>
      </c>
      <c r="I85" s="158">
        <f>'14-15 NGET'!I85-'Baseline NGET'!I85</f>
        <v>0</v>
      </c>
      <c r="J85" s="158">
        <f>'14-15 NGET'!J85-'Baseline NGET'!J85</f>
        <v>0</v>
      </c>
      <c r="K85" s="158">
        <f>'14-15 NGET'!K85-'Baseline NGET'!K85</f>
        <v>0</v>
      </c>
      <c r="L85" s="158">
        <f>'14-15 NGET'!L85-'Baseline NGET'!L85</f>
        <v>0</v>
      </c>
      <c r="M85" s="53">
        <f>'14-15 NGET'!M85-'Baseline NGET'!M85</f>
        <v>0</v>
      </c>
      <c r="N85" s="53">
        <f>'14-15 NGET'!N85-'Baseline NGET'!N85</f>
        <v>0</v>
      </c>
      <c r="P85" s="168"/>
    </row>
    <row r="86" spans="1:16">
      <c r="C86" s="19" t="str">
        <f>C9</f>
        <v xml:space="preserve">TO Totex </v>
      </c>
      <c r="D86" s="167">
        <f>'14-15 NGET'!D86-'Baseline NGET'!D86</f>
        <v>0</v>
      </c>
      <c r="E86" s="167">
        <f>'14-15 NGET'!E86-'Baseline NGET'!E86</f>
        <v>0</v>
      </c>
      <c r="F86" s="167">
        <f>'14-15 NGET'!F86-'Baseline NGET'!F86</f>
        <v>0</v>
      </c>
      <c r="G86" s="167">
        <f>'14-15 NGET'!G86-'Baseline NGET'!G86</f>
        <v>0</v>
      </c>
      <c r="H86" s="167">
        <f>'14-15 NGET'!H86-'Baseline NGET'!H86</f>
        <v>0</v>
      </c>
      <c r="I86" s="167">
        <f>'14-15 NGET'!I86-'Baseline NGET'!I86</f>
        <v>0</v>
      </c>
      <c r="J86" s="167">
        <f>'14-15 NGET'!J86-'Baseline NGET'!J86</f>
        <v>0</v>
      </c>
      <c r="K86" s="167">
        <f>'14-15 NGET'!K86-'Baseline NGET'!K86</f>
        <v>0</v>
      </c>
      <c r="L86" s="167">
        <f>'14-15 NGET'!L86-'Baseline NGET'!L86</f>
        <v>0</v>
      </c>
      <c r="M86" s="53">
        <f>'14-15 NGET'!M86-'Baseline NGET'!M86</f>
        <v>0</v>
      </c>
      <c r="N86" s="53">
        <f>'14-15 NGET'!N86-'Baseline NGET'!N86</f>
        <v>0</v>
      </c>
      <c r="P86" s="167"/>
    </row>
    <row r="87" spans="1:16">
      <c r="C87" s="18" t="str">
        <f>C10</f>
        <v xml:space="preserve">Non controllable opex </v>
      </c>
      <c r="D87" s="166">
        <f>'14-15 NGET'!D87-'Baseline NGET'!D87</f>
        <v>0</v>
      </c>
      <c r="E87" s="166">
        <f>'14-15 NGET'!E87-'Baseline NGET'!E87</f>
        <v>0</v>
      </c>
      <c r="F87" s="166">
        <f>'14-15 NGET'!F87-'Baseline NGET'!F87</f>
        <v>0</v>
      </c>
      <c r="G87" s="166">
        <f>'14-15 NGET'!G87-'Baseline NGET'!G87</f>
        <v>0</v>
      </c>
      <c r="H87" s="166">
        <f>'14-15 NGET'!H87-'Baseline NGET'!H87</f>
        <v>0</v>
      </c>
      <c r="I87" s="166">
        <f>'14-15 NGET'!I87-'Baseline NGET'!I87</f>
        <v>0</v>
      </c>
      <c r="J87" s="166">
        <f>'14-15 NGET'!J87-'Baseline NGET'!J87</f>
        <v>0</v>
      </c>
      <c r="K87" s="166">
        <f>'14-15 NGET'!K87-'Baseline NGET'!K87</f>
        <v>0</v>
      </c>
      <c r="L87" s="166">
        <f>'14-15 NGET'!L87-'Baseline NGET'!L87</f>
        <v>0</v>
      </c>
      <c r="M87" s="53">
        <f>'14-15 NGET'!M87-'Baseline NGET'!M87</f>
        <v>0</v>
      </c>
      <c r="N87" s="53">
        <f>'14-15 NGET'!N87-'Baseline NGET'!N87</f>
        <v>0</v>
      </c>
      <c r="P87" s="165"/>
    </row>
    <row r="88" spans="1:16">
      <c r="C88" s="17"/>
      <c r="D88" s="168"/>
      <c r="E88" s="168"/>
      <c r="F88" s="168"/>
      <c r="G88" s="168"/>
      <c r="H88" s="168"/>
      <c r="I88" s="168"/>
      <c r="J88" s="168"/>
      <c r="K88" s="168"/>
      <c r="L88" s="165"/>
      <c r="M88" s="53"/>
      <c r="N88" s="53"/>
      <c r="P88" s="168"/>
    </row>
    <row r="89" spans="1:16">
      <c r="C89" s="18" t="str">
        <f>C12</f>
        <v xml:space="preserve">SO capex </v>
      </c>
      <c r="D89" s="158">
        <f>'14-15 NGET'!D89-'Baseline NGET'!D89</f>
        <v>0</v>
      </c>
      <c r="E89" s="158">
        <f>'14-15 NGET'!E89-'Baseline NGET'!E89</f>
        <v>0</v>
      </c>
      <c r="F89" s="158">
        <f>'14-15 NGET'!F89-'Baseline NGET'!F89</f>
        <v>0</v>
      </c>
      <c r="G89" s="158">
        <f>'14-15 NGET'!G89-'Baseline NGET'!G89</f>
        <v>0</v>
      </c>
      <c r="H89" s="158">
        <f>'14-15 NGET'!H89-'Baseline NGET'!H89</f>
        <v>0</v>
      </c>
      <c r="I89" s="158">
        <f>'14-15 NGET'!I89-'Baseline NGET'!I89</f>
        <v>0</v>
      </c>
      <c r="J89" s="158">
        <f>'14-15 NGET'!J89-'Baseline NGET'!J89</f>
        <v>0</v>
      </c>
      <c r="K89" s="158">
        <f>'14-15 NGET'!K89-'Baseline NGET'!K89</f>
        <v>0</v>
      </c>
      <c r="L89" s="158">
        <f>'14-15 NGET'!L89-'Baseline NGET'!L89</f>
        <v>0</v>
      </c>
      <c r="M89" s="53">
        <f>'14-15 NGET'!M89-'Baseline NGET'!M89</f>
        <v>0</v>
      </c>
      <c r="N89" s="53">
        <f>'14-15 NGET'!N89-'Baseline NGET'!N89</f>
        <v>0</v>
      </c>
      <c r="P89" s="168"/>
    </row>
    <row r="90" spans="1:16">
      <c r="C90" s="17" t="str">
        <f>C13</f>
        <v xml:space="preserve">Controllable opex </v>
      </c>
      <c r="D90" s="165">
        <f>'14-15 NGET'!D90-'Baseline NGET'!D90</f>
        <v>0</v>
      </c>
      <c r="E90" s="165">
        <f>'14-15 NGET'!E90-'Baseline NGET'!E90</f>
        <v>0</v>
      </c>
      <c r="F90" s="165">
        <f>'14-15 NGET'!F90-'Baseline NGET'!F90</f>
        <v>0</v>
      </c>
      <c r="G90" s="165">
        <f>'14-15 NGET'!G90-'Baseline NGET'!G90</f>
        <v>0</v>
      </c>
      <c r="H90" s="165">
        <f>'14-15 NGET'!H90-'Baseline NGET'!H90</f>
        <v>0</v>
      </c>
      <c r="I90" s="165">
        <f>'14-15 NGET'!I90-'Baseline NGET'!I90</f>
        <v>0</v>
      </c>
      <c r="J90" s="165">
        <f>'14-15 NGET'!J90-'Baseline NGET'!J90</f>
        <v>0</v>
      </c>
      <c r="K90" s="165">
        <f>'14-15 NGET'!K90-'Baseline NGET'!K90</f>
        <v>0</v>
      </c>
      <c r="L90" s="165">
        <f>'14-15 NGET'!L90-'Baseline NGET'!L90</f>
        <v>0</v>
      </c>
      <c r="M90" s="53">
        <f>'14-15 NGET'!M90-'Baseline NGET'!M90</f>
        <v>0</v>
      </c>
      <c r="N90" s="53">
        <f>'14-15 NGET'!N90-'Baseline NGET'!N90</f>
        <v>0</v>
      </c>
      <c r="P90" s="165"/>
    </row>
    <row r="91" spans="1:16" ht="13.8" thickBot="1">
      <c r="C91" s="23" t="str">
        <f>C15</f>
        <v xml:space="preserve">SO Totex </v>
      </c>
      <c r="D91" s="44">
        <f>'14-15 NGET'!D91-'Baseline NGET'!D91</f>
        <v>0</v>
      </c>
      <c r="E91" s="44">
        <f>'14-15 NGET'!E91-'Baseline NGET'!E91</f>
        <v>0</v>
      </c>
      <c r="F91" s="44">
        <f>'14-15 NGET'!F91-'Baseline NGET'!F91</f>
        <v>0</v>
      </c>
      <c r="G91" s="44">
        <f>'14-15 NGET'!G91-'Baseline NGET'!G91</f>
        <v>0</v>
      </c>
      <c r="H91" s="44">
        <f>'14-15 NGET'!H91-'Baseline NGET'!H91</f>
        <v>0</v>
      </c>
      <c r="I91" s="44">
        <f>'14-15 NGET'!I91-'Baseline NGET'!I91</f>
        <v>0</v>
      </c>
      <c r="J91" s="44">
        <f>'14-15 NGET'!J91-'Baseline NGET'!J91</f>
        <v>0</v>
      </c>
      <c r="K91" s="44">
        <f>'14-15 NGET'!K91-'Baseline NGET'!K91</f>
        <v>0</v>
      </c>
      <c r="L91" s="44">
        <f>'14-15 NGET'!L91-'Baseline NGET'!L91</f>
        <v>0</v>
      </c>
      <c r="M91" s="53">
        <f>'14-15 NGET'!M91-'Baseline NGET'!M91</f>
        <v>0</v>
      </c>
      <c r="N91" s="53">
        <f>'14-15 NGET'!N91-'Baseline NGET'!N91</f>
        <v>0</v>
      </c>
      <c r="P91" s="50"/>
    </row>
    <row r="92" spans="1:16">
      <c r="A92" s="38" t="s">
        <v>378</v>
      </c>
    </row>
    <row r="93" spans="1:16" ht="13.8" thickBot="1">
      <c r="C93" s="38" t="s">
        <v>140</v>
      </c>
    </row>
    <row r="94" spans="1:16" ht="13.8" thickBot="1">
      <c r="C94" s="7" t="s">
        <v>58</v>
      </c>
      <c r="D94" s="8" t="s">
        <v>59</v>
      </c>
      <c r="E94" s="8" t="s">
        <v>60</v>
      </c>
      <c r="F94" s="8" t="s">
        <v>61</v>
      </c>
      <c r="G94" s="8" t="s">
        <v>62</v>
      </c>
      <c r="H94" s="8" t="s">
        <v>63</v>
      </c>
      <c r="I94" s="8" t="s">
        <v>64</v>
      </c>
      <c r="J94" s="8" t="s">
        <v>65</v>
      </c>
      <c r="K94" s="8" t="s">
        <v>66</v>
      </c>
    </row>
    <row r="95" spans="1:16">
      <c r="C95" s="22" t="s">
        <v>91</v>
      </c>
      <c r="D95" s="41">
        <f>'14-15 NGET'!D95-'Baseline NGET'!D95</f>
        <v>0</v>
      </c>
      <c r="E95" s="41">
        <f>'14-15 NGET'!E95-'Baseline NGET'!E95</f>
        <v>-150.77574552522856</v>
      </c>
      <c r="F95" s="41">
        <f>'14-15 NGET'!F95-'Baseline NGET'!F95</f>
        <v>-144.54759682061558</v>
      </c>
      <c r="G95" s="41">
        <f>'14-15 NGET'!G95-'Baseline NGET'!G95</f>
        <v>-138.31944811600079</v>
      </c>
      <c r="H95" s="41">
        <f>'14-15 NGET'!H95-'Baseline NGET'!H95</f>
        <v>-132.09129941138053</v>
      </c>
      <c r="I95" s="41">
        <f>'14-15 NGET'!I95-'Baseline NGET'!I95</f>
        <v>-125.86315070676756</v>
      </c>
      <c r="J95" s="41">
        <f>'14-15 NGET'!J95-'Baseline NGET'!J95</f>
        <v>-119.63500200215276</v>
      </c>
      <c r="K95" s="41">
        <f>'14-15 NGET'!K95-'Baseline NGET'!K95</f>
        <v>-113.40685329753796</v>
      </c>
    </row>
    <row r="96" spans="1:16">
      <c r="C96" s="10" t="s">
        <v>86</v>
      </c>
      <c r="D96" s="42">
        <f>'14-15 NGET'!D96-'Baseline NGET'!D96</f>
        <v>-150.77574552522833</v>
      </c>
      <c r="E96" s="42">
        <f>'14-15 NGET'!E96-'Baseline NGET'!E96</f>
        <v>0</v>
      </c>
      <c r="F96" s="42">
        <f>'14-15 NGET'!F96-'Baseline NGET'!F96</f>
        <v>0</v>
      </c>
      <c r="G96" s="42">
        <f>'14-15 NGET'!G96-'Baseline NGET'!G96</f>
        <v>0</v>
      </c>
      <c r="H96" s="42">
        <f>'14-15 NGET'!H96-'Baseline NGET'!H96</f>
        <v>0</v>
      </c>
      <c r="I96" s="42">
        <f>'14-15 NGET'!I96-'Baseline NGET'!I96</f>
        <v>0</v>
      </c>
      <c r="J96" s="42">
        <f>'14-15 NGET'!J96-'Baseline NGET'!J96</f>
        <v>0</v>
      </c>
      <c r="K96" s="42">
        <f>'14-15 NGET'!K96-'Baseline NGET'!K96</f>
        <v>0</v>
      </c>
    </row>
    <row r="97" spans="1:11">
      <c r="C97" s="11" t="s">
        <v>87</v>
      </c>
      <c r="D97" s="43">
        <f>'14-15 NGET'!D97-'Baseline NGET'!D97</f>
        <v>0</v>
      </c>
      <c r="E97" s="43">
        <f>'14-15 NGET'!E97-'Baseline NGET'!E97</f>
        <v>6.2281487046146822</v>
      </c>
      <c r="F97" s="43">
        <f>'14-15 NGET'!F97-'Baseline NGET'!F97</f>
        <v>6.2281487046146822</v>
      </c>
      <c r="G97" s="43">
        <f>'14-15 NGET'!G97-'Baseline NGET'!G97</f>
        <v>6.2281487046146822</v>
      </c>
      <c r="H97" s="43">
        <f>'14-15 NGET'!H97-'Baseline NGET'!H97</f>
        <v>6.2281487046146822</v>
      </c>
      <c r="I97" s="43">
        <f>'14-15 NGET'!I97-'Baseline NGET'!I97</f>
        <v>6.2281487046146822</v>
      </c>
      <c r="J97" s="43">
        <f>'14-15 NGET'!J97-'Baseline NGET'!J97</f>
        <v>6.2281487046146822</v>
      </c>
      <c r="K97" s="43">
        <f>'14-15 NGET'!K97-'Baseline NGET'!K97</f>
        <v>6.2281487046146822</v>
      </c>
    </row>
    <row r="98" spans="1:11" ht="13.8" thickBot="1">
      <c r="C98" s="13" t="s">
        <v>94</v>
      </c>
      <c r="D98" s="52">
        <f>'14-15 NGET'!D98-'Baseline NGET'!D98</f>
        <v>-150.77574552522856</v>
      </c>
      <c r="E98" s="52">
        <f>'14-15 NGET'!E98-'Baseline NGET'!E98</f>
        <v>-144.54759682061558</v>
      </c>
      <c r="F98" s="52">
        <f>'14-15 NGET'!F98-'Baseline NGET'!F98</f>
        <v>-138.3194481160026</v>
      </c>
      <c r="G98" s="52">
        <f>'14-15 NGET'!G98-'Baseline NGET'!G98</f>
        <v>-132.09129941138235</v>
      </c>
      <c r="H98" s="52">
        <f>'14-15 NGET'!H98-'Baseline NGET'!H98</f>
        <v>-125.86315070676756</v>
      </c>
      <c r="I98" s="52">
        <f>'14-15 NGET'!I98-'Baseline NGET'!I98</f>
        <v>-119.63500200215276</v>
      </c>
      <c r="J98" s="52">
        <f>'14-15 NGET'!J98-'Baseline NGET'!J98</f>
        <v>-113.40685329753796</v>
      </c>
      <c r="K98" s="52">
        <f>'14-15 NGET'!K98-'Baseline NGET'!K98</f>
        <v>-107.17870459292135</v>
      </c>
    </row>
    <row r="100" spans="1:11" ht="13.8" thickBot="1"/>
    <row r="101" spans="1:11" ht="13.8" thickBot="1">
      <c r="C101" s="7" t="s">
        <v>58</v>
      </c>
      <c r="D101" s="8" t="s">
        <v>59</v>
      </c>
      <c r="E101" s="8" t="s">
        <v>60</v>
      </c>
      <c r="F101" s="8" t="s">
        <v>61</v>
      </c>
      <c r="G101" s="8" t="s">
        <v>62</v>
      </c>
      <c r="H101" s="8" t="s">
        <v>63</v>
      </c>
      <c r="I101" s="8" t="s">
        <v>64</v>
      </c>
      <c r="J101" s="8" t="s">
        <v>65</v>
      </c>
      <c r="K101" s="8" t="s">
        <v>66</v>
      </c>
    </row>
    <row r="102" spans="1:11">
      <c r="C102" s="10" t="s">
        <v>370</v>
      </c>
      <c r="D102" s="169">
        <f>'14-15 NGET'!D102-'Baseline NGET'!D102</f>
        <v>0</v>
      </c>
      <c r="E102" s="169">
        <f>'14-15 NGET'!E102-'Baseline NGET'!E102</f>
        <v>0</v>
      </c>
      <c r="F102" s="169">
        <f>'14-15 NGET'!F102-'Baseline NGET'!F102</f>
        <v>0</v>
      </c>
      <c r="G102" s="169">
        <f>'14-15 NGET'!G102-'Baseline NGET'!G102</f>
        <v>0</v>
      </c>
      <c r="H102" s="169">
        <f>'14-15 NGET'!H102-'Baseline NGET'!H102</f>
        <v>0</v>
      </c>
      <c r="I102" s="169">
        <f>'14-15 NGET'!I102-'Baseline NGET'!I102</f>
        <v>0</v>
      </c>
      <c r="J102" s="169">
        <f>'14-15 NGET'!J102-'Baseline NGET'!J102</f>
        <v>0</v>
      </c>
      <c r="K102" s="169">
        <f>'14-15 NGET'!K102-'Baseline NGET'!K102</f>
        <v>0</v>
      </c>
    </row>
    <row r="103" spans="1:11">
      <c r="C103" s="170" t="s">
        <v>371</v>
      </c>
      <c r="D103" s="171">
        <f>'14-15 NGET'!D103-'Baseline NGET'!D103</f>
        <v>0</v>
      </c>
      <c r="E103" s="171">
        <f>'14-15 NGET'!E103-'Baseline NGET'!E103</f>
        <v>0</v>
      </c>
      <c r="F103" s="171">
        <f>'14-15 NGET'!F103-'Baseline NGET'!F103</f>
        <v>0</v>
      </c>
      <c r="G103" s="171">
        <f>'14-15 NGET'!G103-'Baseline NGET'!G103</f>
        <v>0</v>
      </c>
      <c r="H103" s="171">
        <f>'14-15 NGET'!H103-'Baseline NGET'!H103</f>
        <v>0</v>
      </c>
      <c r="I103" s="171">
        <f>'14-15 NGET'!I103-'Baseline NGET'!I103</f>
        <v>0</v>
      </c>
      <c r="J103" s="171">
        <f>'14-15 NGET'!J103-'Baseline NGET'!J103</f>
        <v>0</v>
      </c>
      <c r="K103" s="171">
        <f>'14-15 NGET'!K103-'Baseline NGET'!K103</f>
        <v>0</v>
      </c>
    </row>
    <row r="104" spans="1:11">
      <c r="C104" s="10"/>
      <c r="D104" s="169"/>
      <c r="E104" s="169"/>
      <c r="F104" s="169"/>
      <c r="G104" s="169"/>
      <c r="H104" s="169"/>
      <c r="I104" s="169"/>
      <c r="J104" s="169"/>
      <c r="K104" s="169"/>
    </row>
    <row r="105" spans="1:11">
      <c r="C105" s="11" t="s">
        <v>372</v>
      </c>
      <c r="D105" s="171">
        <f>'14-15 NGET'!D105-'Baseline NGET'!D105</f>
        <v>0</v>
      </c>
      <c r="E105" s="171">
        <f>'14-15 NGET'!E105-'Baseline NGET'!E105</f>
        <v>0</v>
      </c>
      <c r="F105" s="171">
        <f>'14-15 NGET'!F105-'Baseline NGET'!F105</f>
        <v>0</v>
      </c>
      <c r="G105" s="171">
        <f>'14-15 NGET'!G105-'Baseline NGET'!G105</f>
        <v>0</v>
      </c>
      <c r="H105" s="171">
        <f>'14-15 NGET'!H105-'Baseline NGET'!H105</f>
        <v>0</v>
      </c>
      <c r="I105" s="171">
        <f>'14-15 NGET'!I105-'Baseline NGET'!I105</f>
        <v>0</v>
      </c>
      <c r="J105" s="171">
        <f>'14-15 NGET'!J105-'Baseline NGET'!J105</f>
        <v>0</v>
      </c>
      <c r="K105" s="171">
        <f>'14-15 NGET'!K105-'Baseline NGET'!K105</f>
        <v>0</v>
      </c>
    </row>
    <row r="106" spans="1:11">
      <c r="C106" s="10" t="s">
        <v>373</v>
      </c>
      <c r="D106" s="169">
        <f>'14-15 NGET'!D106-'Baseline NGET'!D106</f>
        <v>0</v>
      </c>
      <c r="E106" s="169">
        <f>'14-15 NGET'!E106-'Baseline NGET'!E106</f>
        <v>0</v>
      </c>
      <c r="F106" s="169">
        <f>'14-15 NGET'!F106-'Baseline NGET'!F106</f>
        <v>0</v>
      </c>
      <c r="G106" s="169">
        <f>'14-15 NGET'!G106-'Baseline NGET'!G106</f>
        <v>0</v>
      </c>
      <c r="H106" s="169">
        <f>'14-15 NGET'!H106-'Baseline NGET'!H106</f>
        <v>0</v>
      </c>
      <c r="I106" s="169">
        <f>'14-15 NGET'!I106-'Baseline NGET'!I106</f>
        <v>0</v>
      </c>
      <c r="J106" s="169">
        <f>'14-15 NGET'!J106-'Baseline NGET'!J106</f>
        <v>0</v>
      </c>
      <c r="K106" s="169">
        <f>'14-15 NGET'!K106-'Baseline NGET'!K106</f>
        <v>0</v>
      </c>
    </row>
    <row r="107" spans="1:11">
      <c r="C107" s="11"/>
      <c r="D107" s="171"/>
      <c r="E107" s="171"/>
      <c r="F107" s="171"/>
      <c r="G107" s="171"/>
      <c r="H107" s="171"/>
      <c r="I107" s="171"/>
      <c r="J107" s="171"/>
      <c r="K107" s="171"/>
    </row>
    <row r="108" spans="1:11" ht="13.8" thickBot="1">
      <c r="C108" s="40" t="s">
        <v>374</v>
      </c>
      <c r="D108" s="46">
        <f>'14-15 NGET'!D108-'Baseline NGET'!D108</f>
        <v>0</v>
      </c>
      <c r="E108" s="46">
        <f>'14-15 NGET'!E108-'Baseline NGET'!E108</f>
        <v>0</v>
      </c>
      <c r="F108" s="46">
        <f>'14-15 NGET'!F108-'Baseline NGET'!F108</f>
        <v>0</v>
      </c>
      <c r="G108" s="46">
        <f>'14-15 NGET'!G108-'Baseline NGET'!G108</f>
        <v>0</v>
      </c>
      <c r="H108" s="46">
        <f>'14-15 NGET'!H108-'Baseline NGET'!H108</f>
        <v>0</v>
      </c>
      <c r="I108" s="46">
        <f>'14-15 NGET'!I108-'Baseline NGET'!I108</f>
        <v>0</v>
      </c>
      <c r="J108" s="46">
        <f>'14-15 NGET'!J108-'Baseline NGET'!J108</f>
        <v>0</v>
      </c>
      <c r="K108" s="46">
        <f>'14-15 NGET'!K108-'Baseline NGET'!K108</f>
        <v>0</v>
      </c>
    </row>
    <row r="109" spans="1:11">
      <c r="A109" s="38" t="s">
        <v>364</v>
      </c>
    </row>
    <row r="110" spans="1:11" ht="13.8" thickBot="1">
      <c r="C110" s="38" t="s">
        <v>122</v>
      </c>
    </row>
    <row r="111" spans="1:11" ht="13.8" thickBot="1">
      <c r="C111" s="7" t="s">
        <v>58</v>
      </c>
      <c r="D111" s="8" t="s">
        <v>59</v>
      </c>
      <c r="E111" s="8" t="s">
        <v>60</v>
      </c>
      <c r="F111" s="8" t="s">
        <v>61</v>
      </c>
      <c r="G111" s="8" t="s">
        <v>62</v>
      </c>
      <c r="H111" s="8" t="s">
        <v>63</v>
      </c>
      <c r="I111" s="8" t="s">
        <v>64</v>
      </c>
      <c r="J111" s="8" t="s">
        <v>65</v>
      </c>
      <c r="K111" s="8" t="s">
        <v>66</v>
      </c>
    </row>
    <row r="112" spans="1:11">
      <c r="C112" s="22" t="s">
        <v>91</v>
      </c>
      <c r="D112" s="41">
        <f>'14-15 NGET'!D112-'Baseline NGET'!D112</f>
        <v>0</v>
      </c>
      <c r="E112" s="41">
        <f>'14-15 NGET'!E112-'Baseline NGET'!E112</f>
        <v>2.9301486584244287</v>
      </c>
      <c r="F112" s="41">
        <f>'14-15 NGET'!F112-'Baseline NGET'!F112</f>
        <v>2.5115559929352287</v>
      </c>
      <c r="G112" s="41">
        <f>'14-15 NGET'!G112-'Baseline NGET'!G112</f>
        <v>2.0929633274460144</v>
      </c>
      <c r="H112" s="41">
        <f>'14-15 NGET'!H112-'Baseline NGET'!H112</f>
        <v>1.6743706619568002</v>
      </c>
      <c r="I112" s="41">
        <f>'14-15 NGET'!I112-'Baseline NGET'!I112</f>
        <v>1.2557779964676001</v>
      </c>
      <c r="J112" s="41">
        <f>'14-15 NGET'!J112-'Baseline NGET'!J112</f>
        <v>0.83718533097838588</v>
      </c>
      <c r="K112" s="41">
        <f>'14-15 NGET'!K112-'Baseline NGET'!K112</f>
        <v>0.41859266548915741</v>
      </c>
    </row>
    <row r="113" spans="1:14">
      <c r="C113" s="10" t="s">
        <v>86</v>
      </c>
      <c r="D113" s="42">
        <f>'14-15 NGET'!D113-'Baseline NGET'!D113</f>
        <v>2.9301486584244358</v>
      </c>
      <c r="E113" s="42">
        <f>'14-15 NGET'!E113-'Baseline NGET'!E113</f>
        <v>0</v>
      </c>
      <c r="F113" s="42">
        <f>'14-15 NGET'!F113-'Baseline NGET'!F113</f>
        <v>0</v>
      </c>
      <c r="G113" s="42">
        <f>'14-15 NGET'!G113-'Baseline NGET'!G113</f>
        <v>0</v>
      </c>
      <c r="H113" s="42">
        <f>'14-15 NGET'!H113-'Baseline NGET'!H113</f>
        <v>0</v>
      </c>
      <c r="I113" s="42">
        <f>'14-15 NGET'!I113-'Baseline NGET'!I113</f>
        <v>0</v>
      </c>
      <c r="J113" s="42">
        <f>'14-15 NGET'!J113-'Baseline NGET'!J113</f>
        <v>0</v>
      </c>
      <c r="K113" s="42">
        <f>'14-15 NGET'!K113-'Baseline NGET'!K113</f>
        <v>0</v>
      </c>
    </row>
    <row r="114" spans="1:14">
      <c r="C114" s="11" t="s">
        <v>87</v>
      </c>
      <c r="D114" s="43">
        <f>'14-15 NGET'!D114-'Baseline NGET'!D114</f>
        <v>0</v>
      </c>
      <c r="E114" s="43">
        <f>'14-15 NGET'!E114-'Baseline NGET'!E114</f>
        <v>-0.41859266548920715</v>
      </c>
      <c r="F114" s="43">
        <f>'14-15 NGET'!F114-'Baseline NGET'!F114</f>
        <v>-0.41859266548920715</v>
      </c>
      <c r="G114" s="43">
        <f>'14-15 NGET'!G114-'Baseline NGET'!G114</f>
        <v>-0.4185926654892036</v>
      </c>
      <c r="H114" s="43">
        <f>'14-15 NGET'!H114-'Baseline NGET'!H114</f>
        <v>-0.41859266548920715</v>
      </c>
      <c r="I114" s="43">
        <f>'14-15 NGET'!I114-'Baseline NGET'!I114</f>
        <v>-0.4185926654892036</v>
      </c>
      <c r="J114" s="43">
        <f>'14-15 NGET'!J114-'Baseline NGET'!J114</f>
        <v>-0.41859266548920715</v>
      </c>
      <c r="K114" s="43">
        <f>'14-15 NGET'!K114-'Baseline NGET'!K114</f>
        <v>-0.4185926654892036</v>
      </c>
    </row>
    <row r="115" spans="1:14" ht="13.8" thickBot="1">
      <c r="C115" s="13" t="s">
        <v>94</v>
      </c>
      <c r="D115" s="52">
        <f>'14-15 NGET'!D115-'Baseline NGET'!D115</f>
        <v>2.9301486584244287</v>
      </c>
      <c r="E115" s="52">
        <f>'14-15 NGET'!E115-'Baseline NGET'!E115</f>
        <v>2.5115559929352287</v>
      </c>
      <c r="F115" s="52">
        <f>'14-15 NGET'!F115-'Baseline NGET'!F115</f>
        <v>2.0929633274460144</v>
      </c>
      <c r="G115" s="52">
        <f>'14-15 NGET'!G115-'Baseline NGET'!G115</f>
        <v>1.6743706619568002</v>
      </c>
      <c r="H115" s="52">
        <f>'14-15 NGET'!H115-'Baseline NGET'!H115</f>
        <v>1.2557779964676001</v>
      </c>
      <c r="I115" s="52">
        <f>'14-15 NGET'!I115-'Baseline NGET'!I115</f>
        <v>0.83718533097838588</v>
      </c>
      <c r="J115" s="52">
        <f>'14-15 NGET'!J115-'Baseline NGET'!J115</f>
        <v>0.41859266548915741</v>
      </c>
      <c r="K115" s="52">
        <f>'14-15 NGET'!K115-'Baseline NGET'!K115</f>
        <v>0</v>
      </c>
    </row>
    <row r="117" spans="1:14" ht="13.8" thickBot="1">
      <c r="C117" s="38" t="s">
        <v>395</v>
      </c>
    </row>
    <row r="118" spans="1:14" ht="13.8" thickBot="1">
      <c r="C118" s="14" t="s">
        <v>58</v>
      </c>
      <c r="D118" s="15" t="s">
        <v>59</v>
      </c>
      <c r="E118" s="15" t="s">
        <v>60</v>
      </c>
      <c r="F118" s="15" t="s">
        <v>61</v>
      </c>
      <c r="G118" s="15" t="s">
        <v>62</v>
      </c>
      <c r="H118" s="15" t="s">
        <v>63</v>
      </c>
      <c r="I118" s="15" t="s">
        <v>64</v>
      </c>
      <c r="J118" s="15" t="s">
        <v>65</v>
      </c>
      <c r="K118" s="15" t="s">
        <v>66</v>
      </c>
      <c r="L118" s="15" t="s">
        <v>118</v>
      </c>
    </row>
    <row r="119" spans="1:14">
      <c r="C119" s="16"/>
      <c r="D119" s="26"/>
      <c r="E119" s="26"/>
      <c r="F119" s="26"/>
      <c r="G119" s="26"/>
      <c r="H119" s="26"/>
      <c r="I119" s="26"/>
      <c r="J119" s="26"/>
      <c r="K119" s="26"/>
      <c r="L119" s="26"/>
    </row>
    <row r="120" spans="1:14">
      <c r="A120" t="s">
        <v>338</v>
      </c>
      <c r="C120" s="17" t="s">
        <v>119</v>
      </c>
      <c r="D120" s="27">
        <f>'14-15 NGET'!D120-'Baseline NGET'!D120</f>
        <v>0</v>
      </c>
      <c r="E120" s="27">
        <f>'14-15 NGET'!E120-'Baseline NGET'!E120</f>
        <v>0</v>
      </c>
      <c r="F120" s="27">
        <f>'14-15 NGET'!F120-'Baseline NGET'!F120</f>
        <v>0</v>
      </c>
      <c r="G120" s="27">
        <f>'14-15 NGET'!G120-'Baseline NGET'!G120</f>
        <v>0</v>
      </c>
      <c r="H120" s="27">
        <f>'14-15 NGET'!H120-'Baseline NGET'!H120</f>
        <v>0</v>
      </c>
      <c r="I120" s="27">
        <f>'14-15 NGET'!I120-'Baseline NGET'!I120</f>
        <v>0</v>
      </c>
      <c r="J120" s="27">
        <f>'14-15 NGET'!J120-'Baseline NGET'!J120</f>
        <v>0</v>
      </c>
      <c r="K120" s="27">
        <f>'14-15 NGET'!K120-'Baseline NGET'!K120</f>
        <v>0</v>
      </c>
      <c r="L120" s="28">
        <f>'14-15 NGET'!L120-'Baseline NGET'!L120</f>
        <v>0</v>
      </c>
      <c r="N120" s="53"/>
    </row>
    <row r="121" spans="1:14">
      <c r="C121" s="18" t="s">
        <v>396</v>
      </c>
      <c r="D121" s="29">
        <f>'14-15 NGET'!D121-'Baseline NGET'!D121</f>
        <v>0</v>
      </c>
      <c r="E121" s="29">
        <f>'14-15 NGET'!E121-'Baseline NGET'!E121</f>
        <v>0</v>
      </c>
      <c r="F121" s="29">
        <f>'14-15 NGET'!F121-'Baseline NGET'!F121</f>
        <v>0</v>
      </c>
      <c r="G121" s="29">
        <f>'14-15 NGET'!G121-'Baseline NGET'!G121</f>
        <v>0</v>
      </c>
      <c r="H121" s="29">
        <f>'14-15 NGET'!H121-'Baseline NGET'!H121</f>
        <v>0</v>
      </c>
      <c r="I121" s="29">
        <f>'14-15 NGET'!I121-'Baseline NGET'!I121</f>
        <v>0</v>
      </c>
      <c r="J121" s="29">
        <f>'14-15 NGET'!J121-'Baseline NGET'!J121</f>
        <v>0</v>
      </c>
      <c r="K121" s="29">
        <f>'14-15 NGET'!K121-'Baseline NGET'!K121</f>
        <v>0</v>
      </c>
      <c r="L121" s="30">
        <f>'14-15 NGET'!L121-'Baseline NGET'!L121</f>
        <v>0</v>
      </c>
      <c r="N121" s="53"/>
    </row>
    <row r="122" spans="1:14">
      <c r="C122" s="19" t="s">
        <v>71</v>
      </c>
      <c r="D122" s="31">
        <f>'14-15 NGET'!D122-'Baseline NGET'!D122</f>
        <v>0</v>
      </c>
      <c r="E122" s="31">
        <f>'14-15 NGET'!E122-'Baseline NGET'!E122</f>
        <v>0</v>
      </c>
      <c r="F122" s="31">
        <f>'14-15 NGET'!F122-'Baseline NGET'!F122</f>
        <v>0</v>
      </c>
      <c r="G122" s="31">
        <f>'14-15 NGET'!G122-'Baseline NGET'!G122</f>
        <v>0</v>
      </c>
      <c r="H122" s="31">
        <f>'14-15 NGET'!H122-'Baseline NGET'!H122</f>
        <v>0</v>
      </c>
      <c r="I122" s="31">
        <f>'14-15 NGET'!I122-'Baseline NGET'!I122</f>
        <v>0</v>
      </c>
      <c r="J122" s="31">
        <f>'14-15 NGET'!J122-'Baseline NGET'!J122</f>
        <v>0</v>
      </c>
      <c r="K122" s="31">
        <f>'14-15 NGET'!K122-'Baseline NGET'!K122</f>
        <v>0</v>
      </c>
      <c r="L122" s="28">
        <f>'14-15 NGET'!L122-'Baseline NGET'!L122</f>
        <v>0</v>
      </c>
    </row>
    <row r="123" spans="1:14">
      <c r="A123" t="s">
        <v>346</v>
      </c>
      <c r="C123" s="17" t="s">
        <v>121</v>
      </c>
      <c r="D123" s="27">
        <f>'14-15 NGET'!D123-'Baseline NGET'!D123</f>
        <v>0</v>
      </c>
      <c r="E123" s="27">
        <f>'14-15 NGET'!E123-'Baseline NGET'!E123</f>
        <v>0</v>
      </c>
      <c r="F123" s="27">
        <f>'14-15 NGET'!F123-'Baseline NGET'!F123</f>
        <v>0</v>
      </c>
      <c r="G123" s="27">
        <f>'14-15 NGET'!G123-'Baseline NGET'!G123</f>
        <v>0</v>
      </c>
      <c r="H123" s="27">
        <f>'14-15 NGET'!H123-'Baseline NGET'!H123</f>
        <v>0</v>
      </c>
      <c r="I123" s="27">
        <f>'14-15 NGET'!I123-'Baseline NGET'!I123</f>
        <v>0</v>
      </c>
      <c r="J123" s="27">
        <f>'14-15 NGET'!J123-'Baseline NGET'!J123</f>
        <v>0</v>
      </c>
      <c r="K123" s="27">
        <f>'14-15 NGET'!K123-'Baseline NGET'!K123</f>
        <v>0</v>
      </c>
      <c r="L123" s="27">
        <f>'14-15 NGET'!L123-'Baseline NGET'!L123</f>
        <v>0</v>
      </c>
    </row>
    <row r="124" spans="1:14">
      <c r="C124" s="18" t="s">
        <v>387</v>
      </c>
      <c r="D124" s="29">
        <f>'14-15 NGET'!D124-'Baseline NGET'!D124</f>
        <v>0</v>
      </c>
      <c r="E124" s="29">
        <f>'14-15 NGET'!E124-'Baseline NGET'!E124</f>
        <v>0</v>
      </c>
      <c r="F124" s="29">
        <f>'14-15 NGET'!F124-'Baseline NGET'!F124</f>
        <v>0</v>
      </c>
      <c r="G124" s="29">
        <f>'14-15 NGET'!G124-'Baseline NGET'!G124</f>
        <v>0</v>
      </c>
      <c r="H124" s="29">
        <f>'14-15 NGET'!H124-'Baseline NGET'!H124</f>
        <v>0</v>
      </c>
      <c r="I124" s="29">
        <f>'14-15 NGET'!I124-'Baseline NGET'!I124</f>
        <v>0</v>
      </c>
      <c r="J124" s="29">
        <f>'14-15 NGET'!J124-'Baseline NGET'!J124</f>
        <v>0</v>
      </c>
      <c r="K124" s="29">
        <f>'14-15 NGET'!K124-'Baseline NGET'!K124</f>
        <v>0</v>
      </c>
      <c r="L124" s="29">
        <f>'14-15 NGET'!L124-'Baseline NGET'!L124</f>
        <v>0</v>
      </c>
    </row>
    <row r="125" spans="1:14">
      <c r="C125" s="19" t="s">
        <v>77</v>
      </c>
      <c r="D125" s="31">
        <f>'14-15 NGET'!D125-'Baseline NGET'!D125</f>
        <v>0</v>
      </c>
      <c r="E125" s="31">
        <f>'14-15 NGET'!E125-'Baseline NGET'!E125</f>
        <v>0</v>
      </c>
      <c r="F125" s="31">
        <f>'14-15 NGET'!F125-'Baseline NGET'!F125</f>
        <v>0</v>
      </c>
      <c r="G125" s="31">
        <f>'14-15 NGET'!G125-'Baseline NGET'!G125</f>
        <v>0</v>
      </c>
      <c r="H125" s="31">
        <f>'14-15 NGET'!H125-'Baseline NGET'!H125</f>
        <v>0</v>
      </c>
      <c r="I125" s="31">
        <f>'14-15 NGET'!I125-'Baseline NGET'!I125</f>
        <v>0</v>
      </c>
      <c r="J125" s="31">
        <f>'14-15 NGET'!J125-'Baseline NGET'!J125</f>
        <v>0</v>
      </c>
      <c r="K125" s="31">
        <f>'14-15 NGET'!K125-'Baseline NGET'!K125</f>
        <v>0</v>
      </c>
      <c r="L125" s="31">
        <f>'14-15 NGET'!L125-'Baseline NGET'!L125</f>
        <v>0</v>
      </c>
    </row>
    <row r="126" spans="1:14">
      <c r="A126" t="s">
        <v>233</v>
      </c>
      <c r="C126" s="17" t="s">
        <v>388</v>
      </c>
      <c r="D126" s="27">
        <f>'14-15 NGET'!D126-'Baseline NGET'!D126</f>
        <v>0</v>
      </c>
      <c r="E126" s="27">
        <f>'14-15 NGET'!E126-'Baseline NGET'!E126</f>
        <v>0</v>
      </c>
      <c r="F126" s="27">
        <f>'14-15 NGET'!F126-'Baseline NGET'!F126</f>
        <v>0</v>
      </c>
      <c r="G126" s="27">
        <f>'14-15 NGET'!G126-'Baseline NGET'!G126</f>
        <v>0</v>
      </c>
      <c r="H126" s="27">
        <f>'14-15 NGET'!H126-'Baseline NGET'!H126</f>
        <v>0</v>
      </c>
      <c r="I126" s="27">
        <f>'14-15 NGET'!I126-'Baseline NGET'!I126</f>
        <v>0</v>
      </c>
      <c r="J126" s="27">
        <f>'14-15 NGET'!J126-'Baseline NGET'!J126</f>
        <v>0</v>
      </c>
      <c r="K126" s="27">
        <f>'14-15 NGET'!K126-'Baseline NGET'!K126</f>
        <v>0</v>
      </c>
      <c r="L126" s="27">
        <f>'14-15 NGET'!L126-'Baseline NGET'!L126</f>
        <v>0</v>
      </c>
    </row>
    <row r="127" spans="1:14">
      <c r="C127" s="18" t="s">
        <v>389</v>
      </c>
      <c r="D127" s="29">
        <f>'14-15 NGET'!D127-'Baseline NGET'!D127</f>
        <v>0</v>
      </c>
      <c r="E127" s="29">
        <f>'14-15 NGET'!E127-'Baseline NGET'!E127</f>
        <v>0</v>
      </c>
      <c r="F127" s="29">
        <f>'14-15 NGET'!F127-'Baseline NGET'!F127</f>
        <v>0</v>
      </c>
      <c r="G127" s="29">
        <f>'14-15 NGET'!G127-'Baseline NGET'!G127</f>
        <v>0</v>
      </c>
      <c r="H127" s="29">
        <f>'14-15 NGET'!H127-'Baseline NGET'!H127</f>
        <v>0</v>
      </c>
      <c r="I127" s="29">
        <f>'14-15 NGET'!I127-'Baseline NGET'!I127</f>
        <v>0</v>
      </c>
      <c r="J127" s="29">
        <f>'14-15 NGET'!J127-'Baseline NGET'!J127</f>
        <v>0</v>
      </c>
      <c r="K127" s="29">
        <f>'14-15 NGET'!K127-'Baseline NGET'!K127</f>
        <v>0</v>
      </c>
      <c r="L127" s="29">
        <f>'14-15 NGET'!L127-'Baseline NGET'!L127</f>
        <v>0</v>
      </c>
    </row>
    <row r="128" spans="1:14">
      <c r="C128" s="19" t="s">
        <v>78</v>
      </c>
      <c r="D128" s="31">
        <f>'14-15 NGET'!D128-'Baseline NGET'!D128</f>
        <v>0</v>
      </c>
      <c r="E128" s="31">
        <f>'14-15 NGET'!E128-'Baseline NGET'!E128</f>
        <v>0</v>
      </c>
      <c r="F128" s="31">
        <f>'14-15 NGET'!F128-'Baseline NGET'!F128</f>
        <v>0</v>
      </c>
      <c r="G128" s="31">
        <f>'14-15 NGET'!G128-'Baseline NGET'!G128</f>
        <v>0</v>
      </c>
      <c r="H128" s="31">
        <f>'14-15 NGET'!H128-'Baseline NGET'!H128</f>
        <v>0</v>
      </c>
      <c r="I128" s="31">
        <f>'14-15 NGET'!I128-'Baseline NGET'!I128</f>
        <v>0</v>
      </c>
      <c r="J128" s="31">
        <f>'14-15 NGET'!J128-'Baseline NGET'!J128</f>
        <v>0</v>
      </c>
      <c r="K128" s="31">
        <f>'14-15 NGET'!K128-'Baseline NGET'!K128</f>
        <v>0</v>
      </c>
      <c r="L128" s="31">
        <f>'14-15 NGET'!L128-'Baseline NGET'!L128</f>
        <v>0</v>
      </c>
    </row>
    <row r="129" spans="1:12">
      <c r="C129" s="20"/>
      <c r="D129" s="32"/>
      <c r="E129" s="32"/>
      <c r="F129" s="32"/>
      <c r="G129" s="32"/>
      <c r="H129" s="32"/>
      <c r="I129" s="32"/>
      <c r="J129" s="32"/>
      <c r="K129" s="32"/>
      <c r="L129" s="33"/>
    </row>
    <row r="130" spans="1:12">
      <c r="C130" s="17" t="s">
        <v>79</v>
      </c>
      <c r="D130" s="27">
        <f>'14-15 NGET'!D130-'Baseline NGET'!D130</f>
        <v>0</v>
      </c>
      <c r="E130" s="27">
        <f>'14-15 NGET'!E130-'Baseline NGET'!E130</f>
        <v>0</v>
      </c>
      <c r="F130" s="27">
        <f>'14-15 NGET'!F130-'Baseline NGET'!F130</f>
        <v>0</v>
      </c>
      <c r="G130" s="27">
        <f>'14-15 NGET'!G130-'Baseline NGET'!G130</f>
        <v>0</v>
      </c>
      <c r="H130" s="27">
        <f>'14-15 NGET'!H130-'Baseline NGET'!H130</f>
        <v>0</v>
      </c>
      <c r="I130" s="27">
        <f>'14-15 NGET'!I130-'Baseline NGET'!I130</f>
        <v>0</v>
      </c>
      <c r="J130" s="27">
        <f>'14-15 NGET'!J130-'Baseline NGET'!J130</f>
        <v>0</v>
      </c>
      <c r="K130" s="27">
        <f>'14-15 NGET'!K130-'Baseline NGET'!K130</f>
        <v>0</v>
      </c>
      <c r="L130" s="28">
        <f>'14-15 NGET'!L130-'Baseline NGET'!L130</f>
        <v>0</v>
      </c>
    </row>
    <row r="131" spans="1:12">
      <c r="C131" s="18" t="s">
        <v>80</v>
      </c>
      <c r="D131" s="29">
        <f>'14-15 NGET'!D131-'Baseline NGET'!D131</f>
        <v>0</v>
      </c>
      <c r="E131" s="29">
        <f>'14-15 NGET'!E131-'Baseline NGET'!E131</f>
        <v>0</v>
      </c>
      <c r="F131" s="29">
        <f>'14-15 NGET'!F131-'Baseline NGET'!F131</f>
        <v>0</v>
      </c>
      <c r="G131" s="29">
        <f>'14-15 NGET'!G131-'Baseline NGET'!G131</f>
        <v>0</v>
      </c>
      <c r="H131" s="29">
        <f>'14-15 NGET'!H131-'Baseline NGET'!H131</f>
        <v>0</v>
      </c>
      <c r="I131" s="29">
        <f>'14-15 NGET'!I131-'Baseline NGET'!I131</f>
        <v>0</v>
      </c>
      <c r="J131" s="29">
        <f>'14-15 NGET'!J131-'Baseline NGET'!J131</f>
        <v>0</v>
      </c>
      <c r="K131" s="29">
        <f>'14-15 NGET'!K131-'Baseline NGET'!K131</f>
        <v>0</v>
      </c>
      <c r="L131" s="30">
        <f>'14-15 NGET'!L131-'Baseline NGET'!L131</f>
        <v>0</v>
      </c>
    </row>
    <row r="132" spans="1:12" ht="13.8" thickBot="1">
      <c r="C132" s="21" t="s">
        <v>390</v>
      </c>
      <c r="D132" s="34">
        <f>'14-15 NGET'!D132-'Baseline NGET'!D132</f>
        <v>0</v>
      </c>
      <c r="E132" s="34">
        <f>'14-15 NGET'!E132-'Baseline NGET'!E132</f>
        <v>0</v>
      </c>
      <c r="F132" s="34">
        <f>'14-15 NGET'!F132-'Baseline NGET'!F132</f>
        <v>0</v>
      </c>
      <c r="G132" s="34">
        <f>'14-15 NGET'!G132-'Baseline NGET'!G132</f>
        <v>0</v>
      </c>
      <c r="H132" s="34">
        <f>'14-15 NGET'!H132-'Baseline NGET'!H132</f>
        <v>0</v>
      </c>
      <c r="I132" s="34">
        <f>'14-15 NGET'!I132-'Baseline NGET'!I132</f>
        <v>0</v>
      </c>
      <c r="J132" s="34">
        <f>'14-15 NGET'!J132-'Baseline NGET'!J132</f>
        <v>0</v>
      </c>
      <c r="K132" s="34">
        <f>'14-15 NGET'!K132-'Baseline NGET'!K132</f>
        <v>0</v>
      </c>
      <c r="L132" s="35">
        <f>'14-15 NGET'!L132-'Baseline NGET'!L132</f>
        <v>0</v>
      </c>
    </row>
    <row r="134" spans="1:12" ht="13.8" thickBot="1">
      <c r="A134" s="38" t="s">
        <v>375</v>
      </c>
    </row>
    <row r="135" spans="1:12" ht="13.8" thickBot="1">
      <c r="C135" s="7" t="s">
        <v>58</v>
      </c>
      <c r="D135" s="8" t="s">
        <v>59</v>
      </c>
      <c r="E135" s="8" t="s">
        <v>60</v>
      </c>
      <c r="F135" s="8" t="s">
        <v>61</v>
      </c>
      <c r="G135" s="8" t="s">
        <v>62</v>
      </c>
      <c r="H135" s="8" t="s">
        <v>63</v>
      </c>
      <c r="I135" s="8" t="s">
        <v>64</v>
      </c>
      <c r="J135" s="8" t="s">
        <v>65</v>
      </c>
      <c r="K135" s="8" t="s">
        <v>66</v>
      </c>
    </row>
    <row r="136" spans="1:12">
      <c r="C136" s="22" t="s">
        <v>79</v>
      </c>
      <c r="D136" s="41">
        <f>'14-15 NGET'!D136-'Baseline NGET'!D136</f>
        <v>0</v>
      </c>
      <c r="E136" s="41">
        <f>'14-15 NGET'!E136-'Baseline NGET'!E136</f>
        <v>0</v>
      </c>
      <c r="F136" s="41">
        <f>'14-15 NGET'!F136-'Baseline NGET'!F136</f>
        <v>0</v>
      </c>
      <c r="G136" s="41">
        <f>'14-15 NGET'!G136-'Baseline NGET'!G136</f>
        <v>0</v>
      </c>
      <c r="H136" s="41">
        <f>'14-15 NGET'!H136-'Baseline NGET'!H136</f>
        <v>0</v>
      </c>
      <c r="I136" s="41">
        <f>'14-15 NGET'!I136-'Baseline NGET'!I136</f>
        <v>0</v>
      </c>
      <c r="J136" s="41">
        <f>'14-15 NGET'!J136-'Baseline NGET'!J136</f>
        <v>0</v>
      </c>
      <c r="K136" s="41">
        <f>'14-15 NGET'!K136-'Baseline NGET'!K136</f>
        <v>0</v>
      </c>
      <c r="L136" s="28"/>
    </row>
    <row r="137" spans="1:12">
      <c r="C137" s="10" t="s">
        <v>98</v>
      </c>
      <c r="D137" s="42">
        <f>'14-15 NGET'!D137-'Baseline NGET'!D137</f>
        <v>0</v>
      </c>
      <c r="E137" s="42">
        <f>'14-15 NGET'!E137-'Baseline NGET'!E137</f>
        <v>0</v>
      </c>
      <c r="F137" s="42">
        <f>'14-15 NGET'!F137-'Baseline NGET'!F137</f>
        <v>0</v>
      </c>
      <c r="G137" s="42">
        <f>'14-15 NGET'!G137-'Baseline NGET'!G137</f>
        <v>0</v>
      </c>
      <c r="H137" s="42">
        <f>'14-15 NGET'!H137-'Baseline NGET'!H137</f>
        <v>0</v>
      </c>
      <c r="I137" s="42">
        <f>'14-15 NGET'!I137-'Baseline NGET'!I137</f>
        <v>0</v>
      </c>
      <c r="J137" s="42">
        <f>'14-15 NGET'!J137-'Baseline NGET'!J137</f>
        <v>0</v>
      </c>
      <c r="K137" s="42">
        <f>'14-15 NGET'!K137-'Baseline NGET'!K137</f>
        <v>0</v>
      </c>
      <c r="L137" s="28"/>
    </row>
    <row r="138" spans="1:12">
      <c r="C138" s="11" t="s">
        <v>99</v>
      </c>
      <c r="D138" s="43">
        <f>'14-15 NGET'!D138-'Baseline NGET'!D138</f>
        <v>0</v>
      </c>
      <c r="E138" s="43">
        <f>'14-15 NGET'!E138-'Baseline NGET'!E138</f>
        <v>0</v>
      </c>
      <c r="F138" s="43">
        <f>'14-15 NGET'!F138-'Baseline NGET'!F138</f>
        <v>0</v>
      </c>
      <c r="G138" s="43">
        <f>'14-15 NGET'!G138-'Baseline NGET'!G138</f>
        <v>0</v>
      </c>
      <c r="H138" s="43">
        <f>'14-15 NGET'!H138-'Baseline NGET'!H138</f>
        <v>0</v>
      </c>
      <c r="I138" s="43">
        <f>'14-15 NGET'!I138-'Baseline NGET'!I138</f>
        <v>0</v>
      </c>
      <c r="J138" s="43">
        <f>'14-15 NGET'!J138-'Baseline NGET'!J138</f>
        <v>0</v>
      </c>
      <c r="K138" s="43">
        <f>'14-15 NGET'!K138-'Baseline NGET'!K138</f>
        <v>0</v>
      </c>
      <c r="L138" s="28"/>
    </row>
    <row r="139" spans="1:12">
      <c r="C139" s="10" t="s">
        <v>100</v>
      </c>
      <c r="D139" s="42">
        <f>'14-15 NGET'!D139-'Baseline NGET'!D139</f>
        <v>0</v>
      </c>
      <c r="E139" s="42">
        <f>'14-15 NGET'!E139-'Baseline NGET'!E139</f>
        <v>0</v>
      </c>
      <c r="F139" s="42">
        <f>'14-15 NGET'!F139-'Baseline NGET'!F139</f>
        <v>0</v>
      </c>
      <c r="G139" s="42">
        <f>'14-15 NGET'!G139-'Baseline NGET'!G139</f>
        <v>0</v>
      </c>
      <c r="H139" s="42">
        <f>'14-15 NGET'!H139-'Baseline NGET'!H139</f>
        <v>0</v>
      </c>
      <c r="I139" s="42">
        <f>'14-15 NGET'!I139-'Baseline NGET'!I139</f>
        <v>0</v>
      </c>
      <c r="J139" s="42">
        <f>'14-15 NGET'!J139-'Baseline NGET'!J139</f>
        <v>0</v>
      </c>
      <c r="K139" s="42">
        <f>'14-15 NGET'!K139-'Baseline NGET'!K139</f>
        <v>0</v>
      </c>
      <c r="L139" s="28"/>
    </row>
    <row r="140" spans="1:12">
      <c r="C140" s="11" t="s">
        <v>101</v>
      </c>
      <c r="D140" s="43">
        <f>'14-15 NGET'!D140-'Baseline NGET'!D140</f>
        <v>0</v>
      </c>
      <c r="E140" s="43">
        <f>'14-15 NGET'!E140-'Baseline NGET'!E140</f>
        <v>0</v>
      </c>
      <c r="F140" s="43">
        <f>'14-15 NGET'!F140-'Baseline NGET'!F140</f>
        <v>0</v>
      </c>
      <c r="G140" s="43">
        <f>'14-15 NGET'!G140-'Baseline NGET'!G140</f>
        <v>0</v>
      </c>
      <c r="H140" s="43">
        <f>'14-15 NGET'!H140-'Baseline NGET'!H140</f>
        <v>0</v>
      </c>
      <c r="I140" s="43">
        <f>'14-15 NGET'!I140-'Baseline NGET'!I140</f>
        <v>0</v>
      </c>
      <c r="J140" s="43">
        <f>'14-15 NGET'!J140-'Baseline NGET'!J140</f>
        <v>0</v>
      </c>
      <c r="K140" s="43">
        <f>'14-15 NGET'!K140-'Baseline NGET'!K140</f>
        <v>0</v>
      </c>
      <c r="L140" s="28"/>
    </row>
    <row r="141" spans="1:12">
      <c r="C141" s="10" t="s">
        <v>102</v>
      </c>
      <c r="D141" s="42">
        <f>'14-15 NGET'!D141-'Baseline NGET'!D141</f>
        <v>2.679977163561853E-2</v>
      </c>
      <c r="E141" s="42">
        <f>'14-15 NGET'!E141-'Baseline NGET'!E141</f>
        <v>0.11573468783355101</v>
      </c>
      <c r="F141" s="42">
        <f>'14-15 NGET'!F141-'Baseline NGET'!F141</f>
        <v>0.11677526037208605</v>
      </c>
      <c r="G141" s="42">
        <f>'14-15 NGET'!G141-'Baseline NGET'!G141</f>
        <v>0.11513695907823594</v>
      </c>
      <c r="H141" s="42">
        <f>'14-15 NGET'!H141-'Baseline NGET'!H141</f>
        <v>0.11581666903610111</v>
      </c>
      <c r="I141" s="42">
        <f>'14-15 NGET'!I141-'Baseline NGET'!I141</f>
        <v>3.2231891574056641E-2</v>
      </c>
      <c r="J141" s="42">
        <f>'14-15 NGET'!J141-'Baseline NGET'!J141</f>
        <v>0.13437712194093954</v>
      </c>
      <c r="K141" s="42">
        <f>'14-15 NGET'!K141-'Baseline NGET'!K141</f>
        <v>0.11713282776345157</v>
      </c>
      <c r="L141" s="28"/>
    </row>
    <row r="142" spans="1:12">
      <c r="C142" s="11" t="s">
        <v>103</v>
      </c>
      <c r="D142" s="43">
        <f>'14-15 NGET'!D142-'Baseline NGET'!D142</f>
        <v>6.3786616674708085E-2</v>
      </c>
      <c r="E142" s="43">
        <f>'14-15 NGET'!E142-'Baseline NGET'!E142</f>
        <v>0.42686049976756379</v>
      </c>
      <c r="F142" s="43">
        <f>'14-15 NGET'!F142-'Baseline NGET'!F142</f>
        <v>0.39723100666205369</v>
      </c>
      <c r="G142" s="43">
        <f>'14-15 NGET'!G142-'Baseline NGET'!G142</f>
        <v>0.37123854392682887</v>
      </c>
      <c r="H142" s="43">
        <f>'14-15 NGET'!H142-'Baseline NGET'!H142</f>
        <v>0.34782453914277767</v>
      </c>
      <c r="I142" s="43">
        <f>'14-15 NGET'!I142-'Baseline NGET'!I142</f>
        <v>0.32784642168018507</v>
      </c>
      <c r="J142" s="43">
        <f>'14-15 NGET'!J142-'Baseline NGET'!J142</f>
        <v>0.30999429083329488</v>
      </c>
      <c r="K142" s="43">
        <f>'14-15 NGET'!K142-'Baseline NGET'!K142</f>
        <v>0.29148106060498691</v>
      </c>
      <c r="L142" s="28"/>
    </row>
    <row r="143" spans="1:12">
      <c r="C143" s="11" t="s">
        <v>169</v>
      </c>
      <c r="D143" s="43">
        <f>'14-15 NGET'!D143-'Baseline NGET'!D143</f>
        <v>1.4705904546741335</v>
      </c>
      <c r="E143" s="43">
        <f>'14-15 NGET'!E143-'Baseline NGET'!E143</f>
        <v>1.5357670236252909</v>
      </c>
      <c r="F143" s="43">
        <f>'14-15 NGET'!F143-'Baseline NGET'!F143</f>
        <v>1.6038322181123639</v>
      </c>
      <c r="G143" s="43">
        <f>'14-15 NGET'!G143-'Baseline NGET'!G143</f>
        <v>1.6749140620191034</v>
      </c>
      <c r="H143" s="43">
        <f>'14-15 NGET'!H143-'Baseline NGET'!H143</f>
        <v>1.7491462532477902</v>
      </c>
      <c r="I143" s="43">
        <f>'14-15 NGET'!I143-'Baseline NGET'!I143</f>
        <v>1.8266684151917321</v>
      </c>
      <c r="J143" s="43">
        <f>'14-15 NGET'!J143-'Baseline NGET'!J143</f>
        <v>1.9076263593530294</v>
      </c>
      <c r="K143" s="43">
        <f>'14-15 NGET'!K143-'Baseline NGET'!K143</f>
        <v>1.9921723595995553</v>
      </c>
      <c r="L143" s="28"/>
    </row>
    <row r="144" spans="1:12" ht="13.8" thickBot="1">
      <c r="C144" s="13" t="s">
        <v>107</v>
      </c>
      <c r="D144" s="52">
        <f>'14-15 NGET'!D144-'Baseline NGET'!D144</f>
        <v>1.5611768429844659</v>
      </c>
      <c r="E144" s="52">
        <f>'14-15 NGET'!E144-'Baseline NGET'!E144</f>
        <v>2.0783622112264055</v>
      </c>
      <c r="F144" s="52">
        <f>'14-15 NGET'!F144-'Baseline NGET'!F144</f>
        <v>2.1178384851465069</v>
      </c>
      <c r="G144" s="52">
        <f>'14-15 NGET'!G144-'Baseline NGET'!G144</f>
        <v>2.1612895650241484</v>
      </c>
      <c r="H144" s="52">
        <f>'14-15 NGET'!H144-'Baseline NGET'!H144</f>
        <v>2.2127874614266574</v>
      </c>
      <c r="I144" s="52">
        <f>'14-15 NGET'!I144-'Baseline NGET'!I144</f>
        <v>2.1867467284459821</v>
      </c>
      <c r="J144" s="52">
        <f>'14-15 NGET'!J144-'Baseline NGET'!J144</f>
        <v>2.3519977721272625</v>
      </c>
      <c r="K144" s="52">
        <f>'14-15 NGET'!K144-'Baseline NGET'!K144</f>
        <v>2.400786247968</v>
      </c>
      <c r="L144" s="28"/>
    </row>
    <row r="145" spans="4:12">
      <c r="D145" s="53"/>
      <c r="E145" s="53"/>
      <c r="F145" s="53"/>
      <c r="G145" s="53"/>
      <c r="H145" s="53"/>
      <c r="I145" s="53"/>
      <c r="J145" s="53"/>
      <c r="K145" s="53"/>
      <c r="L145" s="53"/>
    </row>
    <row r="146" spans="4:12">
      <c r="D146" t="s">
        <v>397</v>
      </c>
      <c r="E146" s="53">
        <f>D144*1.04552+E144</f>
        <v>3.7106038241035244</v>
      </c>
    </row>
    <row r="147" spans="4:12">
      <c r="D147" t="s">
        <v>201</v>
      </c>
      <c r="E147" s="53">
        <f>E146-'ET workings 14-15'!E233</f>
        <v>-4.8849813083506888E-15</v>
      </c>
    </row>
  </sheetData>
  <pageMargins left="0.7" right="0.7" top="0.75" bottom="0.75"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AM147"/>
  <sheetViews>
    <sheetView workbookViewId="0">
      <pane xSplit="3" topLeftCell="D1" activePane="topRight" state="frozen"/>
      <selection activeCell="H35" sqref="H35"/>
      <selection pane="topRight" activeCell="H35" sqref="H35"/>
    </sheetView>
  </sheetViews>
  <sheetFormatPr defaultRowHeight="13.2"/>
  <cols>
    <col min="2" max="2" width="1.6640625" customWidth="1"/>
    <col min="3" max="3" width="38.88671875" customWidth="1"/>
    <col min="4" max="4" width="11.88671875" customWidth="1"/>
    <col min="5" max="5" width="12.44140625" customWidth="1"/>
    <col min="6" max="12" width="10.6640625" customWidth="1"/>
    <col min="14" max="14" width="10.5546875" customWidth="1"/>
    <col min="19" max="19" width="32.109375" bestFit="1" customWidth="1"/>
  </cols>
  <sheetData>
    <row r="1" spans="1:24" ht="13.8" thickBot="1"/>
    <row r="2" spans="1:24" ht="63" thickBot="1">
      <c r="A2" s="38" t="s">
        <v>381</v>
      </c>
      <c r="C2" s="1" t="s">
        <v>384</v>
      </c>
      <c r="D2" s="2" t="s">
        <v>40</v>
      </c>
      <c r="E2" s="47" t="s">
        <v>41</v>
      </c>
      <c r="G2" s="112" t="s">
        <v>362</v>
      </c>
      <c r="H2" s="113" t="str">
        <f>RPI!$B$1</f>
        <v>Updated Oct 2019</v>
      </c>
      <c r="S2" s="1" t="s">
        <v>384</v>
      </c>
      <c r="T2" s="2" t="s">
        <v>40</v>
      </c>
      <c r="U2" s="47" t="s">
        <v>41</v>
      </c>
    </row>
    <row r="3" spans="1:24" ht="15.6" thickBot="1">
      <c r="C3" s="4" t="s">
        <v>42</v>
      </c>
      <c r="D3" s="64">
        <f>'15-16 NGET'!D3-'14-15 NGET'!D3</f>
        <v>0</v>
      </c>
      <c r="E3" s="232">
        <f>'15-16 NGET'!E3-'14-15 NGET'!E3</f>
        <v>0</v>
      </c>
      <c r="S3" s="142" t="s">
        <v>385</v>
      </c>
      <c r="T3" s="148">
        <v>11.7</v>
      </c>
      <c r="U3" s="149">
        <v>9</v>
      </c>
      <c r="W3" s="53">
        <f>D3-T3</f>
        <v>-11.7</v>
      </c>
      <c r="X3" s="53">
        <f t="shared" ref="X3:X20" si="0">E3-U3</f>
        <v>-9</v>
      </c>
    </row>
    <row r="4" spans="1:24" ht="15.6" thickBot="1">
      <c r="C4" s="3" t="s">
        <v>43</v>
      </c>
      <c r="D4" s="62">
        <f>'15-16 NGET'!D4-'14-15 NGET'!D4</f>
        <v>0</v>
      </c>
      <c r="E4" s="63">
        <f>'15-16 NGET'!E4-'14-15 NGET'!E4</f>
        <v>0</v>
      </c>
      <c r="S4" s="142"/>
      <c r="T4" s="148"/>
      <c r="U4" s="149"/>
      <c r="W4" s="53"/>
      <c r="X4" s="53"/>
    </row>
    <row r="5" spans="1:24" ht="15.6" thickBot="1">
      <c r="C5" s="4" t="s">
        <v>44</v>
      </c>
      <c r="D5" s="64">
        <f>'15-16 NGET'!D5-'14-15 NGET'!D5</f>
        <v>-0.44652962323013323</v>
      </c>
      <c r="E5" s="232">
        <f>'15-16 NGET'!E5-'14-15 NGET'!E5</f>
        <v>-0.35476466454057665</v>
      </c>
      <c r="S5" s="143" t="s">
        <v>44</v>
      </c>
      <c r="T5" s="150">
        <v>3.3</v>
      </c>
      <c r="U5" s="149">
        <v>2.6</v>
      </c>
      <c r="W5" s="53">
        <f t="shared" ref="W5:W20" si="1">D5-T5</f>
        <v>-3.7465296232301331</v>
      </c>
      <c r="X5" s="53">
        <f t="shared" si="0"/>
        <v>-2.9547646645405767</v>
      </c>
    </row>
    <row r="6" spans="1:24" ht="15.6" thickBot="1">
      <c r="C6" s="3" t="s">
        <v>45</v>
      </c>
      <c r="D6" s="62">
        <f>'15-16 NGET'!D6-'14-15 NGET'!D6</f>
        <v>0</v>
      </c>
      <c r="E6" s="63">
        <f>'15-16 NGET'!E6-'14-15 NGET'!E6</f>
        <v>0</v>
      </c>
      <c r="S6" s="142" t="s">
        <v>45</v>
      </c>
      <c r="T6" s="148">
        <v>0.1</v>
      </c>
      <c r="U6" s="149">
        <v>0.1</v>
      </c>
      <c r="W6" s="53">
        <f t="shared" si="1"/>
        <v>-0.1</v>
      </c>
      <c r="X6" s="53">
        <f t="shared" si="0"/>
        <v>-0.1</v>
      </c>
    </row>
    <row r="7" spans="1:24" ht="15.6" thickBot="1">
      <c r="C7" s="4" t="s">
        <v>46</v>
      </c>
      <c r="D7" s="64">
        <f>'15-16 NGET'!D7-'14-15 NGET'!D7</f>
        <v>0</v>
      </c>
      <c r="E7" s="232">
        <f>'15-16 NGET'!E7-'14-15 NGET'!E7</f>
        <v>0</v>
      </c>
      <c r="S7" s="143" t="s">
        <v>46</v>
      </c>
      <c r="T7" s="150">
        <v>1.9</v>
      </c>
      <c r="U7" s="149">
        <v>1.4</v>
      </c>
      <c r="W7" s="53">
        <f t="shared" si="1"/>
        <v>-1.9</v>
      </c>
      <c r="X7" s="53">
        <f t="shared" si="0"/>
        <v>-1.4</v>
      </c>
    </row>
    <row r="8" spans="1:24" ht="15.6" thickBot="1">
      <c r="C8" s="3" t="s">
        <v>47</v>
      </c>
      <c r="D8" s="62">
        <f>'15-16 NGET'!D8-'14-15 NGET'!D8</f>
        <v>-0.30995244707176339</v>
      </c>
      <c r="E8" s="63">
        <f>'15-16 NGET'!E8-'14-15 NGET'!E8</f>
        <v>-0.26559764102121969</v>
      </c>
      <c r="S8" s="143"/>
      <c r="T8" s="150"/>
      <c r="U8" s="149"/>
      <c r="W8" s="53"/>
      <c r="X8" s="53"/>
    </row>
    <row r="9" spans="1:24" ht="16.2" thickBot="1">
      <c r="C9" s="5" t="s">
        <v>48</v>
      </c>
      <c r="D9" s="67">
        <f>'15-16 NGET'!D9-'14-15 NGET'!D9</f>
        <v>-0.75648207030189774</v>
      </c>
      <c r="E9" s="233">
        <f>'15-16 NGET'!E9-'14-15 NGET'!E9</f>
        <v>-0.62036230556179639</v>
      </c>
      <c r="S9" s="144" t="s">
        <v>48</v>
      </c>
      <c r="T9" s="151">
        <v>17</v>
      </c>
      <c r="U9" s="152">
        <v>13.1</v>
      </c>
      <c r="W9" s="53">
        <f t="shared" si="1"/>
        <v>-17.7564820703019</v>
      </c>
      <c r="X9" s="53">
        <f t="shared" si="0"/>
        <v>-13.720362305561796</v>
      </c>
    </row>
    <row r="10" spans="1:24" ht="15.6" thickBot="1">
      <c r="C10" s="3" t="s">
        <v>52</v>
      </c>
      <c r="D10" s="62">
        <f>'15-16 NGET'!D10-'14-15 NGET'!D10</f>
        <v>0</v>
      </c>
      <c r="E10" s="63">
        <f>'15-16 NGET'!E10-'14-15 NGET'!E10</f>
        <v>0</v>
      </c>
      <c r="S10" s="143" t="s">
        <v>52</v>
      </c>
      <c r="T10" s="150">
        <v>1</v>
      </c>
      <c r="U10" s="149">
        <v>0.9</v>
      </c>
      <c r="W10" s="53">
        <f t="shared" si="1"/>
        <v>-1</v>
      </c>
      <c r="X10" s="53">
        <f t="shared" si="0"/>
        <v>-0.9</v>
      </c>
    </row>
    <row r="11" spans="1:24" ht="15.6" thickBot="1">
      <c r="C11" s="4"/>
      <c r="D11" s="64"/>
      <c r="E11" s="232"/>
      <c r="S11" s="145"/>
      <c r="T11" s="153"/>
      <c r="U11" s="154"/>
      <c r="W11" s="53">
        <f t="shared" si="1"/>
        <v>0</v>
      </c>
      <c r="X11" s="53">
        <f t="shared" si="0"/>
        <v>0</v>
      </c>
    </row>
    <row r="12" spans="1:24" ht="15.6" thickBot="1">
      <c r="C12" s="3" t="s">
        <v>49</v>
      </c>
      <c r="D12" s="62">
        <f>'15-16 NGET'!D12-'14-15 NGET'!D12</f>
        <v>0</v>
      </c>
      <c r="E12" s="63">
        <f>'15-16 NGET'!E12-'14-15 NGET'!E12</f>
        <v>0</v>
      </c>
      <c r="S12" s="143" t="s">
        <v>138</v>
      </c>
      <c r="T12" s="150">
        <v>0.3</v>
      </c>
      <c r="U12" s="149">
        <v>0.2</v>
      </c>
      <c r="W12" s="53">
        <f t="shared" si="1"/>
        <v>-0.3</v>
      </c>
      <c r="X12" s="53">
        <f t="shared" si="0"/>
        <v>-0.2</v>
      </c>
    </row>
    <row r="13" spans="1:24" ht="15.6" thickBot="1">
      <c r="C13" s="4" t="s">
        <v>46</v>
      </c>
      <c r="D13" s="64">
        <f>'15-16 NGET'!D13-'14-15 NGET'!D13</f>
        <v>0</v>
      </c>
      <c r="E13" s="232">
        <f>'15-16 NGET'!E13-'14-15 NGET'!E13</f>
        <v>0</v>
      </c>
      <c r="S13" s="142" t="s">
        <v>46</v>
      </c>
      <c r="T13" s="148">
        <v>0.7</v>
      </c>
      <c r="U13" s="149">
        <v>0.6</v>
      </c>
      <c r="W13" s="53">
        <f t="shared" si="1"/>
        <v>-0.7</v>
      </c>
      <c r="X13" s="53">
        <f t="shared" si="0"/>
        <v>-0.6</v>
      </c>
    </row>
    <row r="14" spans="1:24" ht="15.6" thickBot="1">
      <c r="C14" s="3" t="s">
        <v>47</v>
      </c>
      <c r="D14" s="62">
        <f>'15-16 NGET'!D14-'14-15 NGET'!D14</f>
        <v>-6.7604041682769382E-4</v>
      </c>
      <c r="E14" s="63">
        <f>'15-16 NGET'!E14-'14-15 NGET'!E14</f>
        <v>-5.7929770079493889E-4</v>
      </c>
      <c r="S14" s="142"/>
      <c r="T14" s="148"/>
      <c r="U14" s="149"/>
      <c r="W14" s="53"/>
      <c r="X14" s="53"/>
    </row>
    <row r="15" spans="1:24" ht="16.2" thickBot="1">
      <c r="C15" s="5" t="s">
        <v>50</v>
      </c>
      <c r="D15" s="67">
        <f>'15-16 NGET'!D15-'14-15 NGET'!D15</f>
        <v>-6.7604041682778337E-4</v>
      </c>
      <c r="E15" s="233">
        <f>'15-16 NGET'!E15-'14-15 NGET'!E15</f>
        <v>-5.7929770079490073E-4</v>
      </c>
      <c r="S15" s="146" t="s">
        <v>50</v>
      </c>
      <c r="T15" s="155">
        <v>1</v>
      </c>
      <c r="U15" s="152">
        <v>0.8</v>
      </c>
      <c r="W15" s="53">
        <f t="shared" si="1"/>
        <v>-1.0006760404168278</v>
      </c>
      <c r="X15" s="53">
        <f t="shared" si="0"/>
        <v>-0.80057929770079495</v>
      </c>
    </row>
    <row r="16" spans="1:24" ht="15.6" thickBot="1">
      <c r="C16" s="3"/>
      <c r="D16" s="62"/>
      <c r="E16" s="63"/>
      <c r="S16" s="147"/>
      <c r="T16" s="153"/>
      <c r="U16" s="154"/>
      <c r="W16" s="53">
        <f t="shared" si="1"/>
        <v>0</v>
      </c>
      <c r="X16" s="53">
        <f t="shared" si="0"/>
        <v>0</v>
      </c>
    </row>
    <row r="17" spans="1:24" ht="16.2" thickBot="1">
      <c r="C17" s="5" t="s">
        <v>153</v>
      </c>
      <c r="D17" s="67">
        <f>'15-16 NGET'!D17-'14-15 NGET'!D17</f>
        <v>-0.7571581107187253</v>
      </c>
      <c r="E17" s="233">
        <f>'15-16 NGET'!E17-'14-15 NGET'!E17</f>
        <v>-0.62094160326259207</v>
      </c>
      <c r="S17" s="146" t="s">
        <v>153</v>
      </c>
      <c r="T17" s="155">
        <v>18</v>
      </c>
      <c r="U17" s="152">
        <v>13.9</v>
      </c>
      <c r="W17" s="53">
        <f t="shared" si="1"/>
        <v>-18.757158110718727</v>
      </c>
      <c r="X17" s="53">
        <f t="shared" si="0"/>
        <v>-14.520941603262592</v>
      </c>
    </row>
    <row r="18" spans="1:24" ht="15.6" thickBot="1">
      <c r="C18" s="3"/>
      <c r="D18" s="62"/>
      <c r="E18" s="63"/>
      <c r="S18" s="147"/>
      <c r="T18" s="153"/>
      <c r="U18" s="154"/>
      <c r="W18" s="53">
        <f t="shared" si="1"/>
        <v>0</v>
      </c>
      <c r="X18" s="53">
        <f t="shared" si="0"/>
        <v>0</v>
      </c>
    </row>
    <row r="19" spans="1:24" ht="16.2" thickBot="1">
      <c r="C19" s="5" t="s">
        <v>53</v>
      </c>
      <c r="D19" s="67">
        <f>'15-16 NGET'!D19-'14-15 NGET'!D19</f>
        <v>0</v>
      </c>
      <c r="E19" s="233">
        <f>'15-16 NGET'!E19-'14-15 NGET'!E19</f>
        <v>0</v>
      </c>
      <c r="S19" s="146" t="s">
        <v>53</v>
      </c>
      <c r="T19" s="155">
        <v>10.3</v>
      </c>
      <c r="U19" s="152">
        <v>8.9</v>
      </c>
      <c r="W19" s="53">
        <f t="shared" si="1"/>
        <v>-10.3</v>
      </c>
      <c r="X19" s="53">
        <f t="shared" si="0"/>
        <v>-8.9</v>
      </c>
    </row>
    <row r="20" spans="1:24" ht="16.2" thickBot="1">
      <c r="C20" s="6" t="s">
        <v>54</v>
      </c>
      <c r="D20" s="65">
        <f>'15-16 NGET'!D20-'14-15 NGET'!D20</f>
        <v>-0.61398886462596636</v>
      </c>
      <c r="E20" s="66">
        <f>'15-16 NGET'!E20-'14-15 NGET'!E20</f>
        <v>-0.43794489484560728</v>
      </c>
      <c r="S20" s="144" t="s">
        <v>54</v>
      </c>
      <c r="T20" s="151">
        <v>21.4</v>
      </c>
      <c r="U20" s="156">
        <v>14.4</v>
      </c>
      <c r="W20" s="53">
        <f t="shared" si="1"/>
        <v>-22.013988864625965</v>
      </c>
      <c r="X20" s="53">
        <f t="shared" si="0"/>
        <v>-14.837944894845608</v>
      </c>
    </row>
    <row r="23" spans="1:24" ht="13.8" thickBot="1">
      <c r="A23" s="38" t="s">
        <v>360</v>
      </c>
    </row>
    <row r="24" spans="1:24" ht="13.8" thickBot="1">
      <c r="C24" s="14" t="s">
        <v>58</v>
      </c>
      <c r="D24" s="15" t="s">
        <v>59</v>
      </c>
      <c r="E24" s="15" t="s">
        <v>60</v>
      </c>
      <c r="F24" s="15" t="s">
        <v>61</v>
      </c>
      <c r="G24" s="15" t="s">
        <v>62</v>
      </c>
      <c r="H24" s="15" t="s">
        <v>63</v>
      </c>
      <c r="I24" s="15" t="s">
        <v>64</v>
      </c>
      <c r="J24" s="15" t="s">
        <v>65</v>
      </c>
      <c r="K24" s="15" t="s">
        <v>66</v>
      </c>
      <c r="L24" s="15" t="s">
        <v>118</v>
      </c>
    </row>
    <row r="25" spans="1:24">
      <c r="C25" s="16"/>
      <c r="D25" s="26"/>
      <c r="E25" s="26"/>
      <c r="F25" s="26"/>
      <c r="G25" s="26"/>
      <c r="H25" s="26"/>
      <c r="I25" s="26"/>
      <c r="J25" s="26"/>
      <c r="K25" s="26"/>
      <c r="L25" s="26"/>
    </row>
    <row r="26" spans="1:24">
      <c r="A26" t="s">
        <v>338</v>
      </c>
      <c r="C26" s="17" t="s">
        <v>119</v>
      </c>
      <c r="D26" s="27">
        <f>'15-16 NGET'!D26-'14-15 NGET'!D26</f>
        <v>81.999009111431405</v>
      </c>
      <c r="E26" s="27">
        <f>'15-16 NGET'!E26-'14-15 NGET'!E26</f>
        <v>-68.341193021032723</v>
      </c>
      <c r="F26" s="27">
        <f>'15-16 NGET'!F26-'Baseline NGET'!F26</f>
        <v>-88.998078718929264</v>
      </c>
      <c r="G26" s="27">
        <f>'15-16 NGET'!G26-'14-15 NGET'!G26</f>
        <v>-132.51840191204587</v>
      </c>
      <c r="H26" s="27">
        <f>'15-16 NGET'!H26-'14-15 NGET'!H26</f>
        <v>-75.214999999999918</v>
      </c>
      <c r="I26" s="27">
        <f>'15-16 NGET'!I26-'14-15 NGET'!I26</f>
        <v>-40.961000000000013</v>
      </c>
      <c r="J26" s="27">
        <f>'15-16 NGET'!J26-'14-15 NGET'!J26</f>
        <v>-27.455999999999904</v>
      </c>
      <c r="K26" s="27">
        <f>'15-16 NGET'!K26-'14-15 NGET'!K26</f>
        <v>-3.2740000000000009</v>
      </c>
      <c r="L26" s="28">
        <f>'15-16 NGET'!L26-'14-15 NGET'!L26</f>
        <v>-354.76466454057845</v>
      </c>
    </row>
    <row r="27" spans="1:24">
      <c r="C27" s="18" t="s">
        <v>386</v>
      </c>
      <c r="D27" s="29">
        <f>'15-16 NGET'!D27-'14-15 NGET'!D27</f>
        <v>0</v>
      </c>
      <c r="E27" s="29">
        <f>'15-16 NGET'!E27-'14-15 NGET'!E27</f>
        <v>0</v>
      </c>
      <c r="F27" s="29">
        <f>'15-16 NGET'!F27-'14-15 NGET'!F27</f>
        <v>0</v>
      </c>
      <c r="G27" s="29">
        <f>'15-16 NGET'!G27-'14-15 NGET'!G27</f>
        <v>0</v>
      </c>
      <c r="H27" s="29">
        <f>'15-16 NGET'!H27-'14-15 NGET'!H27</f>
        <v>0</v>
      </c>
      <c r="I27" s="29">
        <f>'15-16 NGET'!I27-'14-15 NGET'!I27</f>
        <v>0</v>
      </c>
      <c r="J27" s="29">
        <f>'15-16 NGET'!J27-'14-15 NGET'!J27</f>
        <v>0</v>
      </c>
      <c r="K27" s="29">
        <f>'15-16 NGET'!K27-'14-15 NGET'!K27</f>
        <v>0</v>
      </c>
      <c r="L27" s="30">
        <f>'15-16 NGET'!L27-'14-15 NGET'!L27</f>
        <v>0</v>
      </c>
    </row>
    <row r="28" spans="1:24">
      <c r="C28" s="19" t="s">
        <v>71</v>
      </c>
      <c r="D28" s="31">
        <f>'15-16 NGET'!D28-'14-15 NGET'!D28</f>
        <v>81.999009111431405</v>
      </c>
      <c r="E28" s="31">
        <f>'15-16 NGET'!E28-'14-15 NGET'!E28</f>
        <v>-68.341193021032723</v>
      </c>
      <c r="F28" s="31">
        <f>'15-16 NGET'!F28-'14-15 NGET'!F28</f>
        <v>-88.998078718929264</v>
      </c>
      <c r="G28" s="31">
        <f>'15-16 NGET'!G28-'14-15 NGET'!G28</f>
        <v>-132.51840191204587</v>
      </c>
      <c r="H28" s="31">
        <f>'15-16 NGET'!H28-'14-15 NGET'!H28</f>
        <v>-75.214999999999918</v>
      </c>
      <c r="I28" s="31">
        <f>'15-16 NGET'!I28-'14-15 NGET'!I28</f>
        <v>-40.961000000000013</v>
      </c>
      <c r="J28" s="31">
        <f>'15-16 NGET'!J28-'14-15 NGET'!J28</f>
        <v>-27.455999999999904</v>
      </c>
      <c r="K28" s="31">
        <f>'15-16 NGET'!K28-'14-15 NGET'!K28</f>
        <v>-3.2740000000000009</v>
      </c>
      <c r="L28" s="28">
        <f>'15-16 NGET'!L28-'14-15 NGET'!L28</f>
        <v>-354.76466454057481</v>
      </c>
    </row>
    <row r="29" spans="1:24">
      <c r="A29" t="s">
        <v>346</v>
      </c>
      <c r="C29" s="17" t="s">
        <v>121</v>
      </c>
      <c r="D29" s="27">
        <f>'15-16 NGET'!D29-'14-15 NGET'!D29</f>
        <v>-391.16399616052058</v>
      </c>
      <c r="E29" s="27">
        <f>'15-16 NGET'!E29-'14-15 NGET'!E29</f>
        <v>-68.341193021032723</v>
      </c>
      <c r="F29" s="27">
        <f>'15-16 NGET'!F29-'14-15 NGET'!F29</f>
        <v>-88.998078718929264</v>
      </c>
      <c r="G29" s="27">
        <f>'15-16 NGET'!G29-'14-15 NGET'!G29</f>
        <v>-132.51840191204587</v>
      </c>
      <c r="H29" s="27">
        <f>'15-16 NGET'!H29-'14-15 NGET'!H29</f>
        <v>-75.214999999999918</v>
      </c>
      <c r="I29" s="27">
        <f>'15-16 NGET'!I29-'14-15 NGET'!I29</f>
        <v>-40.961000000000013</v>
      </c>
      <c r="J29" s="27">
        <f>'15-16 NGET'!J29-'14-15 NGET'!J29</f>
        <v>-27.456000000000017</v>
      </c>
      <c r="K29" s="27">
        <f>'15-16 NGET'!K29-'14-15 NGET'!K29</f>
        <v>-3.2740000000000009</v>
      </c>
      <c r="L29" s="27">
        <f>'15-16 NGET'!L29-'14-15 NGET'!L29</f>
        <v>-827.92766981253044</v>
      </c>
    </row>
    <row r="30" spans="1:24">
      <c r="C30" s="18" t="s">
        <v>387</v>
      </c>
      <c r="D30" s="29">
        <f>'15-16 NGET'!D30-'14-15 NGET'!D30</f>
        <v>-26.926697272238528</v>
      </c>
      <c r="E30" s="29">
        <f>'15-16 NGET'!E30-'14-15 NGET'!E30</f>
        <v>0</v>
      </c>
      <c r="F30" s="29">
        <f>'15-16 NGET'!F30-'14-15 NGET'!F30</f>
        <v>0</v>
      </c>
      <c r="G30" s="29">
        <f>'15-16 NGET'!G30-'14-15 NGET'!G30</f>
        <v>0</v>
      </c>
      <c r="H30" s="29">
        <f>'15-16 NGET'!H30-'14-15 NGET'!H30</f>
        <v>0</v>
      </c>
      <c r="I30" s="29">
        <f>'15-16 NGET'!I30-'14-15 NGET'!I30</f>
        <v>0</v>
      </c>
      <c r="J30" s="29">
        <f>'15-16 NGET'!J30-'14-15 NGET'!J30</f>
        <v>0</v>
      </c>
      <c r="K30" s="29">
        <f>'15-16 NGET'!K30-'14-15 NGET'!K30</f>
        <v>0</v>
      </c>
      <c r="L30" s="29">
        <f>'15-16 NGET'!L30-'14-15 NGET'!L30</f>
        <v>-26.926697272238698</v>
      </c>
    </row>
    <row r="31" spans="1:24">
      <c r="C31" s="19" t="s">
        <v>77</v>
      </c>
      <c r="D31" s="31">
        <f>'15-16 NGET'!D31-'14-15 NGET'!D31</f>
        <v>-418.09069343275905</v>
      </c>
      <c r="E31" s="31">
        <f>'15-16 NGET'!E31-'14-15 NGET'!E31</f>
        <v>-68.341193021032723</v>
      </c>
      <c r="F31" s="31">
        <f>'15-16 NGET'!F31-'14-15 NGET'!F31</f>
        <v>-88.998078718929264</v>
      </c>
      <c r="G31" s="31">
        <f>'15-16 NGET'!G31-'14-15 NGET'!G31</f>
        <v>-132.51840191204587</v>
      </c>
      <c r="H31" s="31">
        <f>'15-16 NGET'!H31-'14-15 NGET'!H31</f>
        <v>-75.214999999999918</v>
      </c>
      <c r="I31" s="31">
        <f>'15-16 NGET'!I31-'14-15 NGET'!I31</f>
        <v>-40.961000000000013</v>
      </c>
      <c r="J31" s="31">
        <f>'15-16 NGET'!J31-'14-15 NGET'!J31</f>
        <v>-27.456000000000131</v>
      </c>
      <c r="K31" s="31">
        <f>'15-16 NGET'!K31-'14-15 NGET'!K31</f>
        <v>-3.2740000000000009</v>
      </c>
      <c r="L31" s="31">
        <f>'15-16 NGET'!L31-'14-15 NGET'!L31</f>
        <v>-854.85436708476482</v>
      </c>
    </row>
    <row r="32" spans="1:24">
      <c r="A32" t="s">
        <v>233</v>
      </c>
      <c r="C32" s="17" t="s">
        <v>388</v>
      </c>
      <c r="D32" s="27">
        <f>'15-16 NGET'!D32-'14-15 NGET'!D32</f>
        <v>-169.2978629885024</v>
      </c>
      <c r="E32" s="27">
        <f>'15-16 NGET'!E32-'14-15 NGET'!E32</f>
        <v>-68.341193021032723</v>
      </c>
      <c r="F32" s="27">
        <f>'15-16 NGET'!F32-'14-15 NGET'!F32</f>
        <v>-88.998078718929264</v>
      </c>
      <c r="G32" s="27">
        <f>'15-16 NGET'!G32-'14-15 NGET'!G32</f>
        <v>-132.51840191204587</v>
      </c>
      <c r="H32" s="27">
        <f>'15-16 NGET'!H32-'14-15 NGET'!H32</f>
        <v>-75.214999999999918</v>
      </c>
      <c r="I32" s="27">
        <f>'15-16 NGET'!I32-'14-15 NGET'!I32</f>
        <v>-40.961000000000013</v>
      </c>
      <c r="J32" s="27">
        <f>'15-16 NGET'!J32-'14-15 NGET'!J32</f>
        <v>-27.456000000000017</v>
      </c>
      <c r="K32" s="27">
        <f>'15-16 NGET'!K32-'14-15 NGET'!K32</f>
        <v>-3.2740000000000009</v>
      </c>
      <c r="L32" s="27">
        <f>'15-16 NGET'!L32-'14-15 NGET'!L32</f>
        <v>-606.06153664051271</v>
      </c>
    </row>
    <row r="33" spans="3:14">
      <c r="C33" s="18" t="s">
        <v>389</v>
      </c>
      <c r="D33" s="29">
        <f>'15-16 NGET'!D33-'14-15 NGET'!D33</f>
        <v>-14.300768921285879</v>
      </c>
      <c r="E33" s="29">
        <f>'15-16 NGET'!E33-'14-15 NGET'!E33</f>
        <v>0</v>
      </c>
      <c r="F33" s="29">
        <f>'15-16 NGET'!F33-'14-15 NGET'!F33</f>
        <v>0</v>
      </c>
      <c r="G33" s="29">
        <f>'15-16 NGET'!G33-'14-15 NGET'!G33</f>
        <v>0</v>
      </c>
      <c r="H33" s="29">
        <f>'15-16 NGET'!H33-'14-15 NGET'!H33</f>
        <v>0</v>
      </c>
      <c r="I33" s="29">
        <f>'15-16 NGET'!I33-'14-15 NGET'!I33</f>
        <v>0</v>
      </c>
      <c r="J33" s="29">
        <f>'15-16 NGET'!J33-'14-15 NGET'!J33</f>
        <v>0</v>
      </c>
      <c r="K33" s="29">
        <f>'15-16 NGET'!K33-'14-15 NGET'!K33</f>
        <v>0</v>
      </c>
      <c r="L33" s="29">
        <f>'15-16 NGET'!L33-'14-15 NGET'!L33</f>
        <v>-14.300768921285908</v>
      </c>
    </row>
    <row r="34" spans="3:14">
      <c r="C34" s="19" t="s">
        <v>78</v>
      </c>
      <c r="D34" s="31">
        <f>'15-16 NGET'!D34-'14-15 NGET'!D34</f>
        <v>-183.59863190978831</v>
      </c>
      <c r="E34" s="31">
        <f>'15-16 NGET'!E34-'14-15 NGET'!E34</f>
        <v>-68.341193021032723</v>
      </c>
      <c r="F34" s="31">
        <f>'15-16 NGET'!F34-'14-15 NGET'!F34</f>
        <v>-88.998078718929264</v>
      </c>
      <c r="G34" s="31">
        <f>'15-16 NGET'!G34-'14-15 NGET'!G34</f>
        <v>-132.51840191204587</v>
      </c>
      <c r="H34" s="31">
        <f>'15-16 NGET'!H34-'14-15 NGET'!H34</f>
        <v>-75.214999999999918</v>
      </c>
      <c r="I34" s="31">
        <f>'15-16 NGET'!I34-'14-15 NGET'!I34</f>
        <v>-40.961000000000013</v>
      </c>
      <c r="J34" s="31">
        <f>'15-16 NGET'!J34-'14-15 NGET'!J34</f>
        <v>-27.456000000000131</v>
      </c>
      <c r="K34" s="31">
        <f>'15-16 NGET'!K34-'14-15 NGET'!K34</f>
        <v>-3.2740000000000009</v>
      </c>
      <c r="L34" s="31">
        <f>'15-16 NGET'!L34-'14-15 NGET'!L34</f>
        <v>-620.36230556179362</v>
      </c>
    </row>
    <row r="35" spans="3:14">
      <c r="C35" s="20"/>
      <c r="D35" s="32"/>
      <c r="E35" s="32"/>
      <c r="F35" s="32"/>
      <c r="G35" s="32"/>
      <c r="H35" s="32"/>
      <c r="I35" s="32"/>
      <c r="J35" s="32"/>
      <c r="K35" s="32"/>
      <c r="L35" s="33"/>
    </row>
    <row r="36" spans="3:14">
      <c r="C36" s="17" t="s">
        <v>79</v>
      </c>
      <c r="D36" s="27">
        <f>'15-16 NGET'!D36-'14-15 NGET'!D36</f>
        <v>-27.539794786468235</v>
      </c>
      <c r="E36" s="27">
        <f>'15-16 NGET'!E36-'14-15 NGET'!E36</f>
        <v>-10.25117895315492</v>
      </c>
      <c r="F36" s="27">
        <f>'15-16 NGET'!F36-'14-15 NGET'!F36</f>
        <v>-13.349711807839583</v>
      </c>
      <c r="G36" s="27">
        <f>'15-16 NGET'!G36-'14-15 NGET'!G36</f>
        <v>-19.877760286806904</v>
      </c>
      <c r="H36" s="27">
        <f>'15-16 NGET'!H36-'14-15 NGET'!H36</f>
        <v>-11.282249999999863</v>
      </c>
      <c r="I36" s="27">
        <f>'15-16 NGET'!I36-'14-15 NGET'!I36</f>
        <v>-6.1441499999999678</v>
      </c>
      <c r="J36" s="27">
        <f>'15-16 NGET'!J36-'14-15 NGET'!J36</f>
        <v>-4.1184000000000367</v>
      </c>
      <c r="K36" s="27">
        <f>'15-16 NGET'!K36-'14-15 NGET'!K36</f>
        <v>-0.49110000000001719</v>
      </c>
      <c r="L36" s="28">
        <f>'15-16 NGET'!L36-'14-15 NGET'!L36</f>
        <v>-93.054345834269725</v>
      </c>
    </row>
    <row r="37" spans="3:14">
      <c r="C37" s="18" t="s">
        <v>80</v>
      </c>
      <c r="D37" s="29">
        <f>'15-16 NGET'!D37-'14-15 NGET'!D37</f>
        <v>-156.05883712331979</v>
      </c>
      <c r="E37" s="29">
        <f>'15-16 NGET'!E37-'14-15 NGET'!E37</f>
        <v>-58.090014067877746</v>
      </c>
      <c r="F37" s="29">
        <f>'15-16 NGET'!F37-'14-15 NGET'!F37</f>
        <v>-75.648366911089852</v>
      </c>
      <c r="G37" s="29">
        <f>'15-16 NGET'!G37-'14-15 NGET'!G37</f>
        <v>-112.64064162523914</v>
      </c>
      <c r="H37" s="29">
        <f>'15-16 NGET'!H37-'14-15 NGET'!H37</f>
        <v>-63.932749999999942</v>
      </c>
      <c r="I37" s="29">
        <f>'15-16 NGET'!I37-'14-15 NGET'!I37</f>
        <v>-34.816849999999704</v>
      </c>
      <c r="J37" s="29">
        <f>'15-16 NGET'!J37-'14-15 NGET'!J37</f>
        <v>-23.337600000000066</v>
      </c>
      <c r="K37" s="29">
        <f>'15-16 NGET'!K37-'14-15 NGET'!K37</f>
        <v>-2.7829000000000406</v>
      </c>
      <c r="L37" s="30">
        <f>'15-16 NGET'!L37-'14-15 NGET'!L37</f>
        <v>-527.30795972752639</v>
      </c>
    </row>
    <row r="38" spans="3:14" ht="13.8" thickBot="1">
      <c r="C38" s="21" t="s">
        <v>390</v>
      </c>
      <c r="D38" s="34">
        <f>'15-16 NGET'!D38-'14-15 NGET'!D38</f>
        <v>-183.59863190978808</v>
      </c>
      <c r="E38" s="34">
        <f>'15-16 NGET'!E38-'14-15 NGET'!E38</f>
        <v>-68.341193021032723</v>
      </c>
      <c r="F38" s="34">
        <f>'15-16 NGET'!F38-'14-15 NGET'!F38</f>
        <v>-88.998078718929264</v>
      </c>
      <c r="G38" s="34">
        <f>'15-16 NGET'!G38-'14-15 NGET'!G38</f>
        <v>-132.5184019120461</v>
      </c>
      <c r="H38" s="34">
        <f>'15-16 NGET'!H38-'14-15 NGET'!H38</f>
        <v>-75.214999999999918</v>
      </c>
      <c r="I38" s="34">
        <f>'15-16 NGET'!I38-'14-15 NGET'!I38</f>
        <v>-40.960999999999785</v>
      </c>
      <c r="J38" s="34">
        <f>'15-16 NGET'!J38-'14-15 NGET'!J38</f>
        <v>-27.456000000000131</v>
      </c>
      <c r="K38" s="34">
        <f>'15-16 NGET'!K38-'14-15 NGET'!K38</f>
        <v>-3.2740000000000009</v>
      </c>
      <c r="L38" s="35">
        <f>'15-16 NGET'!L38-'14-15 NGET'!L38</f>
        <v>-620.36230556179362</v>
      </c>
    </row>
    <row r="39" spans="3:14">
      <c r="D39" s="109"/>
      <c r="E39" s="109"/>
      <c r="F39" s="109"/>
      <c r="G39" s="109"/>
      <c r="H39" s="109"/>
      <c r="I39" s="109"/>
      <c r="J39" s="109"/>
      <c r="K39" s="109"/>
      <c r="L39" s="109"/>
    </row>
    <row r="40" spans="3:14" ht="13.8" thickBot="1"/>
    <row r="41" spans="3:14" ht="13.8" thickBot="1">
      <c r="C41" s="14" t="s">
        <v>58</v>
      </c>
      <c r="D41" s="15" t="s">
        <v>59</v>
      </c>
      <c r="E41" s="15" t="s">
        <v>60</v>
      </c>
      <c r="F41" s="15" t="s">
        <v>61</v>
      </c>
      <c r="G41" s="15" t="s">
        <v>62</v>
      </c>
      <c r="H41" s="15" t="s">
        <v>63</v>
      </c>
      <c r="I41" s="15" t="s">
        <v>64</v>
      </c>
      <c r="J41" s="15" t="s">
        <v>65</v>
      </c>
      <c r="K41" s="15" t="s">
        <v>66</v>
      </c>
    </row>
    <row r="42" spans="3:14">
      <c r="C42" s="24" t="s">
        <v>91</v>
      </c>
      <c r="D42" s="36">
        <f>'15-16 NGET'!D42-'14-15 NGET'!D42</f>
        <v>0</v>
      </c>
      <c r="E42" s="36">
        <f>'15-16 NGET'!E42-'14-15 NGET'!E42</f>
        <v>-164.52783712331984</v>
      </c>
      <c r="F42" s="36">
        <f>'15-16 NGET'!F42-'14-15 NGET'!F42</f>
        <v>-215.5031339101879</v>
      </c>
      <c r="G42" s="36">
        <f>'15-16 NGET'!G42-'14-15 NGET'!G42</f>
        <v>-281.82383062339613</v>
      </c>
      <c r="H42" s="36">
        <f>'15-16 NGET'!H42-'14-15 NGET'!H42</f>
        <v>-382.56153849633483</v>
      </c>
      <c r="I42" s="36">
        <f>'15-16 NGET'!I42-'14-15 NGET'!I42</f>
        <v>-431.12548884787429</v>
      </c>
      <c r="J42" s="36">
        <f>'15-16 NGET'!J42-'14-15 NGET'!J42</f>
        <v>-448.77893569064145</v>
      </c>
      <c r="K42" s="36">
        <f>'15-16 NGET'!K42-'14-15 NGET'!K42</f>
        <v>-454.05463317856811</v>
      </c>
    </row>
    <row r="43" spans="3:14">
      <c r="C43" s="17" t="s">
        <v>86</v>
      </c>
      <c r="D43" s="27">
        <f>'15-16 NGET'!D43-'14-15 NGET'!D43</f>
        <v>-164.52783712331984</v>
      </c>
      <c r="E43" s="27">
        <f>'15-16 NGET'!E43-'14-15 NGET'!E43</f>
        <v>-58.090014067877746</v>
      </c>
      <c r="F43" s="27">
        <f>'15-16 NGET'!F43-'14-15 NGET'!F43</f>
        <v>-75.648366911089852</v>
      </c>
      <c r="G43" s="27">
        <f>'15-16 NGET'!G43-'14-15 NGET'!G43</f>
        <v>-112.64064162523914</v>
      </c>
      <c r="H43" s="27">
        <f>'15-16 NGET'!H43-'14-15 NGET'!H43</f>
        <v>-63.932749999999942</v>
      </c>
      <c r="I43" s="27">
        <f>'15-16 NGET'!I43-'14-15 NGET'!I43</f>
        <v>-34.816849999999704</v>
      </c>
      <c r="J43" s="27">
        <f>'15-16 NGET'!J43-'14-15 NGET'!J43</f>
        <v>-23.337600000000066</v>
      </c>
      <c r="K43" s="27">
        <f>'15-16 NGET'!K43-'14-15 NGET'!K43</f>
        <v>-2.7829000000000406</v>
      </c>
    </row>
    <row r="44" spans="3:14">
      <c r="C44" s="18" t="s">
        <v>92</v>
      </c>
      <c r="D44" s="29">
        <f>'15-16 NGET'!D44-'14-15 NGET'!D44</f>
        <v>0</v>
      </c>
      <c r="E44" s="29">
        <f>'15-16 NGET'!E44-'14-15 NGET'!E44</f>
        <v>0</v>
      </c>
      <c r="F44" s="29">
        <f>'15-16 NGET'!F44-'14-15 NGET'!F44</f>
        <v>0</v>
      </c>
      <c r="G44" s="29">
        <f>'15-16 NGET'!G44-'14-15 NGET'!G44</f>
        <v>0</v>
      </c>
      <c r="H44" s="29">
        <f>'15-16 NGET'!H44-'14-15 NGET'!H44</f>
        <v>0</v>
      </c>
      <c r="I44" s="29">
        <f>'15-16 NGET'!I44-'14-15 NGET'!I44</f>
        <v>0</v>
      </c>
      <c r="J44" s="29">
        <f>'15-16 NGET'!J44-'14-15 NGET'!J44</f>
        <v>0</v>
      </c>
      <c r="K44" s="29">
        <f>'15-16 NGET'!K44-'14-15 NGET'!K44</f>
        <v>0</v>
      </c>
    </row>
    <row r="45" spans="3:14">
      <c r="C45" s="17" t="s">
        <v>93</v>
      </c>
      <c r="D45" s="27">
        <f>'15-16 NGET'!D45-'14-15 NGET'!D45</f>
        <v>0</v>
      </c>
      <c r="E45" s="27">
        <f>'15-16 NGET'!E45-'14-15 NGET'!E45</f>
        <v>7.1147172810084314</v>
      </c>
      <c r="F45" s="27">
        <f>'15-16 NGET'!F45-'14-15 NGET'!F45</f>
        <v>9.3276701978799537</v>
      </c>
      <c r="G45" s="27">
        <f>'15-16 NGET'!G45-'14-15 NGET'!G45</f>
        <v>11.902933752300015</v>
      </c>
      <c r="H45" s="27">
        <f>'15-16 NGET'!H45-'14-15 NGET'!H45</f>
        <v>15.36879964846122</v>
      </c>
      <c r="I45" s="27">
        <f>'15-16 NGET'!I45-'14-15 NGET'!I45</f>
        <v>17.163403157233176</v>
      </c>
      <c r="J45" s="27">
        <f>'15-16 NGET'!J45-'14-15 NGET'!J45</f>
        <v>18.061902512071867</v>
      </c>
      <c r="K45" s="27">
        <f>'15-16 NGET'!K45-'14-15 NGET'!K45</f>
        <v>18.619218332967421</v>
      </c>
      <c r="N45" s="208"/>
    </row>
    <row r="46" spans="3:14" ht="13.8" thickBot="1">
      <c r="C46" s="25" t="s">
        <v>94</v>
      </c>
      <c r="D46" s="37">
        <f>'15-16 NGET'!D46-'14-15 NGET'!D46</f>
        <v>-164.52783712331984</v>
      </c>
      <c r="E46" s="37">
        <f>'15-16 NGET'!E46-'14-15 NGET'!E46</f>
        <v>-215.5031339101879</v>
      </c>
      <c r="F46" s="37">
        <f>'15-16 NGET'!F46-'14-15 NGET'!F46</f>
        <v>-281.82383062339613</v>
      </c>
      <c r="G46" s="37">
        <f>'15-16 NGET'!G46-'14-15 NGET'!G46</f>
        <v>-382.56153849633483</v>
      </c>
      <c r="H46" s="37">
        <f>'15-16 NGET'!H46-'14-15 NGET'!H46</f>
        <v>-431.12548884787429</v>
      </c>
      <c r="I46" s="37">
        <f>'15-16 NGET'!I46-'14-15 NGET'!I46</f>
        <v>-448.77893569064145</v>
      </c>
      <c r="J46" s="37">
        <f>'15-16 NGET'!J46-'14-15 NGET'!J46</f>
        <v>-454.05463317856811</v>
      </c>
      <c r="K46" s="37">
        <f>'15-16 NGET'!K46-'14-15 NGET'!K46</f>
        <v>-438.21831484560062</v>
      </c>
      <c r="N46" s="209"/>
    </row>
    <row r="47" spans="3:14">
      <c r="D47" s="53"/>
      <c r="E47" s="53"/>
      <c r="F47" s="53"/>
      <c r="G47" s="53"/>
      <c r="H47" s="53"/>
      <c r="I47" s="53"/>
      <c r="J47" s="53"/>
      <c r="K47" s="53"/>
    </row>
    <row r="49" spans="1:39" ht="13.8" thickBot="1">
      <c r="A49" s="38" t="s">
        <v>363</v>
      </c>
    </row>
    <row r="50" spans="1:39" ht="13.8" thickBot="1">
      <c r="C50" s="7" t="s">
        <v>58</v>
      </c>
      <c r="D50" s="8" t="s">
        <v>59</v>
      </c>
      <c r="E50" s="8" t="s">
        <v>60</v>
      </c>
      <c r="F50" s="8" t="s">
        <v>61</v>
      </c>
      <c r="G50" s="8" t="s">
        <v>62</v>
      </c>
      <c r="H50" s="8" t="s">
        <v>63</v>
      </c>
      <c r="I50" s="8" t="s">
        <v>64</v>
      </c>
      <c r="J50" s="8" t="s">
        <v>65</v>
      </c>
      <c r="K50" s="8" t="s">
        <v>66</v>
      </c>
      <c r="P50" s="204"/>
    </row>
    <row r="51" spans="1:39">
      <c r="C51" s="22" t="s">
        <v>91</v>
      </c>
      <c r="D51" s="41">
        <f>'15-16 NGET'!D51-'14-15 NGET'!D51</f>
        <v>0</v>
      </c>
      <c r="E51" s="41">
        <f>'15-16 NGET'!E51-'14-15 NGET'!E51</f>
        <v>-164.52783712331984</v>
      </c>
      <c r="F51" s="41">
        <f>'15-16 NGET'!F51-'14-15 NGET'!F51</f>
        <v>-215.5031339101879</v>
      </c>
      <c r="G51" s="41">
        <f>'15-16 NGET'!G51-'14-15 NGET'!G51</f>
        <v>-281.82383062339795</v>
      </c>
      <c r="H51" s="41">
        <f>'15-16 NGET'!H51-'14-15 NGET'!H51</f>
        <v>-382.56153849633665</v>
      </c>
      <c r="I51" s="41">
        <f>'15-16 NGET'!I51-'14-15 NGET'!I51</f>
        <v>-431.12548884787611</v>
      </c>
      <c r="J51" s="41">
        <f>'15-16 NGET'!J51-'14-15 NGET'!J51</f>
        <v>-448.77893569064508</v>
      </c>
      <c r="K51" s="41">
        <f>'15-16 NGET'!K51-'14-15 NGET'!K51</f>
        <v>-454.05463317857175</v>
      </c>
      <c r="P51" s="42"/>
    </row>
    <row r="52" spans="1:39">
      <c r="C52" s="10" t="s">
        <v>85</v>
      </c>
      <c r="D52" s="42">
        <f>'15-16 NGET'!D52-'14-15 NGET'!D52</f>
        <v>0</v>
      </c>
      <c r="E52" s="42">
        <f>'15-16 NGET'!E52-'14-15 NGET'!E52</f>
        <v>0</v>
      </c>
      <c r="F52" s="42">
        <f>'15-16 NGET'!F52-'14-15 NGET'!F52</f>
        <v>0</v>
      </c>
      <c r="G52" s="42">
        <f>'15-16 NGET'!G52-'14-15 NGET'!G52</f>
        <v>0</v>
      </c>
      <c r="H52" s="42">
        <f>'15-16 NGET'!H52-'14-15 NGET'!H52</f>
        <v>0</v>
      </c>
      <c r="I52" s="42">
        <f>'15-16 NGET'!I52-'14-15 NGET'!I52</f>
        <v>0</v>
      </c>
      <c r="J52" s="42">
        <f>'15-16 NGET'!J52-'14-15 NGET'!J52</f>
        <v>0</v>
      </c>
      <c r="K52" s="42">
        <f>'15-16 NGET'!K52-'14-15 NGET'!K52</f>
        <v>0</v>
      </c>
      <c r="P52" s="42"/>
    </row>
    <row r="53" spans="1:39">
      <c r="C53" s="11" t="s">
        <v>86</v>
      </c>
      <c r="D53" s="43">
        <f>'15-16 NGET'!D53-'14-15 NGET'!D53</f>
        <v>-164.52783712331984</v>
      </c>
      <c r="E53" s="43">
        <f>'15-16 NGET'!E53-'14-15 NGET'!E53</f>
        <v>-58.090014067877746</v>
      </c>
      <c r="F53" s="43">
        <f>'15-16 NGET'!F53-'14-15 NGET'!F53</f>
        <v>-75.648366911089852</v>
      </c>
      <c r="G53" s="43">
        <f>'15-16 NGET'!G53-'14-15 NGET'!G53</f>
        <v>-112.64064162523914</v>
      </c>
      <c r="H53" s="43">
        <f>'15-16 NGET'!H53-'14-15 NGET'!H53</f>
        <v>-63.932749999999942</v>
      </c>
      <c r="I53" s="43">
        <f>'15-16 NGET'!I53-'14-15 NGET'!I53</f>
        <v>-34.816849999999704</v>
      </c>
      <c r="J53" s="43">
        <f>'15-16 NGET'!J53-'14-15 NGET'!J53</f>
        <v>-23.337600000000066</v>
      </c>
      <c r="K53" s="43">
        <f>'15-16 NGET'!K53-'14-15 NGET'!K53</f>
        <v>-2.7829000000000406</v>
      </c>
      <c r="P53" s="42"/>
    </row>
    <row r="54" spans="1:39">
      <c r="C54" s="10" t="s">
        <v>87</v>
      </c>
      <c r="D54" s="42">
        <f>'15-16 NGET'!D54-'14-15 NGET'!D54</f>
        <v>0</v>
      </c>
      <c r="E54" s="42">
        <f>'15-16 NGET'!E54-'14-15 NGET'!E54</f>
        <v>7.1147172810083248</v>
      </c>
      <c r="F54" s="42">
        <f>'15-16 NGET'!F54-'14-15 NGET'!F54</f>
        <v>9.3276701978797973</v>
      </c>
      <c r="G54" s="42">
        <f>'15-16 NGET'!G54-'14-15 NGET'!G54</f>
        <v>11.902933752299987</v>
      </c>
      <c r="H54" s="42">
        <f>'15-16 NGET'!H54-'14-15 NGET'!H54</f>
        <v>15.368799648461163</v>
      </c>
      <c r="I54" s="42">
        <f>'15-16 NGET'!I54-'14-15 NGET'!I54</f>
        <v>17.163403157233006</v>
      </c>
      <c r="J54" s="42">
        <f>'15-16 NGET'!J54-'14-15 NGET'!J54</f>
        <v>18.061902512071811</v>
      </c>
      <c r="K54" s="42">
        <f>'15-16 NGET'!K54-'14-15 NGET'!K54</f>
        <v>18.619218332967421</v>
      </c>
      <c r="P54" s="42"/>
    </row>
    <row r="55" spans="1:39">
      <c r="C55" s="39" t="s">
        <v>94</v>
      </c>
      <c r="D55" s="45">
        <f>'15-16 NGET'!D55-'14-15 NGET'!D55</f>
        <v>-164.52783712331984</v>
      </c>
      <c r="E55" s="45">
        <f>'15-16 NGET'!E55-'14-15 NGET'!E55</f>
        <v>-215.5031339101879</v>
      </c>
      <c r="F55" s="45">
        <f>'15-16 NGET'!F55-'14-15 NGET'!F55</f>
        <v>-281.82383062339795</v>
      </c>
      <c r="G55" s="45">
        <f>'15-16 NGET'!G55-'14-15 NGET'!G55</f>
        <v>-382.56153849633665</v>
      </c>
      <c r="H55" s="45">
        <f>'15-16 NGET'!H55-'14-15 NGET'!H55</f>
        <v>-431.12548884787611</v>
      </c>
      <c r="I55" s="45">
        <f>'15-16 NGET'!I55-'14-15 NGET'!I55</f>
        <v>-448.77893569064508</v>
      </c>
      <c r="J55" s="45">
        <f>'15-16 NGET'!J55-'14-15 NGET'!J55</f>
        <v>-454.05463317857175</v>
      </c>
      <c r="K55" s="45">
        <f>'15-16 NGET'!K55-'14-15 NGET'!K55</f>
        <v>-438.21831484560607</v>
      </c>
      <c r="M55" s="189"/>
      <c r="O55" s="210"/>
      <c r="P55" s="50"/>
    </row>
    <row r="56" spans="1:39" ht="13.8" thickBot="1">
      <c r="C56" s="40" t="s">
        <v>163</v>
      </c>
      <c r="D56" s="46">
        <f>'15-16 NGET'!D56-'14-15 NGET'!D56</f>
        <v>0</v>
      </c>
      <c r="E56" s="46">
        <f>'15-16 NGET'!E56-'14-15 NGET'!E56</f>
        <v>0</v>
      </c>
      <c r="F56" s="46">
        <f>'15-16 NGET'!F56-'14-15 NGET'!F56</f>
        <v>0</v>
      </c>
      <c r="G56" s="46">
        <f>'15-16 NGET'!G56-'14-15 NGET'!G56</f>
        <v>0</v>
      </c>
      <c r="H56" s="46">
        <f>'15-16 NGET'!H56-'14-15 NGET'!H56</f>
        <v>0</v>
      </c>
      <c r="I56" s="46">
        <f>'15-16 NGET'!I56-'14-15 NGET'!I56</f>
        <v>0</v>
      </c>
      <c r="J56" s="46">
        <f>'15-16 NGET'!J56-'14-15 NGET'!J56</f>
        <v>0</v>
      </c>
      <c r="K56" s="46">
        <f>'15-16 NGET'!K56-'14-15 NGET'!K56</f>
        <v>0</v>
      </c>
      <c r="P56" s="42"/>
    </row>
    <row r="57" spans="1:39">
      <c r="D57" s="53"/>
      <c r="E57" s="53"/>
      <c r="F57" s="53"/>
      <c r="G57" s="53"/>
      <c r="H57" s="53"/>
      <c r="I57" s="53"/>
      <c r="J57" s="53"/>
      <c r="K57" s="53"/>
      <c r="P57" s="53"/>
    </row>
    <row r="58" spans="1:39" ht="13.8" thickBot="1">
      <c r="P58" s="207"/>
    </row>
    <row r="59" spans="1:39" ht="13.8" thickBot="1">
      <c r="C59" s="7" t="s">
        <v>58</v>
      </c>
      <c r="D59" s="8" t="s">
        <v>59</v>
      </c>
      <c r="E59" s="8" t="s">
        <v>60</v>
      </c>
      <c r="F59" s="8" t="s">
        <v>61</v>
      </c>
      <c r="G59" s="8" t="s">
        <v>62</v>
      </c>
      <c r="H59" s="8" t="s">
        <v>63</v>
      </c>
      <c r="I59" s="8" t="s">
        <v>64</v>
      </c>
      <c r="J59" s="8" t="s">
        <v>65</v>
      </c>
      <c r="K59" s="8" t="s">
        <v>66</v>
      </c>
      <c r="P59" s="204"/>
      <c r="S59" s="7" t="s">
        <v>58</v>
      </c>
      <c r="T59" s="8" t="s">
        <v>59</v>
      </c>
      <c r="U59" s="8" t="s">
        <v>60</v>
      </c>
      <c r="V59" s="8" t="s">
        <v>61</v>
      </c>
      <c r="W59" s="8" t="s">
        <v>62</v>
      </c>
      <c r="X59" s="8" t="s">
        <v>63</v>
      </c>
      <c r="Y59" s="8" t="s">
        <v>64</v>
      </c>
      <c r="Z59" s="8" t="s">
        <v>65</v>
      </c>
      <c r="AA59" s="8" t="s">
        <v>66</v>
      </c>
      <c r="AC59" s="8" t="s">
        <v>59</v>
      </c>
      <c r="AD59" s="8" t="s">
        <v>60</v>
      </c>
      <c r="AE59" s="8" t="s">
        <v>61</v>
      </c>
      <c r="AF59" s="8" t="s">
        <v>62</v>
      </c>
      <c r="AG59" s="8" t="s">
        <v>63</v>
      </c>
      <c r="AH59" s="8" t="s">
        <v>64</v>
      </c>
      <c r="AI59" s="8" t="s">
        <v>65</v>
      </c>
      <c r="AJ59" s="8" t="s">
        <v>66</v>
      </c>
      <c r="AK59" s="8" t="s">
        <v>391</v>
      </c>
    </row>
    <row r="60" spans="1:39">
      <c r="C60" s="22" t="s">
        <v>79</v>
      </c>
      <c r="D60" s="41">
        <f>'15-16 NGET'!D60-'14-15 NGET'!D60</f>
        <v>-27.539794786468235</v>
      </c>
      <c r="E60" s="41">
        <f>'15-16 NGET'!E60-'14-15 NGET'!E60</f>
        <v>-10.25117895315492</v>
      </c>
      <c r="F60" s="41">
        <f>'15-16 NGET'!F60-'14-15 NGET'!F60</f>
        <v>-13.349711807839583</v>
      </c>
      <c r="G60" s="41">
        <f>'15-16 NGET'!G60-'14-15 NGET'!G60</f>
        <v>-19.877760286806904</v>
      </c>
      <c r="H60" s="41">
        <f>'15-16 NGET'!H60-'14-15 NGET'!H60</f>
        <v>-11.282249999999863</v>
      </c>
      <c r="I60" s="41">
        <f>'15-16 NGET'!I60-'14-15 NGET'!I60</f>
        <v>-6.1441499999999678</v>
      </c>
      <c r="J60" s="41">
        <f>'15-16 NGET'!J60-'14-15 NGET'!J60</f>
        <v>-4.1184000000000367</v>
      </c>
      <c r="K60" s="41">
        <f>'15-16 NGET'!K60-'14-15 NGET'!K60</f>
        <v>-0.49110000000001719</v>
      </c>
      <c r="L60" s="28">
        <f>'15-16 NGET'!L60-'14-15 NGET'!L60</f>
        <v>-93.054345834269725</v>
      </c>
      <c r="P60" s="42"/>
      <c r="S60" s="22" t="s">
        <v>79</v>
      </c>
      <c r="T60" s="41">
        <v>262</v>
      </c>
      <c r="U60" s="41">
        <v>292</v>
      </c>
      <c r="V60" s="41">
        <v>277</v>
      </c>
      <c r="W60" s="41">
        <v>287</v>
      </c>
      <c r="X60" s="41">
        <v>249</v>
      </c>
      <c r="Y60" s="41">
        <v>252</v>
      </c>
      <c r="Z60" s="41">
        <v>199</v>
      </c>
      <c r="AA60" s="41">
        <v>153</v>
      </c>
      <c r="AB60" s="109"/>
      <c r="AC60" s="41">
        <f>D60-T60</f>
        <v>-289.53979478646824</v>
      </c>
      <c r="AD60" s="41">
        <f t="shared" ref="AD60:AJ74" si="2">E60-U60</f>
        <v>-302.25117895315492</v>
      </c>
      <c r="AE60" s="41">
        <f t="shared" si="2"/>
        <v>-290.34971180783958</v>
      </c>
      <c r="AF60" s="41">
        <f t="shared" si="2"/>
        <v>-306.8777602868069</v>
      </c>
      <c r="AG60" s="41">
        <f t="shared" si="2"/>
        <v>-260.28224999999986</v>
      </c>
      <c r="AH60" s="41">
        <f t="shared" si="2"/>
        <v>-258.14414999999997</v>
      </c>
      <c r="AI60" s="41">
        <f t="shared" si="2"/>
        <v>-203.11840000000004</v>
      </c>
      <c r="AJ60" s="41">
        <f t="shared" si="2"/>
        <v>-153.49110000000002</v>
      </c>
      <c r="AK60" s="162">
        <f>SUM(AC60:AJ60)</f>
        <v>-2064.0543458342695</v>
      </c>
      <c r="AL60" s="109"/>
      <c r="AM60" s="109"/>
    </row>
    <row r="61" spans="1:39">
      <c r="C61" s="10" t="s">
        <v>98</v>
      </c>
      <c r="D61" s="42">
        <f>'15-16 NGET'!D61-'14-15 NGET'!D61</f>
        <v>0</v>
      </c>
      <c r="E61" s="42">
        <f>'15-16 NGET'!E61-'14-15 NGET'!E61</f>
        <v>0</v>
      </c>
      <c r="F61" s="42">
        <f>'15-16 NGET'!F61-'14-15 NGET'!F61</f>
        <v>0</v>
      </c>
      <c r="G61" s="42">
        <f>'15-16 NGET'!G61-'14-15 NGET'!G61</f>
        <v>0</v>
      </c>
      <c r="H61" s="42">
        <f>'15-16 NGET'!H61-'14-15 NGET'!H61</f>
        <v>0</v>
      </c>
      <c r="I61" s="42">
        <f>'15-16 NGET'!I61-'14-15 NGET'!I61</f>
        <v>0</v>
      </c>
      <c r="J61" s="42">
        <f>'15-16 NGET'!J61-'14-15 NGET'!J61</f>
        <v>0</v>
      </c>
      <c r="K61" s="42">
        <f>'15-16 NGET'!K61-'14-15 NGET'!K61</f>
        <v>0</v>
      </c>
      <c r="L61" s="28">
        <f>'15-16 NGET'!L61-'14-15 NGET'!L61</f>
        <v>0</v>
      </c>
      <c r="P61" s="42"/>
      <c r="S61" s="10" t="s">
        <v>98</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99</v>
      </c>
      <c r="D62" s="43">
        <f>'15-16 NGET'!D62-'14-15 NGET'!D62</f>
        <v>0</v>
      </c>
      <c r="E62" s="43">
        <f>'15-16 NGET'!E62-'14-15 NGET'!E62</f>
        <v>-1.9538072976743592E-3</v>
      </c>
      <c r="F62" s="43">
        <f>'15-16 NGET'!F62-'14-15 NGET'!F62</f>
        <v>3.6508830184900845</v>
      </c>
      <c r="G62" s="43">
        <f>'15-16 NGET'!G62-'14-15 NGET'!G62</f>
        <v>3.6466800202740828</v>
      </c>
      <c r="H62" s="43">
        <f>'15-16 NGET'!H62-'14-15 NGET'!H62</f>
        <v>3.6421151781119079</v>
      </c>
      <c r="I62" s="43">
        <f>'15-16 NGET'!I62-'14-15 NGET'!I62</f>
        <v>3.637164637200982</v>
      </c>
      <c r="J62" s="43">
        <f>'15-16 NGET'!J62-'14-15 NGET'!J62</f>
        <v>3.6318031371554014</v>
      </c>
      <c r="K62" s="43">
        <f>'15-16 NGET'!K62-'14-15 NGET'!K62</f>
        <v>3.6260039341801615</v>
      </c>
      <c r="L62" s="28">
        <f>'15-16 NGET'!L62-'14-15 NGET'!L62</f>
        <v>21.832696118114882</v>
      </c>
      <c r="P62" s="42"/>
      <c r="S62" s="11" t="s">
        <v>99</v>
      </c>
      <c r="T62" s="43">
        <v>32</v>
      </c>
      <c r="U62" s="43">
        <v>32</v>
      </c>
      <c r="V62" s="43">
        <v>32</v>
      </c>
      <c r="W62" s="43">
        <v>32</v>
      </c>
      <c r="X62" s="43">
        <v>32</v>
      </c>
      <c r="Y62" s="43">
        <v>32</v>
      </c>
      <c r="Z62" s="43">
        <v>32</v>
      </c>
      <c r="AA62" s="43">
        <v>32</v>
      </c>
      <c r="AB62" s="109"/>
      <c r="AC62" s="43">
        <f t="shared" si="3"/>
        <v>-32</v>
      </c>
      <c r="AD62" s="43">
        <f t="shared" si="2"/>
        <v>-32.001953807297674</v>
      </c>
      <c r="AE62" s="43">
        <f t="shared" si="2"/>
        <v>-28.349116981509916</v>
      </c>
      <c r="AF62" s="43">
        <f t="shared" si="2"/>
        <v>-28.353319979725917</v>
      </c>
      <c r="AG62" s="43">
        <f t="shared" si="2"/>
        <v>-28.357884821888092</v>
      </c>
      <c r="AH62" s="43">
        <f t="shared" si="2"/>
        <v>-28.362835362799018</v>
      </c>
      <c r="AI62" s="43">
        <f t="shared" si="2"/>
        <v>-28.368196862844599</v>
      </c>
      <c r="AJ62" s="43">
        <f t="shared" si="2"/>
        <v>-28.373996065819838</v>
      </c>
      <c r="AK62" s="45">
        <f t="shared" si="4"/>
        <v>-234.16730388188506</v>
      </c>
      <c r="AL62" s="109"/>
      <c r="AM62" s="109"/>
    </row>
    <row r="63" spans="1:39">
      <c r="C63" s="10" t="s">
        <v>100</v>
      </c>
      <c r="D63" s="42">
        <f>'15-16 NGET'!D63-'14-15 NGET'!D63</f>
        <v>0</v>
      </c>
      <c r="E63" s="42">
        <f>'15-16 NGET'!E63-'14-15 NGET'!E63</f>
        <v>-15.302083324179691</v>
      </c>
      <c r="F63" s="42">
        <f>'15-16 NGET'!F63-'14-15 NGET'!F63</f>
        <v>0</v>
      </c>
      <c r="G63" s="42">
        <f>'15-16 NGET'!G63-'14-15 NGET'!G63</f>
        <v>-2.0870668883278611</v>
      </c>
      <c r="H63" s="42">
        <f>'15-16 NGET'!H63-'14-15 NGET'!H63</f>
        <v>0</v>
      </c>
      <c r="I63" s="42">
        <f>'15-16 NGET'!I63-'14-15 NGET'!I63</f>
        <v>0</v>
      </c>
      <c r="J63" s="42">
        <f>'15-16 NGET'!J63-'14-15 NGET'!J63</f>
        <v>0</v>
      </c>
      <c r="K63" s="42">
        <f>'15-16 NGET'!K63-'14-15 NGET'!K63</f>
        <v>0</v>
      </c>
      <c r="L63" s="28">
        <f>'15-16 NGET'!L63-'14-15 NGET'!L63</f>
        <v>-17.389150212507555</v>
      </c>
      <c r="P63" s="42"/>
      <c r="S63" s="10" t="s">
        <v>100</v>
      </c>
      <c r="T63" s="42">
        <v>0</v>
      </c>
      <c r="U63" s="42">
        <v>17</v>
      </c>
      <c r="V63" s="42">
        <v>14</v>
      </c>
      <c r="W63" s="42">
        <v>0</v>
      </c>
      <c r="X63" s="42">
        <v>22</v>
      </c>
      <c r="Y63" s="42">
        <v>0</v>
      </c>
      <c r="Z63" s="42">
        <v>0</v>
      </c>
      <c r="AA63" s="42">
        <v>0</v>
      </c>
      <c r="AB63" s="109"/>
      <c r="AC63" s="42">
        <f t="shared" si="3"/>
        <v>0</v>
      </c>
      <c r="AD63" s="42">
        <f t="shared" si="2"/>
        <v>-32.302083324179691</v>
      </c>
      <c r="AE63" s="42">
        <f t="shared" si="2"/>
        <v>-14</v>
      </c>
      <c r="AF63" s="42">
        <f t="shared" si="2"/>
        <v>-2.0870668883278611</v>
      </c>
      <c r="AG63" s="42">
        <f t="shared" si="2"/>
        <v>-22</v>
      </c>
      <c r="AH63" s="42">
        <f t="shared" si="2"/>
        <v>0</v>
      </c>
      <c r="AI63" s="42">
        <f t="shared" si="2"/>
        <v>0</v>
      </c>
      <c r="AJ63" s="42">
        <f t="shared" si="2"/>
        <v>0</v>
      </c>
      <c r="AK63" s="50">
        <f t="shared" si="4"/>
        <v>-70.389150212507559</v>
      </c>
      <c r="AL63" s="109"/>
      <c r="AM63" s="109"/>
    </row>
    <row r="64" spans="1:39">
      <c r="C64" s="11" t="s">
        <v>101</v>
      </c>
      <c r="D64" s="43">
        <f>'15-16 NGET'!D64-'14-15 NGET'!D64</f>
        <v>0</v>
      </c>
      <c r="E64" s="43">
        <f>'15-16 NGET'!E64-'14-15 NGET'!E64</f>
        <v>0</v>
      </c>
      <c r="F64" s="43">
        <f>'15-16 NGET'!F64-'14-15 NGET'!F64</f>
        <v>0</v>
      </c>
      <c r="G64" s="43">
        <f>'15-16 NGET'!G64-'14-15 NGET'!G64</f>
        <v>0</v>
      </c>
      <c r="H64" s="43">
        <f>'15-16 NGET'!H64-'14-15 NGET'!H64</f>
        <v>0</v>
      </c>
      <c r="I64" s="43">
        <f>'15-16 NGET'!I64-'14-15 NGET'!I64</f>
        <v>0</v>
      </c>
      <c r="J64" s="43">
        <f>'15-16 NGET'!J64-'14-15 NGET'!J64</f>
        <v>0</v>
      </c>
      <c r="K64" s="43">
        <f>'15-16 NGET'!K64-'14-15 NGET'!K64</f>
        <v>0</v>
      </c>
      <c r="L64" s="28">
        <f>'15-16 NGET'!L64-'14-15 NGET'!L64</f>
        <v>0</v>
      </c>
      <c r="P64" s="42"/>
      <c r="S64" s="11" t="s">
        <v>101</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102</v>
      </c>
      <c r="D65" s="42">
        <f>'15-16 NGET'!D65-'14-15 NGET'!D65</f>
        <v>11.35153718477946</v>
      </c>
      <c r="E65" s="42">
        <f>'15-16 NGET'!E65-'14-15 NGET'!E65</f>
        <v>-0.25125713869006461</v>
      </c>
      <c r="F65" s="42">
        <f>'15-16 NGET'!F65-'14-15 NGET'!F65</f>
        <v>3.6171969177223389</v>
      </c>
      <c r="G65" s="42">
        <f>'15-16 NGET'!G65-'14-15 NGET'!G65</f>
        <v>1.9538118579433785</v>
      </c>
      <c r="H65" s="42">
        <f>'15-16 NGET'!H65-'14-15 NGET'!H65</f>
        <v>4.3605122288544749</v>
      </c>
      <c r="I65" s="42">
        <f>'15-16 NGET'!I65-'14-15 NGET'!I65</f>
        <v>4.8040768432646104</v>
      </c>
      <c r="J65" s="42">
        <f>'15-16 NGET'!J65-'14-15 NGET'!J65</f>
        <v>4.3509069646357901</v>
      </c>
      <c r="K65" s="42">
        <f>'15-16 NGET'!K65-'14-15 NGET'!K65</f>
        <v>3.8867478639494237</v>
      </c>
      <c r="L65" s="28">
        <f>'15-16 NGET'!L65-'14-15 NGET'!L65</f>
        <v>34.07353272245939</v>
      </c>
      <c r="P65" s="42"/>
      <c r="S65" s="10" t="s">
        <v>102</v>
      </c>
      <c r="T65" s="42">
        <v>90</v>
      </c>
      <c r="U65" s="42">
        <v>95</v>
      </c>
      <c r="V65" s="42">
        <v>92</v>
      </c>
      <c r="W65" s="42">
        <v>86</v>
      </c>
      <c r="X65" s="42">
        <v>75</v>
      </c>
      <c r="Y65" s="42">
        <v>70</v>
      </c>
      <c r="Z65" s="42">
        <v>61</v>
      </c>
      <c r="AA65" s="42">
        <v>59</v>
      </c>
      <c r="AB65" s="109"/>
      <c r="AC65" s="42">
        <f t="shared" si="3"/>
        <v>-78.64846281522054</v>
      </c>
      <c r="AD65" s="42">
        <f t="shared" si="2"/>
        <v>-95.251257138690065</v>
      </c>
      <c r="AE65" s="42">
        <f t="shared" si="2"/>
        <v>-88.382803082277661</v>
      </c>
      <c r="AF65" s="42">
        <f t="shared" si="2"/>
        <v>-84.046188142056621</v>
      </c>
      <c r="AG65" s="42">
        <f t="shared" si="2"/>
        <v>-70.639487771145525</v>
      </c>
      <c r="AH65" s="42">
        <f t="shared" si="2"/>
        <v>-65.19592315673539</v>
      </c>
      <c r="AI65" s="42">
        <f t="shared" si="2"/>
        <v>-56.64909303536421</v>
      </c>
      <c r="AJ65" s="42">
        <f t="shared" si="2"/>
        <v>-55.113252136050576</v>
      </c>
      <c r="AK65" s="50">
        <f t="shared" si="4"/>
        <v>-593.92646727754061</v>
      </c>
      <c r="AL65" s="109"/>
      <c r="AM65" s="109"/>
    </row>
    <row r="66" spans="1:39">
      <c r="C66" s="11" t="s">
        <v>103</v>
      </c>
      <c r="D66" s="43">
        <f>'15-16 NGET'!D66-'14-15 NGET'!D66</f>
        <v>-3.581618307566373</v>
      </c>
      <c r="E66" s="43">
        <f>'15-16 NGET'!E66-'14-15 NGET'!E66</f>
        <v>-15.333533582726091</v>
      </c>
      <c r="F66" s="43">
        <f>'15-16 NGET'!F66-'14-15 NGET'!F66</f>
        <v>-30.166326040274726</v>
      </c>
      <c r="G66" s="43">
        <f>'15-16 NGET'!G66-'14-15 NGET'!G66</f>
        <v>-37.045701536600745</v>
      </c>
      <c r="H66" s="43">
        <f>'15-16 NGET'!H66-'14-15 NGET'!H66</f>
        <v>-44.240544647727575</v>
      </c>
      <c r="I66" s="43">
        <f>'15-16 NGET'!I66-'14-15 NGET'!I66</f>
        <v>-47.851422434413507</v>
      </c>
      <c r="J66" s="43">
        <f>'15-16 NGET'!J66-'14-15 NGET'!J66</f>
        <v>-49.543182860534216</v>
      </c>
      <c r="K66" s="43">
        <f>'15-16 NGET'!K66-'14-15 NGET'!K66</f>
        <v>-50.047502809093885</v>
      </c>
      <c r="L66" s="28">
        <f>'15-16 NGET'!L66-'14-15 NGET'!L66</f>
        <v>-277.80983221893803</v>
      </c>
      <c r="P66" s="42"/>
      <c r="S66" s="11" t="s">
        <v>103</v>
      </c>
      <c r="T66" s="43">
        <v>976</v>
      </c>
      <c r="U66" s="43">
        <v>1065</v>
      </c>
      <c r="V66" s="43">
        <v>1159</v>
      </c>
      <c r="W66" s="43">
        <v>1250</v>
      </c>
      <c r="X66" s="43">
        <v>1324</v>
      </c>
      <c r="Y66" s="43">
        <v>1382</v>
      </c>
      <c r="Z66" s="43">
        <v>1422</v>
      </c>
      <c r="AA66" s="43">
        <v>1441</v>
      </c>
      <c r="AB66" s="109"/>
      <c r="AC66" s="43">
        <f t="shared" si="3"/>
        <v>-979.58161830756637</v>
      </c>
      <c r="AD66" s="43">
        <f t="shared" si="2"/>
        <v>-1080.333533582726</v>
      </c>
      <c r="AE66" s="43">
        <f t="shared" si="2"/>
        <v>-1189.1663260402747</v>
      </c>
      <c r="AF66" s="43">
        <f t="shared" si="2"/>
        <v>-1287.0457015366007</v>
      </c>
      <c r="AG66" s="43">
        <f t="shared" si="2"/>
        <v>-1368.2405446477276</v>
      </c>
      <c r="AH66" s="43">
        <f t="shared" si="2"/>
        <v>-1429.8514224344135</v>
      </c>
      <c r="AI66" s="43">
        <f t="shared" si="2"/>
        <v>-1471.5431828605342</v>
      </c>
      <c r="AJ66" s="43">
        <f t="shared" si="2"/>
        <v>-1491.0475028090939</v>
      </c>
      <c r="AK66" s="45">
        <f t="shared" si="4"/>
        <v>-10296.809832218936</v>
      </c>
      <c r="AL66" s="109"/>
      <c r="AM66" s="109"/>
    </row>
    <row r="67" spans="1:39">
      <c r="C67" s="10" t="s">
        <v>168</v>
      </c>
      <c r="D67" s="42">
        <f>'15-16 NGET'!D67-'14-15 NGET'!D67</f>
        <v>0</v>
      </c>
      <c r="E67" s="42">
        <f>'15-16 NGET'!E67-'14-15 NGET'!E67</f>
        <v>0</v>
      </c>
      <c r="F67" s="42">
        <f>'15-16 NGET'!F67-'14-15 NGET'!F67</f>
        <v>0</v>
      </c>
      <c r="G67" s="42">
        <f>'15-16 NGET'!G67-'14-15 NGET'!G67</f>
        <v>0</v>
      </c>
      <c r="H67" s="42">
        <f>'15-16 NGET'!H67-'14-15 NGET'!H67</f>
        <v>0</v>
      </c>
      <c r="I67" s="42">
        <f>'15-16 NGET'!I67-'14-15 NGET'!I67</f>
        <v>0</v>
      </c>
      <c r="J67" s="42">
        <f>'15-16 NGET'!J67-'14-15 NGET'!J67</f>
        <v>0</v>
      </c>
      <c r="K67" s="42">
        <f>'15-16 NGET'!K67-'14-15 NGET'!K67</f>
        <v>0</v>
      </c>
      <c r="L67" s="28">
        <f>'15-16 NGET'!L67-'14-15 NGET'!L67</f>
        <v>0</v>
      </c>
      <c r="P67" s="42"/>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169</v>
      </c>
      <c r="D68" s="43">
        <f>'15-16 NGET'!D68-'14-15 NGET'!D68</f>
        <v>4.1830661449210993E-2</v>
      </c>
      <c r="E68" s="43">
        <f>'15-16 NGET'!E68-'14-15 NGET'!E68</f>
        <v>1.2573008817966524E-2</v>
      </c>
      <c r="F68" s="43">
        <f>'15-16 NGET'!F68-'14-15 NGET'!F68</f>
        <v>-6.0142347664225326E-2</v>
      </c>
      <c r="G68" s="43">
        <f>'15-16 NGET'!G68-'14-15 NGET'!G68</f>
        <v>-0.13932536367657633</v>
      </c>
      <c r="H68" s="43">
        <f>'15-16 NGET'!H68-'14-15 NGET'!H68</f>
        <v>-0.2254064777819309</v>
      </c>
      <c r="I68" s="43">
        <f>'15-16 NGET'!I68-'14-15 NGET'!I68</f>
        <v>-0.31884158139698116</v>
      </c>
      <c r="J68" s="43">
        <f>'15-16 NGET'!J68-'14-15 NGET'!J68</f>
        <v>-0.42011342974645061</v>
      </c>
      <c r="K68" s="43">
        <f>'15-16 NGET'!K68-'14-15 NGET'!K68</f>
        <v>-0.52973312791007743</v>
      </c>
      <c r="L68" s="28">
        <f>'15-16 NGET'!L68-'14-15 NGET'!L68</f>
        <v>-1.6391586579090358</v>
      </c>
      <c r="P68" s="42"/>
      <c r="S68" s="10" t="s">
        <v>104</v>
      </c>
      <c r="T68" s="42">
        <v>-50</v>
      </c>
      <c r="U68" s="42">
        <v>-49</v>
      </c>
      <c r="V68" s="42">
        <v>-55</v>
      </c>
      <c r="W68" s="42">
        <v>-63</v>
      </c>
      <c r="X68" s="42">
        <v>-116</v>
      </c>
      <c r="Y68" s="42">
        <v>-117</v>
      </c>
      <c r="Z68" s="42">
        <v>-118</v>
      </c>
      <c r="AA68" s="42">
        <v>-119</v>
      </c>
      <c r="AB68" s="109"/>
      <c r="AC68" s="42">
        <f t="shared" si="3"/>
        <v>50.041830661449211</v>
      </c>
      <c r="AD68" s="42">
        <f t="shared" si="2"/>
        <v>49.012573008817967</v>
      </c>
      <c r="AE68" s="42">
        <f t="shared" si="2"/>
        <v>54.939857652335775</v>
      </c>
      <c r="AF68" s="42">
        <f t="shared" si="2"/>
        <v>62.860674636323424</v>
      </c>
      <c r="AG68" s="42">
        <f t="shared" si="2"/>
        <v>115.77459352221807</v>
      </c>
      <c r="AH68" s="42">
        <f t="shared" si="2"/>
        <v>116.68115841860302</v>
      </c>
      <c r="AI68" s="42">
        <f t="shared" si="2"/>
        <v>117.57988657025355</v>
      </c>
      <c r="AJ68" s="42">
        <f t="shared" si="2"/>
        <v>118.47026687208992</v>
      </c>
      <c r="AK68" s="50">
        <f t="shared" si="4"/>
        <v>685.36084134209091</v>
      </c>
      <c r="AL68" s="109"/>
      <c r="AM68" s="109"/>
    </row>
    <row r="69" spans="1:39" ht="13.8" thickBot="1">
      <c r="C69" s="23" t="s">
        <v>107</v>
      </c>
      <c r="D69" s="44">
        <f>'15-16 NGET'!D69-'14-15 NGET'!D69</f>
        <v>-19.728045247805994</v>
      </c>
      <c r="E69" s="44">
        <f>'15-16 NGET'!E69-'14-15 NGET'!E69</f>
        <v>-41.127433797230424</v>
      </c>
      <c r="F69" s="44">
        <f>'15-16 NGET'!F69-'14-15 NGET'!F69</f>
        <v>-36.308100259566118</v>
      </c>
      <c r="G69" s="44">
        <f>'15-16 NGET'!G69-'14-15 NGET'!G69</f>
        <v>-53.549362197194569</v>
      </c>
      <c r="H69" s="44">
        <f>'15-16 NGET'!H69-'14-15 NGET'!H69</f>
        <v>-47.745573718543028</v>
      </c>
      <c r="I69" s="44">
        <f>'15-16 NGET'!I69-'14-15 NGET'!I69</f>
        <v>-45.873172535344565</v>
      </c>
      <c r="J69" s="44">
        <f>'15-16 NGET'!J69-'14-15 NGET'!J69</f>
        <v>-46.098986188489789</v>
      </c>
      <c r="K69" s="44">
        <f>'15-16 NGET'!K69-'14-15 NGET'!K69</f>
        <v>-43.555584138874565</v>
      </c>
      <c r="L69" s="28">
        <f>'15-16 NGET'!L69-'14-15 NGET'!L69</f>
        <v>-333.9862580830486</v>
      </c>
      <c r="P69" s="50"/>
      <c r="S69" s="10"/>
      <c r="T69" s="42"/>
      <c r="U69" s="42"/>
      <c r="V69" s="42"/>
      <c r="W69" s="42"/>
      <c r="X69" s="42"/>
      <c r="Y69" s="42"/>
      <c r="Z69" s="42"/>
      <c r="AA69" s="42"/>
      <c r="AB69" s="109"/>
      <c r="AC69" s="42"/>
      <c r="AD69" s="42"/>
      <c r="AE69" s="42"/>
      <c r="AF69" s="42"/>
      <c r="AG69" s="42"/>
      <c r="AH69" s="42"/>
      <c r="AI69" s="42"/>
      <c r="AJ69" s="42"/>
      <c r="AK69" s="50"/>
      <c r="AL69" s="109"/>
      <c r="AM69" s="109"/>
    </row>
    <row r="70" spans="1:39" ht="13.8" thickBot="1">
      <c r="L70" s="28"/>
      <c r="S70" s="10"/>
      <c r="T70" s="42"/>
      <c r="U70" s="42"/>
      <c r="V70" s="42"/>
      <c r="W70" s="42"/>
      <c r="X70" s="42"/>
      <c r="Y70" s="42"/>
      <c r="Z70" s="42"/>
      <c r="AA70" s="42"/>
      <c r="AB70" s="109"/>
      <c r="AC70" s="42"/>
      <c r="AD70" s="42"/>
      <c r="AE70" s="42"/>
      <c r="AF70" s="42"/>
      <c r="AG70" s="42"/>
      <c r="AH70" s="42"/>
      <c r="AI70" s="42"/>
      <c r="AJ70" s="42"/>
      <c r="AK70" s="50"/>
      <c r="AL70" s="109"/>
      <c r="AM70" s="109"/>
    </row>
    <row r="71" spans="1:39" ht="13.8" thickBot="1">
      <c r="C71" s="7" t="s">
        <v>58</v>
      </c>
      <c r="D71" s="8" t="s">
        <v>59</v>
      </c>
      <c r="E71" s="8" t="s">
        <v>60</v>
      </c>
      <c r="F71" s="8" t="s">
        <v>61</v>
      </c>
      <c r="G71" s="8" t="s">
        <v>62</v>
      </c>
      <c r="H71" s="8" t="s">
        <v>63</v>
      </c>
      <c r="I71" s="8" t="s">
        <v>64</v>
      </c>
      <c r="J71" s="8" t="s">
        <v>65</v>
      </c>
      <c r="K71" s="8" t="s">
        <v>66</v>
      </c>
      <c r="L71" s="28"/>
      <c r="P71" s="20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392</v>
      </c>
      <c r="D72" s="42">
        <f>'15-16 NGET'!D72-'14-15 NGET'!D72</f>
        <v>-19.728045247805767</v>
      </c>
      <c r="E72" s="42">
        <f>'15-16 NGET'!E72-'14-15 NGET'!E72</f>
        <v>-41.127433797230196</v>
      </c>
      <c r="F72" s="42">
        <f>'15-16 NGET'!F72-'14-15 NGET'!F72</f>
        <v>-36.30810025956589</v>
      </c>
      <c r="G72" s="42">
        <f>'15-16 NGET'!G72-'14-15 NGET'!G72</f>
        <v>-53.549362197194341</v>
      </c>
      <c r="H72" s="42">
        <f>'15-16 NGET'!H72-'14-15 NGET'!H72</f>
        <v>-47.745573718543255</v>
      </c>
      <c r="I72" s="42">
        <f>'15-16 NGET'!I72-'14-15 NGET'!I72</f>
        <v>-45.873172535344793</v>
      </c>
      <c r="J72" s="42">
        <f>'15-16 NGET'!J72-'14-15 NGET'!J72</f>
        <v>-46.098986188490017</v>
      </c>
      <c r="K72" s="42">
        <f>'15-16 NGET'!K72-'14-15 NGET'!K72</f>
        <v>-43.555584138874337</v>
      </c>
      <c r="L72" s="28">
        <f>'15-16 NGET'!L72-'14-15 NGET'!L72</f>
        <v>-333.9862580830486</v>
      </c>
      <c r="P72" s="42"/>
      <c r="S72" s="11" t="s">
        <v>105</v>
      </c>
      <c r="T72" s="43">
        <v>1427</v>
      </c>
      <c r="U72" s="43">
        <v>1565</v>
      </c>
      <c r="V72" s="43">
        <v>1629</v>
      </c>
      <c r="W72" s="43">
        <v>1701</v>
      </c>
      <c r="X72" s="43">
        <v>1692</v>
      </c>
      <c r="Y72" s="43">
        <v>1723</v>
      </c>
      <c r="Z72" s="43">
        <v>1698</v>
      </c>
      <c r="AA72" s="43">
        <v>1666</v>
      </c>
      <c r="AB72" s="109"/>
      <c r="AC72" s="43">
        <f t="shared" si="3"/>
        <v>-1446.7280452478058</v>
      </c>
      <c r="AD72" s="43">
        <f t="shared" si="2"/>
        <v>-1606.1274337972302</v>
      </c>
      <c r="AE72" s="43">
        <f t="shared" si="2"/>
        <v>-1665.3081002595659</v>
      </c>
      <c r="AF72" s="43">
        <f t="shared" si="2"/>
        <v>-1754.5493621971943</v>
      </c>
      <c r="AG72" s="43">
        <f t="shared" si="2"/>
        <v>-1739.7455737185433</v>
      </c>
      <c r="AH72" s="43">
        <f t="shared" si="2"/>
        <v>-1768.8731725353448</v>
      </c>
      <c r="AI72" s="43">
        <f t="shared" si="2"/>
        <v>-1744.09898618849</v>
      </c>
      <c r="AJ72" s="43">
        <f t="shared" si="2"/>
        <v>-1709.5555841388743</v>
      </c>
      <c r="AK72" s="45">
        <f t="shared" si="4"/>
        <v>-13434.986258083049</v>
      </c>
      <c r="AL72" s="109"/>
      <c r="AM72" s="109"/>
    </row>
    <row r="73" spans="1:39">
      <c r="C73" s="11" t="s">
        <v>175</v>
      </c>
      <c r="D73" s="43">
        <f>'15-16 NGET'!D73-'14-15 NGET'!D73</f>
        <v>0</v>
      </c>
      <c r="E73" s="43">
        <f>'15-16 NGET'!E73-'14-15 NGET'!E73</f>
        <v>0</v>
      </c>
      <c r="F73" s="43">
        <f>'15-16 NGET'!F73-'14-15 NGET'!F73</f>
        <v>0</v>
      </c>
      <c r="G73" s="43">
        <f>'15-16 NGET'!G73-'14-15 NGET'!G73</f>
        <v>0</v>
      </c>
      <c r="H73" s="43">
        <f>'15-16 NGET'!H73-'14-15 NGET'!H73</f>
        <v>0</v>
      </c>
      <c r="I73" s="43">
        <f>'15-16 NGET'!I73-'14-15 NGET'!I73</f>
        <v>0</v>
      </c>
      <c r="J73" s="43">
        <f>'15-16 NGET'!J73-'14-15 NGET'!J73</f>
        <v>0</v>
      </c>
      <c r="K73" s="43">
        <f>'15-16 NGET'!K73-'14-15 NGET'!K73</f>
        <v>0</v>
      </c>
      <c r="L73" s="28">
        <f>'15-16 NGET'!L73-'14-15 NGET'!L73</f>
        <v>0</v>
      </c>
      <c r="N73" s="208"/>
      <c r="P73" s="42"/>
      <c r="S73" s="10" t="s">
        <v>175</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8" thickBot="1">
      <c r="C74" s="23" t="s">
        <v>107</v>
      </c>
      <c r="D74" s="44">
        <f>'15-16 NGET'!D74-'14-15 NGET'!D74</f>
        <v>-19.728045247805767</v>
      </c>
      <c r="E74" s="44">
        <f>'15-16 NGET'!E74-'14-15 NGET'!E74</f>
        <v>-41.127433797230196</v>
      </c>
      <c r="F74" s="44">
        <f>'15-16 NGET'!F74-'14-15 NGET'!F74</f>
        <v>-36.30810025956589</v>
      </c>
      <c r="G74" s="44">
        <f>'15-16 NGET'!G74-'14-15 NGET'!G74</f>
        <v>-53.549362197194341</v>
      </c>
      <c r="H74" s="44">
        <f>'15-16 NGET'!H74-'14-15 NGET'!H74</f>
        <v>-47.745573718543255</v>
      </c>
      <c r="I74" s="44">
        <f>'15-16 NGET'!I74-'14-15 NGET'!I74</f>
        <v>-45.873172535344793</v>
      </c>
      <c r="J74" s="44">
        <f>'15-16 NGET'!J74-'14-15 NGET'!J74</f>
        <v>-46.098986188490017</v>
      </c>
      <c r="K74" s="44">
        <f>'15-16 NGET'!K74-'14-15 NGET'!K74</f>
        <v>-43.555584138874337</v>
      </c>
      <c r="L74" s="28">
        <f>'15-16 NGET'!L74-'14-15 NGET'!L74</f>
        <v>-333.9862580830486</v>
      </c>
      <c r="N74" s="209"/>
      <c r="P74" s="50"/>
      <c r="S74" s="23" t="s">
        <v>107</v>
      </c>
      <c r="T74" s="44">
        <v>1542</v>
      </c>
      <c r="U74" s="44">
        <v>1681</v>
      </c>
      <c r="V74" s="44">
        <v>1753</v>
      </c>
      <c r="W74" s="44">
        <v>1823</v>
      </c>
      <c r="X74" s="44">
        <v>1816</v>
      </c>
      <c r="Y74" s="44">
        <v>1849</v>
      </c>
      <c r="Z74" s="44">
        <v>1826</v>
      </c>
      <c r="AA74" s="44">
        <v>1795</v>
      </c>
      <c r="AB74" s="109"/>
      <c r="AC74" s="44">
        <f t="shared" si="3"/>
        <v>-1561.7280452478058</v>
      </c>
      <c r="AD74" s="44">
        <f t="shared" si="2"/>
        <v>-1722.1274337972302</v>
      </c>
      <c r="AE74" s="44">
        <f t="shared" si="2"/>
        <v>-1789.3081002595659</v>
      </c>
      <c r="AF74" s="44">
        <f t="shared" si="2"/>
        <v>-1876.5493621971943</v>
      </c>
      <c r="AG74" s="44">
        <f t="shared" si="2"/>
        <v>-1863.7455737185433</v>
      </c>
      <c r="AH74" s="44">
        <f t="shared" si="2"/>
        <v>-1894.8731725353448</v>
      </c>
      <c r="AI74" s="44">
        <f t="shared" si="2"/>
        <v>-1872.09898618849</v>
      </c>
      <c r="AJ74" s="44">
        <f t="shared" si="2"/>
        <v>-1838.5555841388743</v>
      </c>
      <c r="AK74" s="44">
        <f t="shared" si="4"/>
        <v>-14418.986258083049</v>
      </c>
      <c r="AL74" s="109"/>
      <c r="AM74" s="109"/>
    </row>
    <row r="75" spans="1:39">
      <c r="D75" s="53"/>
      <c r="E75" s="53"/>
      <c r="F75" s="53"/>
      <c r="G75" s="53"/>
      <c r="H75" s="53"/>
      <c r="I75" s="53"/>
      <c r="J75" s="53"/>
      <c r="K75" s="53"/>
      <c r="L75" s="53"/>
      <c r="P75" s="53"/>
      <c r="AK75" s="38"/>
    </row>
    <row r="76" spans="1:39">
      <c r="D76" s="53" t="s">
        <v>393</v>
      </c>
      <c r="E76" s="53"/>
      <c r="F76" s="53">
        <f>D74*1.04552*1.04432+E74*1.04432+F74</f>
        <v>-100.79851502942219</v>
      </c>
      <c r="G76" s="53"/>
      <c r="H76" s="53"/>
      <c r="I76" s="53"/>
      <c r="J76" s="53"/>
      <c r="K76" s="53"/>
      <c r="L76" s="53"/>
      <c r="AK76" s="38"/>
    </row>
    <row r="77" spans="1:39">
      <c r="D77" s="53" t="s">
        <v>201</v>
      </c>
      <c r="E77" s="53"/>
      <c r="F77" s="53">
        <f>F76-'ET workings 15-16'!F105+'NGET differences 14-15'!F74</f>
        <v>-8.5265128291212022E-14</v>
      </c>
      <c r="G77" s="53"/>
      <c r="H77" s="53"/>
      <c r="I77" s="53"/>
      <c r="J77" s="53"/>
      <c r="K77" s="53"/>
      <c r="L77" s="53"/>
      <c r="AK77" s="38"/>
    </row>
    <row r="78" spans="1:39" ht="13.8" thickBot="1"/>
    <row r="79" spans="1:39" ht="13.8" thickBot="1">
      <c r="A79" s="38"/>
      <c r="C79" s="14" t="s">
        <v>58</v>
      </c>
      <c r="D79" s="15" t="s">
        <v>59</v>
      </c>
      <c r="E79" s="15" t="s">
        <v>60</v>
      </c>
      <c r="F79" s="15" t="s">
        <v>61</v>
      </c>
      <c r="G79" s="15" t="s">
        <v>62</v>
      </c>
      <c r="H79" s="15" t="s">
        <v>63</v>
      </c>
      <c r="I79" s="15" t="s">
        <v>64</v>
      </c>
      <c r="J79" s="15" t="s">
        <v>65</v>
      </c>
      <c r="K79" s="15" t="s">
        <v>66</v>
      </c>
      <c r="L79" s="15" t="s">
        <v>118</v>
      </c>
      <c r="P79" s="205"/>
    </row>
    <row r="80" spans="1:39">
      <c r="C80" s="124"/>
      <c r="D80" s="125"/>
      <c r="E80" s="125"/>
      <c r="F80" s="125"/>
      <c r="G80" s="125"/>
      <c r="H80" s="125"/>
      <c r="I80" s="125"/>
      <c r="J80" s="125"/>
      <c r="K80" s="125"/>
      <c r="L80" s="125"/>
      <c r="P80" s="206"/>
    </row>
    <row r="81" spans="1:16">
      <c r="C81" s="17" t="str">
        <f>C3</f>
        <v>TO capex - load-related</v>
      </c>
      <c r="D81" s="165">
        <f>'15-16 NGET'!D81-'14-15 NGET'!D81</f>
        <v>0</v>
      </c>
      <c r="E81" s="165">
        <f>'15-16 NGET'!E81-'14-15 NGET'!E81</f>
        <v>0</v>
      </c>
      <c r="F81" s="165">
        <f>'15-16 NGET'!F81-'14-15 NGET'!F81</f>
        <v>0</v>
      </c>
      <c r="G81" s="165">
        <f>'15-16 NGET'!G81-'14-15 NGET'!G81</f>
        <v>0</v>
      </c>
      <c r="H81" s="165">
        <f>'15-16 NGET'!H81-'14-15 NGET'!H81</f>
        <v>0</v>
      </c>
      <c r="I81" s="165">
        <f>'15-16 NGET'!I81-'14-15 NGET'!I81</f>
        <v>0</v>
      </c>
      <c r="J81" s="165">
        <f>'15-16 NGET'!J81-'14-15 NGET'!J81</f>
        <v>0</v>
      </c>
      <c r="K81" s="165">
        <f>'15-16 NGET'!K81-'14-15 NGET'!K81</f>
        <v>0</v>
      </c>
      <c r="L81" s="165">
        <f>'15-16 NGET'!L81-'14-15 NGET'!L81</f>
        <v>0</v>
      </c>
      <c r="M81" s="53">
        <f>'15-16 NGET'!M81-'14-15 NGET'!M81</f>
        <v>0</v>
      </c>
      <c r="N81" s="53">
        <f>'15-16 NGET'!N81-'14-15 NGET'!N81</f>
        <v>0</v>
      </c>
      <c r="P81" s="165"/>
    </row>
    <row r="82" spans="1:16">
      <c r="C82" s="17" t="s">
        <v>394</v>
      </c>
      <c r="D82" s="165">
        <f>'15-16 NGET'!D82-'14-15 NGET'!D82</f>
        <v>0</v>
      </c>
      <c r="E82" s="165">
        <f>'15-16 NGET'!E82-'14-15 NGET'!E82</f>
        <v>0</v>
      </c>
      <c r="F82" s="165">
        <f>'15-16 NGET'!F82-'14-15 NGET'!F82</f>
        <v>0</v>
      </c>
      <c r="G82" s="165">
        <f>'15-16 NGET'!G82-'14-15 NGET'!G82</f>
        <v>0</v>
      </c>
      <c r="H82" s="165">
        <f>'15-16 NGET'!H82-'14-15 NGET'!H82</f>
        <v>0</v>
      </c>
      <c r="I82" s="165">
        <f>'15-16 NGET'!I82-'14-15 NGET'!I82</f>
        <v>0</v>
      </c>
      <c r="J82" s="165">
        <f>'15-16 NGET'!J82-'14-15 NGET'!J82</f>
        <v>0</v>
      </c>
      <c r="K82" s="165">
        <f>'15-16 NGET'!K82-'14-15 NGET'!K82</f>
        <v>0</v>
      </c>
      <c r="L82" s="165">
        <f>'15-16 NGET'!L82-'14-15 NGET'!L82</f>
        <v>0</v>
      </c>
      <c r="M82" s="53">
        <f>'15-16 NGET'!M82-'14-15 NGET'!M82</f>
        <v>0</v>
      </c>
      <c r="N82" s="53">
        <f>'15-16 NGET'!N82-'14-15 NGET'!N82</f>
        <v>0</v>
      </c>
      <c r="P82" s="165"/>
    </row>
    <row r="83" spans="1:16">
      <c r="C83" s="18" t="str">
        <f>C5</f>
        <v xml:space="preserve">Uncertainty mechanism capex </v>
      </c>
      <c r="D83" s="166">
        <f>'15-16 NGET'!D83-'14-15 NGET'!D83</f>
        <v>81.999009111431292</v>
      </c>
      <c r="E83" s="166">
        <f>'15-16 NGET'!E83-'14-15 NGET'!E83</f>
        <v>-68.341193021032495</v>
      </c>
      <c r="F83" s="166">
        <f>'15-16 NGET'!F83-'14-15 NGET'!F83</f>
        <v>-88.998078718929264</v>
      </c>
      <c r="G83" s="166">
        <f>'15-16 NGET'!G83-'14-15 NGET'!G83</f>
        <v>-132.51840191204599</v>
      </c>
      <c r="H83" s="166">
        <f>'15-16 NGET'!H83-'14-15 NGET'!H83</f>
        <v>-75.215000000000032</v>
      </c>
      <c r="I83" s="166">
        <f>'15-16 NGET'!I83-'14-15 NGET'!I83</f>
        <v>-40.961000000000013</v>
      </c>
      <c r="J83" s="166">
        <f>'15-16 NGET'!J83-'14-15 NGET'!J83</f>
        <v>-27.456000000000017</v>
      </c>
      <c r="K83" s="166">
        <f>'15-16 NGET'!K83-'14-15 NGET'!K83</f>
        <v>-3.2740000000000009</v>
      </c>
      <c r="L83" s="166">
        <f>'15-16 NGET'!L83-'14-15 NGET'!L83</f>
        <v>-354.76466454057663</v>
      </c>
      <c r="M83" s="53">
        <f>'15-16 NGET'!M83-'14-15 NGET'!M83</f>
        <v>-0.35476466454057665</v>
      </c>
      <c r="N83" s="53">
        <f>'15-16 NGET'!N83-'14-15 NGET'!N83</f>
        <v>0</v>
      </c>
      <c r="P83" s="165"/>
    </row>
    <row r="84" spans="1:16">
      <c r="C84" s="17" t="str">
        <f>C6</f>
        <v xml:space="preserve">Uncertainty mechanism opex </v>
      </c>
      <c r="D84" s="165">
        <f>'15-16 NGET'!D84-'14-15 NGET'!D84</f>
        <v>0</v>
      </c>
      <c r="E84" s="165">
        <f>'15-16 NGET'!E84-'14-15 NGET'!E84</f>
        <v>0</v>
      </c>
      <c r="F84" s="165">
        <f>'15-16 NGET'!F84-'14-15 NGET'!F84</f>
        <v>0</v>
      </c>
      <c r="G84" s="165">
        <f>'15-16 NGET'!G84-'14-15 NGET'!G84</f>
        <v>0</v>
      </c>
      <c r="H84" s="165">
        <f>'15-16 NGET'!H84-'14-15 NGET'!H84</f>
        <v>0</v>
      </c>
      <c r="I84" s="165">
        <f>'15-16 NGET'!I84-'14-15 NGET'!I84</f>
        <v>0</v>
      </c>
      <c r="J84" s="165">
        <f>'15-16 NGET'!J84-'14-15 NGET'!J84</f>
        <v>0</v>
      </c>
      <c r="K84" s="165">
        <f>'15-16 NGET'!K84-'14-15 NGET'!K84</f>
        <v>0</v>
      </c>
      <c r="L84" s="165">
        <f>'15-16 NGET'!L84-'14-15 NGET'!L84</f>
        <v>0</v>
      </c>
      <c r="M84" s="53">
        <f>'15-16 NGET'!M84-'14-15 NGET'!M84</f>
        <v>0</v>
      </c>
      <c r="N84" s="53">
        <f>'15-16 NGET'!N84-'14-15 NGET'!N84</f>
        <v>0</v>
      </c>
      <c r="P84" s="165"/>
    </row>
    <row r="85" spans="1:16">
      <c r="C85" s="18" t="str">
        <f>C7</f>
        <v xml:space="preserve">Controllable opex </v>
      </c>
      <c r="D85" s="158">
        <f>'15-16 NGET'!D85-'14-15 NGET'!D85</f>
        <v>0</v>
      </c>
      <c r="E85" s="158">
        <f>'15-16 NGET'!E85-'14-15 NGET'!E85</f>
        <v>0</v>
      </c>
      <c r="F85" s="158">
        <f>'15-16 NGET'!F85-'14-15 NGET'!F85</f>
        <v>0</v>
      </c>
      <c r="G85" s="158">
        <f>'15-16 NGET'!G85-'14-15 NGET'!G85</f>
        <v>0</v>
      </c>
      <c r="H85" s="158">
        <f>'15-16 NGET'!H85-'14-15 NGET'!H85</f>
        <v>0</v>
      </c>
      <c r="I85" s="158">
        <f>'15-16 NGET'!I85-'14-15 NGET'!I85</f>
        <v>0</v>
      </c>
      <c r="J85" s="158">
        <f>'15-16 NGET'!J85-'14-15 NGET'!J85</f>
        <v>0</v>
      </c>
      <c r="K85" s="158">
        <f>'15-16 NGET'!K85-'14-15 NGET'!K85</f>
        <v>0</v>
      </c>
      <c r="L85" s="158">
        <f>'15-16 NGET'!L85-'14-15 NGET'!L85</f>
        <v>0</v>
      </c>
      <c r="M85" s="53">
        <f>'15-16 NGET'!M85-'14-15 NGET'!M85</f>
        <v>0</v>
      </c>
      <c r="N85" s="53">
        <f>'15-16 NGET'!N85-'14-15 NGET'!N85</f>
        <v>0</v>
      </c>
      <c r="P85" s="168"/>
    </row>
    <row r="86" spans="1:16">
      <c r="C86" s="19" t="str">
        <f>C9</f>
        <v xml:space="preserve">TO Totex </v>
      </c>
      <c r="D86" s="167">
        <f>'15-16 NGET'!D87-'14-15 NGET'!D86</f>
        <v>-183.59863190978831</v>
      </c>
      <c r="E86" s="167">
        <f>'15-16 NGET'!E87-'14-15 NGET'!E86</f>
        <v>-68.341193021032723</v>
      </c>
      <c r="F86" s="167">
        <f>'15-16 NGET'!F87-'14-15 NGET'!F86</f>
        <v>-88.998078718929264</v>
      </c>
      <c r="G86" s="167">
        <f>'15-16 NGET'!G87-'14-15 NGET'!G86</f>
        <v>-132.51840191204587</v>
      </c>
      <c r="H86" s="167">
        <f>'15-16 NGET'!H87-'14-15 NGET'!H86</f>
        <v>-75.214999999999918</v>
      </c>
      <c r="I86" s="167">
        <f>'15-16 NGET'!I87-'14-15 NGET'!I86</f>
        <v>-40.961000000000013</v>
      </c>
      <c r="J86" s="167">
        <f>'15-16 NGET'!J87-'14-15 NGET'!J86</f>
        <v>-27.455999999999904</v>
      </c>
      <c r="K86" s="167">
        <f>'15-16 NGET'!K87-'14-15 NGET'!K86</f>
        <v>-3.2740000000000009</v>
      </c>
      <c r="L86" s="167">
        <f>'15-16 NGET'!L87-'14-15 NGET'!L86</f>
        <v>-620.36230556179362</v>
      </c>
      <c r="M86" s="53">
        <f>'15-16 NGET'!M87-'14-15 NGET'!M86</f>
        <v>-0.62036230556179639</v>
      </c>
      <c r="N86" s="53">
        <f>'15-16 NGET'!N87-'14-15 NGET'!N86</f>
        <v>0</v>
      </c>
      <c r="P86" s="167"/>
    </row>
    <row r="87" spans="1:16">
      <c r="C87" s="18" t="str">
        <f>C10</f>
        <v xml:space="preserve">Non controllable opex </v>
      </c>
      <c r="D87" s="166">
        <f>'15-16 NGET'!D88-'14-15 NGET'!D87</f>
        <v>0</v>
      </c>
      <c r="E87" s="166">
        <f>'15-16 NGET'!E88-'14-15 NGET'!E87</f>
        <v>0</v>
      </c>
      <c r="F87" s="166">
        <f>'15-16 NGET'!F88-'14-15 NGET'!F87</f>
        <v>0</v>
      </c>
      <c r="G87" s="166">
        <f>'15-16 NGET'!G88-'14-15 NGET'!G87</f>
        <v>0</v>
      </c>
      <c r="H87" s="166">
        <f>'15-16 NGET'!H88-'14-15 NGET'!H87</f>
        <v>0</v>
      </c>
      <c r="I87" s="166">
        <f>'15-16 NGET'!I88-'14-15 NGET'!I87</f>
        <v>0</v>
      </c>
      <c r="J87" s="166">
        <f>'15-16 NGET'!J88-'14-15 NGET'!J87</f>
        <v>0</v>
      </c>
      <c r="K87" s="166">
        <f>'15-16 NGET'!K88-'14-15 NGET'!K87</f>
        <v>0</v>
      </c>
      <c r="L87" s="166">
        <f>'15-16 NGET'!L88-'14-15 NGET'!L87</f>
        <v>0</v>
      </c>
      <c r="M87" s="53">
        <f>'15-16 NGET'!M88-'14-15 NGET'!M87</f>
        <v>0</v>
      </c>
      <c r="N87" s="53">
        <f>'15-16 NGET'!N88-'14-15 NGET'!N87</f>
        <v>0</v>
      </c>
      <c r="P87" s="165"/>
    </row>
    <row r="88" spans="1:16">
      <c r="C88" s="17"/>
      <c r="D88" s="168"/>
      <c r="E88" s="168"/>
      <c r="F88" s="168"/>
      <c r="G88" s="168"/>
      <c r="H88" s="168"/>
      <c r="I88" s="168"/>
      <c r="J88" s="168"/>
      <c r="K88" s="168"/>
      <c r="L88" s="165"/>
      <c r="M88" s="53"/>
      <c r="N88" s="53"/>
      <c r="P88" s="168"/>
    </row>
    <row r="89" spans="1:16">
      <c r="C89" s="18" t="str">
        <f>C12</f>
        <v xml:space="preserve">SO capex </v>
      </c>
      <c r="D89" s="158">
        <f>'15-16 NGET'!D90-'14-15 NGET'!D89</f>
        <v>0</v>
      </c>
      <c r="E89" s="158">
        <f>'15-16 NGET'!E90-'14-15 NGET'!E89</f>
        <v>0</v>
      </c>
      <c r="F89" s="158">
        <f>'15-16 NGET'!F90-'14-15 NGET'!F89</f>
        <v>0</v>
      </c>
      <c r="G89" s="158">
        <f>'15-16 NGET'!G90-'14-15 NGET'!G89</f>
        <v>0</v>
      </c>
      <c r="H89" s="158">
        <f>'15-16 NGET'!H90-'14-15 NGET'!H89</f>
        <v>0</v>
      </c>
      <c r="I89" s="158">
        <f>'15-16 NGET'!I90-'14-15 NGET'!I89</f>
        <v>0</v>
      </c>
      <c r="J89" s="158">
        <f>'15-16 NGET'!J90-'14-15 NGET'!J89</f>
        <v>0</v>
      </c>
      <c r="K89" s="158">
        <f>'15-16 NGET'!K90-'14-15 NGET'!K89</f>
        <v>0</v>
      </c>
      <c r="L89" s="158">
        <f>'15-16 NGET'!L90-'14-15 NGET'!L89</f>
        <v>0</v>
      </c>
      <c r="M89" s="53">
        <f>'15-16 NGET'!M90-'14-15 NGET'!M89</f>
        <v>0</v>
      </c>
      <c r="N89" s="53">
        <f>'15-16 NGET'!N90-'14-15 NGET'!N89</f>
        <v>0</v>
      </c>
      <c r="P89" s="168"/>
    </row>
    <row r="90" spans="1:16">
      <c r="C90" s="17" t="str">
        <f>C13</f>
        <v xml:space="preserve">Controllable opex </v>
      </c>
      <c r="D90" s="165">
        <f>'15-16 NGET'!D91-'14-15 NGET'!D90</f>
        <v>0</v>
      </c>
      <c r="E90" s="165">
        <f>'15-16 NGET'!E91-'14-15 NGET'!E90</f>
        <v>0</v>
      </c>
      <c r="F90" s="165">
        <f>'15-16 NGET'!F91-'14-15 NGET'!F90</f>
        <v>0</v>
      </c>
      <c r="G90" s="165">
        <f>'15-16 NGET'!G91-'14-15 NGET'!G90</f>
        <v>0</v>
      </c>
      <c r="H90" s="165">
        <f>'15-16 NGET'!H91-'14-15 NGET'!H90</f>
        <v>0</v>
      </c>
      <c r="I90" s="165">
        <f>'15-16 NGET'!I91-'14-15 NGET'!I90</f>
        <v>0</v>
      </c>
      <c r="J90" s="165">
        <f>'15-16 NGET'!J91-'14-15 NGET'!J90</f>
        <v>0</v>
      </c>
      <c r="K90" s="165">
        <f>'15-16 NGET'!K91-'14-15 NGET'!K90</f>
        <v>0</v>
      </c>
      <c r="L90" s="165">
        <f>'15-16 NGET'!L91-'14-15 NGET'!L90</f>
        <v>0</v>
      </c>
      <c r="M90" s="53">
        <f>'15-16 NGET'!M91-'14-15 NGET'!M90</f>
        <v>0</v>
      </c>
      <c r="N90" s="53">
        <f>'15-16 NGET'!N91-'14-15 NGET'!N90</f>
        <v>0</v>
      </c>
      <c r="P90" s="165"/>
    </row>
    <row r="91" spans="1:16" ht="13.8" thickBot="1">
      <c r="C91" s="23" t="str">
        <f>C15</f>
        <v xml:space="preserve">SO Totex </v>
      </c>
      <c r="D91" s="44">
        <f>'15-16 NGET'!D93-'14-15 NGET'!D91</f>
        <v>-0.57929770079493892</v>
      </c>
      <c r="E91" s="44">
        <f>'15-16 NGET'!E93-'14-15 NGET'!E91</f>
        <v>0</v>
      </c>
      <c r="F91" s="44">
        <f>'15-16 NGET'!F93-'14-15 NGET'!F91</f>
        <v>0</v>
      </c>
      <c r="G91" s="44">
        <f>'15-16 NGET'!G93-'14-15 NGET'!G91</f>
        <v>0</v>
      </c>
      <c r="H91" s="44">
        <f>'15-16 NGET'!H93-'14-15 NGET'!H91</f>
        <v>0</v>
      </c>
      <c r="I91" s="44">
        <f>'15-16 NGET'!I93-'14-15 NGET'!I91</f>
        <v>0</v>
      </c>
      <c r="J91" s="44">
        <f>'15-16 NGET'!J93-'14-15 NGET'!J91</f>
        <v>0</v>
      </c>
      <c r="K91" s="44">
        <f>'15-16 NGET'!K93-'14-15 NGET'!K91</f>
        <v>0</v>
      </c>
      <c r="L91" s="44">
        <f>'15-16 NGET'!L93-'14-15 NGET'!L91</f>
        <v>-0.57929770079488208</v>
      </c>
      <c r="M91" s="53">
        <f>'15-16 NGET'!M93-'14-15 NGET'!M91</f>
        <v>-5.7929770079490073E-4</v>
      </c>
      <c r="N91" s="53">
        <f>'15-16 NGET'!N93-'14-15 NGET'!N91</f>
        <v>0</v>
      </c>
      <c r="P91" s="50"/>
    </row>
    <row r="92" spans="1:16">
      <c r="A92" s="38" t="s">
        <v>378</v>
      </c>
    </row>
    <row r="93" spans="1:16" ht="13.8" thickBot="1">
      <c r="C93" s="38" t="s">
        <v>140</v>
      </c>
    </row>
    <row r="94" spans="1:16" ht="13.8" thickBot="1">
      <c r="C94" s="7" t="s">
        <v>58</v>
      </c>
      <c r="D94" s="8" t="s">
        <v>59</v>
      </c>
      <c r="E94" s="8" t="s">
        <v>60</v>
      </c>
      <c r="F94" s="8" t="s">
        <v>61</v>
      </c>
      <c r="G94" s="8" t="s">
        <v>62</v>
      </c>
      <c r="H94" s="8" t="s">
        <v>63</v>
      </c>
      <c r="I94" s="8" t="s">
        <v>64</v>
      </c>
      <c r="J94" s="8" t="s">
        <v>65</v>
      </c>
      <c r="K94" s="8" t="s">
        <v>66</v>
      </c>
    </row>
    <row r="95" spans="1:16">
      <c r="C95" s="22" t="s">
        <v>91</v>
      </c>
      <c r="D95" s="41">
        <f>'15-16 NGET'!D97-'14-15 NGET'!D95</f>
        <v>0</v>
      </c>
      <c r="E95" s="41">
        <f>'15-16 NGET'!E97-'14-15 NGET'!E95</f>
        <v>-164.68946118184249</v>
      </c>
      <c r="F95" s="41">
        <f>'15-16 NGET'!F97-'14-15 NGET'!F95</f>
        <v>-215.16178881749147</v>
      </c>
      <c r="G95" s="41">
        <f>'15-16 NGET'!G97-'14-15 NGET'!G95</f>
        <v>-280.81092066519886</v>
      </c>
      <c r="H95" s="41">
        <f>'15-16 NGET'!H97-'14-15 NGET'!H95</f>
        <v>-381.69652652978039</v>
      </c>
      <c r="I95" s="41">
        <f>'15-16 NGET'!I97-'14-15 NGET'!I95</f>
        <v>-430.40837487295721</v>
      </c>
      <c r="J95" s="41">
        <f>'15-16 NGET'!J97-'14-15 NGET'!J95</f>
        <v>-448.20971970736355</v>
      </c>
      <c r="K95" s="41">
        <f>'15-16 NGET'!K97-'14-15 NGET'!K95</f>
        <v>-453.63331518693303</v>
      </c>
    </row>
    <row r="96" spans="1:16">
      <c r="C96" s="10" t="s">
        <v>86</v>
      </c>
      <c r="D96" s="42">
        <f>'15-16 NGET'!D98-'14-15 NGET'!D96</f>
        <v>-164.68946118184158</v>
      </c>
      <c r="E96" s="42">
        <f>'15-16 NGET'!E98-'14-15 NGET'!E96</f>
        <v>-57.610134067877652</v>
      </c>
      <c r="F96" s="42">
        <f>'15-16 NGET'!F98-'14-15 NGET'!F96</f>
        <v>-74.931336911089829</v>
      </c>
      <c r="G96" s="42">
        <f>'15-16 NGET'!G98-'14-15 NGET'!G96</f>
        <v>-112.64064162523914</v>
      </c>
      <c r="H96" s="42">
        <f>'15-16 NGET'!H98-'14-15 NGET'!H96</f>
        <v>-63.932749999999942</v>
      </c>
      <c r="I96" s="42">
        <f>'15-16 NGET'!I98-'14-15 NGET'!I96</f>
        <v>-34.816849999999704</v>
      </c>
      <c r="J96" s="42">
        <f>'15-16 NGET'!J98-'14-15 NGET'!J96</f>
        <v>-23.337600000000066</v>
      </c>
      <c r="K96" s="42">
        <f>'15-16 NGET'!K98-'14-15 NGET'!K96</f>
        <v>-2.7829000000000406</v>
      </c>
    </row>
    <row r="97" spans="1:11">
      <c r="C97" s="11" t="s">
        <v>87</v>
      </c>
      <c r="D97" s="43">
        <f>'15-16 NGET'!D99-'14-15 NGET'!D97</f>
        <v>0</v>
      </c>
      <c r="E97" s="43">
        <f>'15-16 NGET'!E99-'14-15 NGET'!E97</f>
        <v>7.137806432225716</v>
      </c>
      <c r="F97" s="43">
        <f>'15-16 NGET'!F99-'14-15 NGET'!F97</f>
        <v>9.2822050633828894</v>
      </c>
      <c r="G97" s="43">
        <f>'15-16 NGET'!G99-'14-15 NGET'!G97</f>
        <v>11.755035760660235</v>
      </c>
      <c r="H97" s="43">
        <f>'15-16 NGET'!H99-'14-15 NGET'!H97</f>
        <v>15.220901656821411</v>
      </c>
      <c r="I97" s="43">
        <f>'15-16 NGET'!I99-'14-15 NGET'!I97</f>
        <v>17.015505165593254</v>
      </c>
      <c r="J97" s="43">
        <f>'15-16 NGET'!J99-'14-15 NGET'!J97</f>
        <v>17.914004520432059</v>
      </c>
      <c r="K97" s="43">
        <f>'15-16 NGET'!K99-'14-15 NGET'!K97</f>
        <v>18.471320341327669</v>
      </c>
    </row>
    <row r="98" spans="1:11" ht="13.8" thickBot="1">
      <c r="C98" s="13" t="s">
        <v>94</v>
      </c>
      <c r="D98" s="52">
        <f>'15-16 NGET'!D100-'14-15 NGET'!D98</f>
        <v>-164.68946118184249</v>
      </c>
      <c r="E98" s="52">
        <f>'15-16 NGET'!E100-'14-15 NGET'!E98</f>
        <v>-215.16178881749147</v>
      </c>
      <c r="F98" s="52">
        <f>'15-16 NGET'!F100-'14-15 NGET'!F98</f>
        <v>-280.81092066519705</v>
      </c>
      <c r="G98" s="52">
        <f>'15-16 NGET'!G100-'14-15 NGET'!G98</f>
        <v>-381.69652652977857</v>
      </c>
      <c r="H98" s="52">
        <f>'15-16 NGET'!H100-'14-15 NGET'!H98</f>
        <v>-430.40837487295721</v>
      </c>
      <c r="I98" s="52">
        <f>'15-16 NGET'!I100-'14-15 NGET'!I98</f>
        <v>-448.20971970736537</v>
      </c>
      <c r="J98" s="52">
        <f>'15-16 NGET'!J100-'14-15 NGET'!J98</f>
        <v>-453.63331518693121</v>
      </c>
      <c r="K98" s="52">
        <f>'15-16 NGET'!K100-'14-15 NGET'!K98</f>
        <v>-437.94489484560654</v>
      </c>
    </row>
    <row r="100" spans="1:11" ht="13.8" thickBot="1"/>
    <row r="101" spans="1:11" ht="13.8" thickBot="1">
      <c r="C101" s="7" t="s">
        <v>58</v>
      </c>
      <c r="D101" s="8" t="s">
        <v>59</v>
      </c>
      <c r="E101" s="8" t="s">
        <v>60</v>
      </c>
      <c r="F101" s="8" t="s">
        <v>61</v>
      </c>
      <c r="G101" s="8" t="s">
        <v>62</v>
      </c>
      <c r="H101" s="8" t="s">
        <v>63</v>
      </c>
      <c r="I101" s="8" t="s">
        <v>64</v>
      </c>
      <c r="J101" s="8" t="s">
        <v>65</v>
      </c>
      <c r="K101" s="8" t="s">
        <v>66</v>
      </c>
    </row>
    <row r="102" spans="1:11">
      <c r="C102" s="10" t="s">
        <v>370</v>
      </c>
      <c r="D102" s="169">
        <f>'15-16 NGET'!D104-'14-15 NGET'!D102</f>
        <v>0</v>
      </c>
      <c r="E102" s="169">
        <f>'15-16 NGET'!E104-'14-15 NGET'!E102</f>
        <v>0</v>
      </c>
      <c r="F102" s="169">
        <f>'15-16 NGET'!F104-'14-15 NGET'!F102</f>
        <v>0</v>
      </c>
      <c r="G102" s="169">
        <f>'15-16 NGET'!G104-'14-15 NGET'!G102</f>
        <v>0</v>
      </c>
      <c r="H102" s="169">
        <f>'15-16 NGET'!H104-'14-15 NGET'!H102</f>
        <v>0</v>
      </c>
      <c r="I102" s="169">
        <f>'15-16 NGET'!I104-'14-15 NGET'!I102</f>
        <v>0</v>
      </c>
      <c r="J102" s="169">
        <f>'15-16 NGET'!J104-'14-15 NGET'!J102</f>
        <v>0</v>
      </c>
      <c r="K102" s="169">
        <f>'15-16 NGET'!K104-'14-15 NGET'!K102</f>
        <v>0</v>
      </c>
    </row>
    <row r="103" spans="1:11">
      <c r="C103" s="170" t="s">
        <v>371</v>
      </c>
      <c r="D103" s="171">
        <f>'15-16 NGET'!D105-'14-15 NGET'!D103</f>
        <v>0</v>
      </c>
      <c r="E103" s="171">
        <f>'15-16 NGET'!E105-'14-15 NGET'!E103</f>
        <v>0</v>
      </c>
      <c r="F103" s="171">
        <f>'15-16 NGET'!F105-'14-15 NGET'!F103</f>
        <v>0</v>
      </c>
      <c r="G103" s="171">
        <f>'15-16 NGET'!G105-'14-15 NGET'!G103</f>
        <v>0</v>
      </c>
      <c r="H103" s="171">
        <f>'15-16 NGET'!H105-'14-15 NGET'!H103</f>
        <v>0</v>
      </c>
      <c r="I103" s="171">
        <f>'15-16 NGET'!I105-'14-15 NGET'!I103</f>
        <v>0</v>
      </c>
      <c r="J103" s="171">
        <f>'15-16 NGET'!J105-'14-15 NGET'!J103</f>
        <v>0</v>
      </c>
      <c r="K103" s="171">
        <f>'15-16 NGET'!K105-'14-15 NGET'!K103</f>
        <v>0</v>
      </c>
    </row>
    <row r="104" spans="1:11">
      <c r="C104" s="10"/>
      <c r="D104" s="169"/>
      <c r="E104" s="169"/>
      <c r="F104" s="169"/>
      <c r="G104" s="169"/>
      <c r="H104" s="169"/>
      <c r="I104" s="169"/>
      <c r="J104" s="169"/>
      <c r="K104" s="169"/>
    </row>
    <row r="105" spans="1:11">
      <c r="C105" s="11" t="s">
        <v>372</v>
      </c>
      <c r="D105" s="171">
        <f>'15-16 NGET'!D107-'14-15 NGET'!D105</f>
        <v>0</v>
      </c>
      <c r="E105" s="171">
        <f>'15-16 NGET'!E107-'14-15 NGET'!E105</f>
        <v>0</v>
      </c>
      <c r="F105" s="171">
        <f>'15-16 NGET'!F107-'14-15 NGET'!F105</f>
        <v>0</v>
      </c>
      <c r="G105" s="171">
        <f>'15-16 NGET'!G107-'14-15 NGET'!G105</f>
        <v>0</v>
      </c>
      <c r="H105" s="171">
        <f>'15-16 NGET'!H107-'14-15 NGET'!H105</f>
        <v>0</v>
      </c>
      <c r="I105" s="171">
        <f>'15-16 NGET'!I107-'14-15 NGET'!I105</f>
        <v>0</v>
      </c>
      <c r="J105" s="171">
        <f>'15-16 NGET'!J107-'14-15 NGET'!J105</f>
        <v>0</v>
      </c>
      <c r="K105" s="171">
        <f>'15-16 NGET'!K107-'14-15 NGET'!K105</f>
        <v>0</v>
      </c>
    </row>
    <row r="106" spans="1:11">
      <c r="C106" s="10" t="s">
        <v>373</v>
      </c>
      <c r="D106" s="169">
        <f>'15-16 NGET'!D108-'14-15 NGET'!D106</f>
        <v>0</v>
      </c>
      <c r="E106" s="169">
        <f>'15-16 NGET'!E108-'14-15 NGET'!E106</f>
        <v>0</v>
      </c>
      <c r="F106" s="169">
        <f>'15-16 NGET'!F108-'14-15 NGET'!F106</f>
        <v>0</v>
      </c>
      <c r="G106" s="169">
        <f>'15-16 NGET'!G108-'14-15 NGET'!G106</f>
        <v>0</v>
      </c>
      <c r="H106" s="169">
        <f>'15-16 NGET'!H108-'14-15 NGET'!H106</f>
        <v>0</v>
      </c>
      <c r="I106" s="169">
        <f>'15-16 NGET'!I108-'14-15 NGET'!I106</f>
        <v>0</v>
      </c>
      <c r="J106" s="169">
        <f>'15-16 NGET'!J108-'14-15 NGET'!J106</f>
        <v>0</v>
      </c>
      <c r="K106" s="169">
        <f>'15-16 NGET'!K108-'14-15 NGET'!K106</f>
        <v>0</v>
      </c>
    </row>
    <row r="107" spans="1:11">
      <c r="C107" s="11"/>
      <c r="D107" s="171"/>
      <c r="E107" s="171"/>
      <c r="F107" s="171"/>
      <c r="G107" s="171"/>
      <c r="H107" s="171"/>
      <c r="I107" s="171"/>
      <c r="J107" s="171"/>
      <c r="K107" s="171"/>
    </row>
    <row r="108" spans="1:11" ht="13.8" thickBot="1">
      <c r="C108" s="40" t="s">
        <v>374</v>
      </c>
      <c r="D108" s="46">
        <f>'15-16 NGET'!D110-'14-15 NGET'!D108</f>
        <v>0</v>
      </c>
      <c r="E108" s="46">
        <f>'15-16 NGET'!E110-'14-15 NGET'!E108</f>
        <v>0</v>
      </c>
      <c r="F108" s="46">
        <f>'15-16 NGET'!F110-'14-15 NGET'!F108</f>
        <v>0</v>
      </c>
      <c r="G108" s="46">
        <f>'15-16 NGET'!G110-'14-15 NGET'!G108</f>
        <v>0</v>
      </c>
      <c r="H108" s="46">
        <f>'15-16 NGET'!H110-'14-15 NGET'!H108</f>
        <v>0</v>
      </c>
      <c r="I108" s="46">
        <f>'15-16 NGET'!I110-'14-15 NGET'!I108</f>
        <v>0</v>
      </c>
      <c r="J108" s="46">
        <f>'15-16 NGET'!J110-'14-15 NGET'!J108</f>
        <v>0</v>
      </c>
      <c r="K108" s="46">
        <f>'15-16 NGET'!K110-'14-15 NGET'!K108</f>
        <v>0</v>
      </c>
    </row>
    <row r="109" spans="1:11">
      <c r="A109" s="38" t="s">
        <v>364</v>
      </c>
    </row>
    <row r="110" spans="1:11" ht="13.8" thickBot="1">
      <c r="C110" s="38" t="s">
        <v>122</v>
      </c>
    </row>
    <row r="111" spans="1:11" ht="13.8" thickBot="1">
      <c r="C111" s="7" t="s">
        <v>58</v>
      </c>
      <c r="D111" s="8" t="s">
        <v>59</v>
      </c>
      <c r="E111" s="8" t="s">
        <v>60</v>
      </c>
      <c r="F111" s="8" t="s">
        <v>61</v>
      </c>
      <c r="G111" s="8" t="s">
        <v>62</v>
      </c>
      <c r="H111" s="8" t="s">
        <v>63</v>
      </c>
      <c r="I111" s="8" t="s">
        <v>64</v>
      </c>
      <c r="J111" s="8" t="s">
        <v>65</v>
      </c>
      <c r="K111" s="8" t="s">
        <v>66</v>
      </c>
    </row>
    <row r="112" spans="1:11">
      <c r="C112" s="22" t="s">
        <v>91</v>
      </c>
      <c r="D112" s="41">
        <f>'15-16 NGET'!D114-'14-15 NGET'!D112</f>
        <v>0</v>
      </c>
      <c r="E112" s="41">
        <f>'15-16 NGET'!E114-'14-15 NGET'!E112</f>
        <v>-0.16162405852178097</v>
      </c>
      <c r="F112" s="41">
        <f>'15-16 NGET'!F114-'14-15 NGET'!F112</f>
        <v>0.34134509269563296</v>
      </c>
      <c r="G112" s="41">
        <f>'15-16 NGET'!G114-'14-15 NGET'!G112</f>
        <v>1.0129099581987475</v>
      </c>
      <c r="H112" s="41">
        <f>'15-16 NGET'!H114-'14-15 NGET'!H112</f>
        <v>0.86501196655899548</v>
      </c>
      <c r="I112" s="41">
        <f>'15-16 NGET'!I114-'14-15 NGET'!I112</f>
        <v>0.71711397491924345</v>
      </c>
      <c r="J112" s="41">
        <f>'15-16 NGET'!J114-'14-15 NGET'!J112</f>
        <v>0.56921598327950562</v>
      </c>
      <c r="K112" s="41">
        <f>'15-16 NGET'!K114-'14-15 NGET'!K112</f>
        <v>0.42131799163978201</v>
      </c>
    </row>
    <row r="113" spans="1:14">
      <c r="C113" s="10" t="s">
        <v>86</v>
      </c>
      <c r="D113" s="42">
        <f>'15-16 NGET'!D115-'14-15 NGET'!D113</f>
        <v>-0.16162405852178097</v>
      </c>
      <c r="E113" s="42">
        <f>'15-16 NGET'!E115-'14-15 NGET'!E113</f>
        <v>0.47987999999999786</v>
      </c>
      <c r="F113" s="42">
        <f>'15-16 NGET'!F115-'14-15 NGET'!F113</f>
        <v>0.71702999999999761</v>
      </c>
      <c r="G113" s="42">
        <f>'15-16 NGET'!G115-'14-15 NGET'!G113</f>
        <v>0</v>
      </c>
      <c r="H113" s="42">
        <f>'15-16 NGET'!H115-'14-15 NGET'!H113</f>
        <v>0</v>
      </c>
      <c r="I113" s="42">
        <f>'15-16 NGET'!I115-'14-15 NGET'!I113</f>
        <v>0</v>
      </c>
      <c r="J113" s="42">
        <f>'15-16 NGET'!J115-'14-15 NGET'!J113</f>
        <v>0</v>
      </c>
      <c r="K113" s="42">
        <f>'15-16 NGET'!K115-'14-15 NGET'!K113</f>
        <v>0</v>
      </c>
    </row>
    <row r="114" spans="1:14">
      <c r="C114" s="11" t="s">
        <v>87</v>
      </c>
      <c r="D114" s="43">
        <f>'15-16 NGET'!D116-'14-15 NGET'!D114</f>
        <v>0</v>
      </c>
      <c r="E114" s="43">
        <f>'15-16 NGET'!E116-'14-15 NGET'!E114</f>
        <v>2.3089151217398296E-2</v>
      </c>
      <c r="F114" s="43">
        <f>'15-16 NGET'!F116-'14-15 NGET'!F114</f>
        <v>-4.5465134496886606E-2</v>
      </c>
      <c r="G114" s="43">
        <f>'15-16 NGET'!G116-'14-15 NGET'!G114</f>
        <v>-0.14789799163974493</v>
      </c>
      <c r="H114" s="43">
        <f>'15-16 NGET'!H116-'14-15 NGET'!H114</f>
        <v>-0.14789799163974493</v>
      </c>
      <c r="I114" s="43">
        <f>'15-16 NGET'!I116-'14-15 NGET'!I114</f>
        <v>-0.14789799163974493</v>
      </c>
      <c r="J114" s="43">
        <f>'15-16 NGET'!J116-'14-15 NGET'!J114</f>
        <v>-0.14789799163974493</v>
      </c>
      <c r="K114" s="43">
        <f>'15-16 NGET'!K116-'14-15 NGET'!K114</f>
        <v>-0.14789799163974848</v>
      </c>
    </row>
    <row r="115" spans="1:14" ht="13.8" thickBot="1">
      <c r="C115" s="13" t="s">
        <v>94</v>
      </c>
      <c r="D115" s="52">
        <f>'15-16 NGET'!D117-'14-15 NGET'!D115</f>
        <v>-0.16162405852178097</v>
      </c>
      <c r="E115" s="52">
        <f>'15-16 NGET'!E117-'14-15 NGET'!E115</f>
        <v>0.34134509269563296</v>
      </c>
      <c r="F115" s="52">
        <f>'15-16 NGET'!F117-'14-15 NGET'!F115</f>
        <v>1.0129099581987475</v>
      </c>
      <c r="G115" s="52">
        <f>'15-16 NGET'!G117-'14-15 NGET'!G115</f>
        <v>0.86501196655899548</v>
      </c>
      <c r="H115" s="52">
        <f>'15-16 NGET'!H117-'14-15 NGET'!H115</f>
        <v>0.71711397491924345</v>
      </c>
      <c r="I115" s="52">
        <f>'15-16 NGET'!I117-'14-15 NGET'!I115</f>
        <v>0.56921598327950562</v>
      </c>
      <c r="J115" s="52">
        <f>'15-16 NGET'!J117-'14-15 NGET'!J115</f>
        <v>0.42131799163978201</v>
      </c>
      <c r="K115" s="52">
        <f>'15-16 NGET'!K117-'14-15 NGET'!K115</f>
        <v>0.27342000000005839</v>
      </c>
    </row>
    <row r="117" spans="1:14" ht="13.8" thickBot="1">
      <c r="C117" s="38" t="s">
        <v>395</v>
      </c>
    </row>
    <row r="118" spans="1:14" ht="13.8" thickBot="1">
      <c r="C118" s="14" t="s">
        <v>58</v>
      </c>
      <c r="D118" s="15" t="s">
        <v>59</v>
      </c>
      <c r="E118" s="15" t="s">
        <v>60</v>
      </c>
      <c r="F118" s="15" t="s">
        <v>61</v>
      </c>
      <c r="G118" s="15" t="s">
        <v>62</v>
      </c>
      <c r="H118" s="15" t="s">
        <v>63</v>
      </c>
      <c r="I118" s="15" t="s">
        <v>64</v>
      </c>
      <c r="J118" s="15" t="s">
        <v>65</v>
      </c>
      <c r="K118" s="15" t="s">
        <v>66</v>
      </c>
      <c r="L118" s="15" t="s">
        <v>118</v>
      </c>
    </row>
    <row r="119" spans="1:14">
      <c r="C119" s="16"/>
      <c r="D119" s="26"/>
      <c r="E119" s="26"/>
      <c r="F119" s="26"/>
      <c r="G119" s="26"/>
      <c r="H119" s="26"/>
      <c r="I119" s="26"/>
      <c r="J119" s="26"/>
      <c r="K119" s="26"/>
      <c r="L119" s="26"/>
    </row>
    <row r="120" spans="1:14">
      <c r="A120" t="s">
        <v>338</v>
      </c>
      <c r="C120" s="17" t="s">
        <v>119</v>
      </c>
      <c r="D120" s="27">
        <f>'15-16 NGET'!D122-'14-15 NGET'!D120</f>
        <v>0</v>
      </c>
      <c r="E120" s="27">
        <f>'15-16 NGET'!E122-'14-15 NGET'!E120</f>
        <v>0</v>
      </c>
      <c r="F120" s="27">
        <f>'15-16 NGET'!F122-'14-15 NGET'!F120</f>
        <v>0</v>
      </c>
      <c r="G120" s="27">
        <f>'15-16 NGET'!G122-'14-15 NGET'!G120</f>
        <v>0</v>
      </c>
      <c r="H120" s="27">
        <f>'15-16 NGET'!H122-'14-15 NGET'!H120</f>
        <v>0</v>
      </c>
      <c r="I120" s="27">
        <f>'15-16 NGET'!I122-'14-15 NGET'!I120</f>
        <v>0</v>
      </c>
      <c r="J120" s="27">
        <f>'15-16 NGET'!J122-'14-15 NGET'!J120</f>
        <v>0</v>
      </c>
      <c r="K120" s="27">
        <f>'15-16 NGET'!K122-'14-15 NGET'!K120</f>
        <v>0</v>
      </c>
      <c r="L120" s="28">
        <f>'15-16 NGET'!L122-'14-15 NGET'!L120</f>
        <v>0</v>
      </c>
      <c r="N120" s="53"/>
    </row>
    <row r="121" spans="1:14">
      <c r="C121" s="18" t="s">
        <v>386</v>
      </c>
      <c r="D121" s="29">
        <f>'15-16 NGET'!D123-'14-15 NGET'!D121</f>
        <v>0</v>
      </c>
      <c r="E121" s="29">
        <f>'15-16 NGET'!E123-'14-15 NGET'!E121</f>
        <v>1.7199999999999989</v>
      </c>
      <c r="F121" s="29">
        <f>'15-16 NGET'!F123-'14-15 NGET'!F121</f>
        <v>2.5699999999999932</v>
      </c>
      <c r="G121" s="29">
        <f>'15-16 NGET'!G123-'14-15 NGET'!G121</f>
        <v>0</v>
      </c>
      <c r="H121" s="29">
        <f>'15-16 NGET'!H123-'14-15 NGET'!H121</f>
        <v>0</v>
      </c>
      <c r="I121" s="29">
        <f>'15-16 NGET'!I123-'14-15 NGET'!I121</f>
        <v>0</v>
      </c>
      <c r="J121" s="29">
        <f>'15-16 NGET'!J123-'14-15 NGET'!J121</f>
        <v>0</v>
      </c>
      <c r="K121" s="29">
        <f>'15-16 NGET'!K123-'14-15 NGET'!K121</f>
        <v>0</v>
      </c>
      <c r="L121" s="30">
        <f>'15-16 NGET'!L123-'14-15 NGET'!L121</f>
        <v>4.2899999999999636</v>
      </c>
      <c r="N121" s="53"/>
    </row>
    <row r="122" spans="1:14">
      <c r="C122" s="19" t="s">
        <v>71</v>
      </c>
      <c r="D122" s="31">
        <f>'15-16 NGET'!D124-'14-15 NGET'!D122</f>
        <v>0</v>
      </c>
      <c r="E122" s="31">
        <f>'15-16 NGET'!E124-'14-15 NGET'!E122</f>
        <v>1.7199999999999989</v>
      </c>
      <c r="F122" s="31">
        <f>'15-16 NGET'!F124-'14-15 NGET'!F122</f>
        <v>2.5699999999999932</v>
      </c>
      <c r="G122" s="31">
        <f>'15-16 NGET'!G124-'14-15 NGET'!G122</f>
        <v>0</v>
      </c>
      <c r="H122" s="31">
        <f>'15-16 NGET'!H124-'14-15 NGET'!H122</f>
        <v>0</v>
      </c>
      <c r="I122" s="31">
        <f>'15-16 NGET'!I124-'14-15 NGET'!I122</f>
        <v>0</v>
      </c>
      <c r="J122" s="31">
        <f>'15-16 NGET'!J124-'14-15 NGET'!J122</f>
        <v>0</v>
      </c>
      <c r="K122" s="31">
        <f>'15-16 NGET'!K124-'14-15 NGET'!K122</f>
        <v>0</v>
      </c>
      <c r="L122" s="28">
        <f>'15-16 NGET'!L124-'14-15 NGET'!L122</f>
        <v>4.2899999999999636</v>
      </c>
    </row>
    <row r="123" spans="1:14">
      <c r="A123" t="s">
        <v>346</v>
      </c>
      <c r="C123" s="17" t="s">
        <v>121</v>
      </c>
      <c r="D123" s="27">
        <f>'15-16 NGET'!D125-'14-15 NGET'!D123</f>
        <v>-7.0191700920194293</v>
      </c>
      <c r="E123" s="27">
        <f>'15-16 NGET'!E125-'14-15 NGET'!E123</f>
        <v>0</v>
      </c>
      <c r="F123" s="27">
        <f>'15-16 NGET'!F125-'14-15 NGET'!F123</f>
        <v>0</v>
      </c>
      <c r="G123" s="27">
        <f>'15-16 NGET'!G125-'14-15 NGET'!G123</f>
        <v>0</v>
      </c>
      <c r="H123" s="27">
        <f>'15-16 NGET'!H125-'14-15 NGET'!H123</f>
        <v>0</v>
      </c>
      <c r="I123" s="27">
        <f>'15-16 NGET'!I125-'14-15 NGET'!I123</f>
        <v>0</v>
      </c>
      <c r="J123" s="27">
        <f>'15-16 NGET'!J125-'14-15 NGET'!J123</f>
        <v>0</v>
      </c>
      <c r="K123" s="27">
        <f>'15-16 NGET'!K125-'14-15 NGET'!K123</f>
        <v>0</v>
      </c>
      <c r="L123" s="27">
        <f>'15-16 NGET'!L125-'14-15 NGET'!L123</f>
        <v>-7.019170092019408</v>
      </c>
    </row>
    <row r="124" spans="1:14">
      <c r="C124" s="18" t="s">
        <v>387</v>
      </c>
      <c r="D124" s="29">
        <f>'15-16 NGET'!D126-'14-15 NGET'!D124</f>
        <v>5.928419384440943</v>
      </c>
      <c r="E124" s="29">
        <f>'15-16 NGET'!E126-'14-15 NGET'!E124</f>
        <v>1.7199999999999989</v>
      </c>
      <c r="F124" s="29">
        <f>'15-16 NGET'!F126-'14-15 NGET'!F124</f>
        <v>2.5699999999999932</v>
      </c>
      <c r="G124" s="29">
        <f>'15-16 NGET'!G126-'14-15 NGET'!G124</f>
        <v>0</v>
      </c>
      <c r="H124" s="29">
        <f>'15-16 NGET'!H126-'14-15 NGET'!H124</f>
        <v>0</v>
      </c>
      <c r="I124" s="29">
        <f>'15-16 NGET'!I126-'14-15 NGET'!I124</f>
        <v>0</v>
      </c>
      <c r="J124" s="29">
        <f>'15-16 NGET'!J126-'14-15 NGET'!J124</f>
        <v>0</v>
      </c>
      <c r="K124" s="29">
        <f>'15-16 NGET'!K126-'14-15 NGET'!K124</f>
        <v>0</v>
      </c>
      <c r="L124" s="29">
        <f>'15-16 NGET'!L126-'14-15 NGET'!L124</f>
        <v>10.218419384440949</v>
      </c>
    </row>
    <row r="125" spans="1:14">
      <c r="C125" s="19" t="s">
        <v>77</v>
      </c>
      <c r="D125" s="31">
        <f>'15-16 NGET'!D127-'14-15 NGET'!D125</f>
        <v>-1.0907507075784793</v>
      </c>
      <c r="E125" s="31">
        <f>'15-16 NGET'!E127-'14-15 NGET'!E125</f>
        <v>1.7199999999999989</v>
      </c>
      <c r="F125" s="31">
        <f>'15-16 NGET'!F127-'14-15 NGET'!F125</f>
        <v>2.5699999999999932</v>
      </c>
      <c r="G125" s="31">
        <f>'15-16 NGET'!G127-'14-15 NGET'!G125</f>
        <v>0</v>
      </c>
      <c r="H125" s="31">
        <f>'15-16 NGET'!H127-'14-15 NGET'!H125</f>
        <v>0</v>
      </c>
      <c r="I125" s="31">
        <f>'15-16 NGET'!I127-'14-15 NGET'!I125</f>
        <v>0</v>
      </c>
      <c r="J125" s="31">
        <f>'15-16 NGET'!J127-'14-15 NGET'!J125</f>
        <v>0</v>
      </c>
      <c r="K125" s="31">
        <f>'15-16 NGET'!K127-'14-15 NGET'!K125</f>
        <v>0</v>
      </c>
      <c r="L125" s="31">
        <f>'15-16 NGET'!L127-'14-15 NGET'!L125</f>
        <v>3.1992492924214275</v>
      </c>
    </row>
    <row r="126" spans="1:14">
      <c r="A126" t="s">
        <v>233</v>
      </c>
      <c r="C126" s="17" t="s">
        <v>388</v>
      </c>
      <c r="D126" s="27">
        <f>'15-16 NGET'!D128-'14-15 NGET'!D126</f>
        <v>-3.7278812358715214</v>
      </c>
      <c r="E126" s="27">
        <f>'15-16 NGET'!E128-'14-15 NGET'!E126</f>
        <v>0</v>
      </c>
      <c r="F126" s="27">
        <f>'15-16 NGET'!F128-'14-15 NGET'!F126</f>
        <v>0</v>
      </c>
      <c r="G126" s="27">
        <f>'15-16 NGET'!G128-'14-15 NGET'!G126</f>
        <v>0</v>
      </c>
      <c r="H126" s="27">
        <f>'15-16 NGET'!H128-'14-15 NGET'!H126</f>
        <v>0</v>
      </c>
      <c r="I126" s="27">
        <f>'15-16 NGET'!I128-'14-15 NGET'!I126</f>
        <v>0</v>
      </c>
      <c r="J126" s="27">
        <f>'15-16 NGET'!J128-'14-15 NGET'!J126</f>
        <v>0</v>
      </c>
      <c r="K126" s="27">
        <f>'15-16 NGET'!K128-'14-15 NGET'!K126</f>
        <v>0</v>
      </c>
      <c r="L126" s="27">
        <f>'15-16 NGET'!L128-'14-15 NGET'!L126</f>
        <v>-3.7278812358715072</v>
      </c>
    </row>
    <row r="127" spans="1:14">
      <c r="C127" s="18" t="s">
        <v>389</v>
      </c>
      <c r="D127" s="29">
        <f>'15-16 NGET'!D129-'14-15 NGET'!D127</f>
        <v>3.1485835350765825</v>
      </c>
      <c r="E127" s="29">
        <f>'15-16 NGET'!E129-'14-15 NGET'!E127</f>
        <v>1.7199999999999989</v>
      </c>
      <c r="F127" s="29">
        <f>'15-16 NGET'!F129-'14-15 NGET'!F127</f>
        <v>2.5699999999999932</v>
      </c>
      <c r="G127" s="29">
        <f>'15-16 NGET'!G129-'14-15 NGET'!G127</f>
        <v>0</v>
      </c>
      <c r="H127" s="29">
        <f>'15-16 NGET'!H129-'14-15 NGET'!H127</f>
        <v>0</v>
      </c>
      <c r="I127" s="29">
        <f>'15-16 NGET'!I129-'14-15 NGET'!I127</f>
        <v>0</v>
      </c>
      <c r="J127" s="29">
        <f>'15-16 NGET'!J129-'14-15 NGET'!J127</f>
        <v>0</v>
      </c>
      <c r="K127" s="29">
        <f>'15-16 NGET'!K129-'14-15 NGET'!K127</f>
        <v>0</v>
      </c>
      <c r="L127" s="29">
        <f>'15-16 NGET'!L129-'14-15 NGET'!L127</f>
        <v>7.4385835350765319</v>
      </c>
    </row>
    <row r="128" spans="1:14">
      <c r="C128" s="19" t="s">
        <v>78</v>
      </c>
      <c r="D128" s="31">
        <f>'15-16 NGET'!D130-'14-15 NGET'!D128</f>
        <v>-0.57929770079493892</v>
      </c>
      <c r="E128" s="31">
        <f>'15-16 NGET'!E130-'14-15 NGET'!E128</f>
        <v>1.7199999999999989</v>
      </c>
      <c r="F128" s="31">
        <f>'15-16 NGET'!F130-'14-15 NGET'!F128</f>
        <v>2.5699999999999932</v>
      </c>
      <c r="G128" s="31">
        <f>'15-16 NGET'!G130-'14-15 NGET'!G128</f>
        <v>0</v>
      </c>
      <c r="H128" s="31">
        <f>'15-16 NGET'!H130-'14-15 NGET'!H128</f>
        <v>0</v>
      </c>
      <c r="I128" s="31">
        <f>'15-16 NGET'!I130-'14-15 NGET'!I128</f>
        <v>0</v>
      </c>
      <c r="J128" s="31">
        <f>'15-16 NGET'!J130-'14-15 NGET'!J128</f>
        <v>0</v>
      </c>
      <c r="K128" s="31">
        <f>'15-16 NGET'!K130-'14-15 NGET'!K128</f>
        <v>0</v>
      </c>
      <c r="L128" s="31">
        <f>'15-16 NGET'!L130-'14-15 NGET'!L128</f>
        <v>3.7107022992049679</v>
      </c>
    </row>
    <row r="129" spans="1:12">
      <c r="C129" s="20"/>
      <c r="D129" s="32"/>
      <c r="E129" s="32"/>
      <c r="F129" s="32"/>
      <c r="G129" s="32"/>
      <c r="H129" s="32"/>
      <c r="I129" s="32"/>
      <c r="J129" s="32"/>
      <c r="K129" s="32"/>
      <c r="L129" s="33"/>
    </row>
    <row r="130" spans="1:12">
      <c r="C130" s="17" t="s">
        <v>79</v>
      </c>
      <c r="D130" s="27">
        <f>'15-16 NGET'!D132-'14-15 NGET'!D130</f>
        <v>-0.41767364227314374</v>
      </c>
      <c r="E130" s="27">
        <f>'15-16 NGET'!E132-'14-15 NGET'!E130</f>
        <v>1.2401199999999903</v>
      </c>
      <c r="F130" s="27">
        <f>'15-16 NGET'!F132-'14-15 NGET'!F130</f>
        <v>1.8529699999999991</v>
      </c>
      <c r="G130" s="27">
        <f>'15-16 NGET'!G132-'14-15 NGET'!G130</f>
        <v>0</v>
      </c>
      <c r="H130" s="27">
        <f>'15-16 NGET'!H132-'14-15 NGET'!H130</f>
        <v>0</v>
      </c>
      <c r="I130" s="27">
        <f>'15-16 NGET'!I132-'14-15 NGET'!I130</f>
        <v>0</v>
      </c>
      <c r="J130" s="27">
        <f>'15-16 NGET'!J132-'14-15 NGET'!J130</f>
        <v>0</v>
      </c>
      <c r="K130" s="27">
        <f>'15-16 NGET'!K132-'14-15 NGET'!K130</f>
        <v>0</v>
      </c>
      <c r="L130" s="28">
        <f>'15-16 NGET'!L132-'14-15 NGET'!L130</f>
        <v>2.6754163577268173</v>
      </c>
    </row>
    <row r="131" spans="1:12">
      <c r="C131" s="18" t="s">
        <v>80</v>
      </c>
      <c r="D131" s="29">
        <f>'15-16 NGET'!D133-'14-15 NGET'!D131</f>
        <v>-0.16162405852178452</v>
      </c>
      <c r="E131" s="29">
        <f>'15-16 NGET'!E133-'14-15 NGET'!E131</f>
        <v>0.47987999999999786</v>
      </c>
      <c r="F131" s="29">
        <f>'15-16 NGET'!F133-'14-15 NGET'!F131</f>
        <v>0.71702999999999761</v>
      </c>
      <c r="G131" s="29">
        <f>'15-16 NGET'!G133-'14-15 NGET'!G131</f>
        <v>0</v>
      </c>
      <c r="H131" s="29">
        <f>'15-16 NGET'!H133-'14-15 NGET'!H131</f>
        <v>0</v>
      </c>
      <c r="I131" s="29">
        <f>'15-16 NGET'!I133-'14-15 NGET'!I131</f>
        <v>0</v>
      </c>
      <c r="J131" s="29">
        <f>'15-16 NGET'!J133-'14-15 NGET'!J131</f>
        <v>0</v>
      </c>
      <c r="K131" s="29">
        <f>'15-16 NGET'!K133-'14-15 NGET'!K131</f>
        <v>0</v>
      </c>
      <c r="L131" s="30">
        <f>'15-16 NGET'!L133-'14-15 NGET'!L131</f>
        <v>1.0352859414782074</v>
      </c>
    </row>
    <row r="132" spans="1:12" ht="13.8" thickBot="1">
      <c r="C132" s="21" t="s">
        <v>390</v>
      </c>
      <c r="D132" s="34">
        <f>'15-16 NGET'!D134-'14-15 NGET'!D132</f>
        <v>-0.57929770079492471</v>
      </c>
      <c r="E132" s="34">
        <f>'15-16 NGET'!E134-'14-15 NGET'!E132</f>
        <v>1.7199999999999989</v>
      </c>
      <c r="F132" s="34">
        <f>'15-16 NGET'!F134-'14-15 NGET'!F132</f>
        <v>2.5699999999999932</v>
      </c>
      <c r="G132" s="34">
        <f>'15-16 NGET'!G134-'14-15 NGET'!G132</f>
        <v>0</v>
      </c>
      <c r="H132" s="34">
        <f>'15-16 NGET'!H134-'14-15 NGET'!H132</f>
        <v>0</v>
      </c>
      <c r="I132" s="34">
        <f>'15-16 NGET'!I134-'14-15 NGET'!I132</f>
        <v>0</v>
      </c>
      <c r="J132" s="34">
        <f>'15-16 NGET'!J134-'14-15 NGET'!J132</f>
        <v>0</v>
      </c>
      <c r="K132" s="34">
        <f>'15-16 NGET'!K134-'14-15 NGET'!K132</f>
        <v>0</v>
      </c>
      <c r="L132" s="35">
        <f>'15-16 NGET'!L134-'14-15 NGET'!L132</f>
        <v>3.7107022992049679</v>
      </c>
    </row>
    <row r="134" spans="1:12" ht="13.8" thickBot="1">
      <c r="A134" s="38" t="s">
        <v>375</v>
      </c>
    </row>
    <row r="135" spans="1:12" ht="13.8" thickBot="1">
      <c r="C135" s="7" t="s">
        <v>58</v>
      </c>
      <c r="D135" s="8" t="s">
        <v>59</v>
      </c>
      <c r="E135" s="8" t="s">
        <v>60</v>
      </c>
      <c r="F135" s="8" t="s">
        <v>61</v>
      </c>
      <c r="G135" s="8" t="s">
        <v>62</v>
      </c>
      <c r="H135" s="8" t="s">
        <v>63</v>
      </c>
      <c r="I135" s="8" t="s">
        <v>64</v>
      </c>
      <c r="J135" s="8" t="s">
        <v>65</v>
      </c>
      <c r="K135" s="8" t="s">
        <v>66</v>
      </c>
    </row>
    <row r="136" spans="1:12">
      <c r="C136" s="22" t="s">
        <v>79</v>
      </c>
      <c r="D136" s="41">
        <f>'15-16 NGET'!D138-'14-15 NGET'!D136</f>
        <v>-0.41767364227314374</v>
      </c>
      <c r="E136" s="41">
        <f>'15-16 NGET'!E138-'14-15 NGET'!E136</f>
        <v>1.2401199999999903</v>
      </c>
      <c r="F136" s="41">
        <f>'15-16 NGET'!F138-'14-15 NGET'!F136</f>
        <v>1.8529699999999991</v>
      </c>
      <c r="G136" s="41">
        <f>'15-16 NGET'!G138-'14-15 NGET'!G136</f>
        <v>0</v>
      </c>
      <c r="H136" s="41">
        <f>'15-16 NGET'!H138-'14-15 NGET'!H136</f>
        <v>0</v>
      </c>
      <c r="I136" s="41">
        <f>'15-16 NGET'!I138-'14-15 NGET'!I136</f>
        <v>0</v>
      </c>
      <c r="J136" s="41">
        <f>'15-16 NGET'!J138-'14-15 NGET'!J136</f>
        <v>0</v>
      </c>
      <c r="K136" s="41">
        <f>'15-16 NGET'!K138-'14-15 NGET'!K136</f>
        <v>0</v>
      </c>
      <c r="L136" s="28"/>
    </row>
    <row r="137" spans="1:12">
      <c r="C137" s="10" t="s">
        <v>98</v>
      </c>
      <c r="D137" s="42">
        <f>'15-16 NGET'!D139-'14-15 NGET'!D137</f>
        <v>0</v>
      </c>
      <c r="E137" s="42">
        <f>'15-16 NGET'!E139-'14-15 NGET'!E137</f>
        <v>0</v>
      </c>
      <c r="F137" s="42">
        <f>'15-16 NGET'!F139-'14-15 NGET'!F137</f>
        <v>0</v>
      </c>
      <c r="G137" s="42">
        <f>'15-16 NGET'!G139-'14-15 NGET'!G137</f>
        <v>0</v>
      </c>
      <c r="H137" s="42">
        <f>'15-16 NGET'!H139-'14-15 NGET'!H137</f>
        <v>0</v>
      </c>
      <c r="I137" s="42">
        <f>'15-16 NGET'!I139-'14-15 NGET'!I137</f>
        <v>0</v>
      </c>
      <c r="J137" s="42">
        <f>'15-16 NGET'!J139-'14-15 NGET'!J137</f>
        <v>0</v>
      </c>
      <c r="K137" s="42">
        <f>'15-16 NGET'!K139-'14-15 NGET'!K137</f>
        <v>0</v>
      </c>
      <c r="L137" s="28"/>
    </row>
    <row r="138" spans="1:12">
      <c r="C138" s="11" t="s">
        <v>99</v>
      </c>
      <c r="D138" s="43">
        <f>'15-16 NGET'!D140-'14-15 NGET'!D138</f>
        <v>0</v>
      </c>
      <c r="E138" s="43">
        <f>'15-16 NGET'!E140-'14-15 NGET'!E138</f>
        <v>-1.1704063595914249E-3</v>
      </c>
      <c r="F138" s="43">
        <f>'15-16 NGET'!F140-'14-15 NGET'!F138</f>
        <v>1.0954516315387082</v>
      </c>
      <c r="G138" s="43">
        <f>'15-16 NGET'!G140-'14-15 NGET'!G138</f>
        <v>1.0929338725728055</v>
      </c>
      <c r="H138" s="43">
        <f>'15-16 NGET'!H140-'14-15 NGET'!H138</f>
        <v>1.0901993550472024</v>
      </c>
      <c r="I138" s="43">
        <f>'15-16 NGET'!I140-'14-15 NGET'!I138</f>
        <v>1.0872337890098276</v>
      </c>
      <c r="J138" s="43">
        <f>'15-16 NGET'!J140-'14-15 NGET'!J138</f>
        <v>1.0840220425096625</v>
      </c>
      <c r="K138" s="43">
        <f>'15-16 NGET'!K140-'14-15 NGET'!K138</f>
        <v>1.0805480949761144</v>
      </c>
      <c r="L138" s="28"/>
    </row>
    <row r="139" spans="1:12">
      <c r="C139" s="10" t="s">
        <v>100</v>
      </c>
      <c r="D139" s="42">
        <f>'15-16 NGET'!D141-'14-15 NGET'!D139</f>
        <v>0</v>
      </c>
      <c r="E139" s="42">
        <f>'15-16 NGET'!E141-'14-15 NGET'!E139</f>
        <v>0</v>
      </c>
      <c r="F139" s="42">
        <f>'15-16 NGET'!F141-'14-15 NGET'!F139</f>
        <v>0</v>
      </c>
      <c r="G139" s="42">
        <f>'15-16 NGET'!G141-'14-15 NGET'!G139</f>
        <v>0</v>
      </c>
      <c r="H139" s="42">
        <f>'15-16 NGET'!H141-'14-15 NGET'!H139</f>
        <v>0</v>
      </c>
      <c r="I139" s="42">
        <f>'15-16 NGET'!I141-'14-15 NGET'!I139</f>
        <v>0</v>
      </c>
      <c r="J139" s="42">
        <f>'15-16 NGET'!J141-'14-15 NGET'!J139</f>
        <v>0</v>
      </c>
      <c r="K139" s="42">
        <f>'15-16 NGET'!K141-'14-15 NGET'!K139</f>
        <v>0</v>
      </c>
      <c r="L139" s="28"/>
    </row>
    <row r="140" spans="1:12">
      <c r="C140" s="11" t="s">
        <v>101</v>
      </c>
      <c r="D140" s="43">
        <f>'15-16 NGET'!D142-'14-15 NGET'!D140</f>
        <v>0</v>
      </c>
      <c r="E140" s="43">
        <f>'15-16 NGET'!E142-'14-15 NGET'!E140</f>
        <v>0</v>
      </c>
      <c r="F140" s="43">
        <f>'15-16 NGET'!F142-'14-15 NGET'!F140</f>
        <v>0</v>
      </c>
      <c r="G140" s="43">
        <f>'15-16 NGET'!G142-'14-15 NGET'!G140</f>
        <v>0</v>
      </c>
      <c r="H140" s="43">
        <f>'15-16 NGET'!H142-'14-15 NGET'!H140</f>
        <v>0</v>
      </c>
      <c r="I140" s="43">
        <f>'15-16 NGET'!I142-'14-15 NGET'!I140</f>
        <v>0</v>
      </c>
      <c r="J140" s="43">
        <f>'15-16 NGET'!J142-'14-15 NGET'!J140</f>
        <v>0</v>
      </c>
      <c r="K140" s="43">
        <f>'15-16 NGET'!K142-'14-15 NGET'!K140</f>
        <v>0</v>
      </c>
      <c r="L140" s="28"/>
    </row>
    <row r="141" spans="1:12">
      <c r="C141" s="10" t="s">
        <v>102</v>
      </c>
      <c r="D141" s="42">
        <f>'15-16 NGET'!D143-'14-15 NGET'!D141</f>
        <v>-1.4901629137884331</v>
      </c>
      <c r="E141" s="42">
        <f>'15-16 NGET'!E143-'14-15 NGET'!E141</f>
        <v>0.13860781061641281</v>
      </c>
      <c r="F141" s="42">
        <f>'15-16 NGET'!F143-'14-15 NGET'!F141</f>
        <v>4.6579811822528239E-2</v>
      </c>
      <c r="G141" s="42">
        <f>'15-16 NGET'!G143-'14-15 NGET'!G141</f>
        <v>0.21866977733486162</v>
      </c>
      <c r="H141" s="42">
        <f>'15-16 NGET'!H143-'14-15 NGET'!H141</f>
        <v>0.18571462636157743</v>
      </c>
      <c r="I141" s="42">
        <f>'15-16 NGET'!I143-'14-15 NGET'!I141</f>
        <v>0.15862502327352485</v>
      </c>
      <c r="J141" s="42">
        <f>'15-16 NGET'!J143-'14-15 NGET'!J141</f>
        <v>0.13587843402733379</v>
      </c>
      <c r="K141" s="42">
        <f>'15-16 NGET'!K143-'14-15 NGET'!K141</f>
        <v>0.11652528823807451</v>
      </c>
      <c r="L141" s="28"/>
    </row>
    <row r="142" spans="1:12">
      <c r="C142" s="11" t="s">
        <v>103</v>
      </c>
      <c r="D142" s="43">
        <f>'15-16 NGET'!D144-'14-15 NGET'!D142</f>
        <v>-3.5184057425574622E-3</v>
      </c>
      <c r="E142" s="43">
        <f>'15-16 NGET'!E144-'14-15 NGET'!E142</f>
        <v>-1.9427551241577135E-2</v>
      </c>
      <c r="F142" s="43">
        <f>'15-16 NGET'!F144-'14-15 NGET'!F142</f>
        <v>-3.1710194820369964E-2</v>
      </c>
      <c r="G142" s="43">
        <f>'15-16 NGET'!G144-'14-15 NGET'!G142</f>
        <v>7.5937950826979517E-2</v>
      </c>
      <c r="H142" s="43">
        <f>'15-16 NGET'!H144-'14-15 NGET'!H142</f>
        <v>6.5605401283050924E-2</v>
      </c>
      <c r="I142" s="43">
        <f>'15-16 NGET'!I144-'14-15 NGET'!I142</f>
        <v>5.8197557502680297E-2</v>
      </c>
      <c r="J142" s="43">
        <f>'15-16 NGET'!J144-'14-15 NGET'!J142</f>
        <v>5.2596060100512432E-2</v>
      </c>
      <c r="K142" s="43">
        <f>'15-16 NGET'!K144-'14-15 NGET'!K142</f>
        <v>4.6432242930187329E-2</v>
      </c>
      <c r="L142" s="28"/>
    </row>
    <row r="143" spans="1:12">
      <c r="C143" s="11" t="s">
        <v>169</v>
      </c>
      <c r="D143" s="43">
        <f>'15-16 NGET'!D145-'14-15 NGET'!D143</f>
        <v>0.4967864253739771</v>
      </c>
      <c r="E143" s="43">
        <f>'15-16 NGET'!E145-'14-15 NGET'!E143</f>
        <v>0.51880399974655189</v>
      </c>
      <c r="F143" s="43">
        <f>'15-16 NGET'!F145-'14-15 NGET'!F143</f>
        <v>0.53970173057147974</v>
      </c>
      <c r="G143" s="43">
        <f>'15-16 NGET'!G145-'14-15 NGET'!G143</f>
        <v>0.56143490664275042</v>
      </c>
      <c r="H143" s="43">
        <f>'15-16 NGET'!H145-'14-15 NGET'!H143</f>
        <v>0.58403662575712167</v>
      </c>
      <c r="I143" s="43">
        <f>'15-16 NGET'!I145-'14-15 NGET'!I143</f>
        <v>0.60754128247409223</v>
      </c>
      <c r="J143" s="43">
        <f>'15-16 NGET'!J145-'14-15 NGET'!J143</f>
        <v>0.6319846182217248</v>
      </c>
      <c r="K143" s="43">
        <f>'15-16 NGET'!K145-'14-15 NGET'!K143</f>
        <v>0.65740377330418531</v>
      </c>
      <c r="L143" s="28"/>
    </row>
    <row r="144" spans="1:12" ht="13.8" thickBot="1">
      <c r="C144" s="13" t="s">
        <v>107</v>
      </c>
      <c r="D144" s="52">
        <f>'15-16 NGET'!D146-'14-15 NGET'!D144</f>
        <v>-1.414568536430167</v>
      </c>
      <c r="E144" s="52">
        <f>'15-16 NGET'!E146-'14-15 NGET'!E144</f>
        <v>1.8769338527617947</v>
      </c>
      <c r="F144" s="52">
        <f>'15-16 NGET'!F146-'14-15 NGET'!F144</f>
        <v>3.5029929791123493</v>
      </c>
      <c r="G144" s="52">
        <f>'15-16 NGET'!G146-'14-15 NGET'!G144</f>
        <v>1.9489765073774237</v>
      </c>
      <c r="H144" s="52">
        <f>'15-16 NGET'!H146-'14-15 NGET'!H144</f>
        <v>1.9255560084489645</v>
      </c>
      <c r="I144" s="52">
        <f>'15-16 NGET'!I146-'14-15 NGET'!I144</f>
        <v>1.9115976522601272</v>
      </c>
      <c r="J144" s="52">
        <f>'15-16 NGET'!J146-'14-15 NGET'!J144</f>
        <v>1.9044811548592264</v>
      </c>
      <c r="K144" s="52">
        <f>'15-16 NGET'!K146-'14-15 NGET'!K144</f>
        <v>1.9009093994485511</v>
      </c>
      <c r="L144" s="28"/>
    </row>
    <row r="145" spans="4:12">
      <c r="D145" s="53"/>
      <c r="E145" s="53"/>
      <c r="F145" s="53"/>
      <c r="G145" s="53"/>
      <c r="H145" s="53"/>
      <c r="I145" s="53"/>
      <c r="J145" s="53"/>
      <c r="K145" s="53"/>
      <c r="L145" s="53"/>
    </row>
    <row r="146" spans="4:12">
      <c r="D146" t="s">
        <v>397</v>
      </c>
      <c r="E146" s="53"/>
      <c r="F146" s="53">
        <f>D144*1.04552*1.04432+E144*1.04552+F144</f>
        <v>3.9208576709074334</v>
      </c>
    </row>
    <row r="147" spans="4:12">
      <c r="D147" t="s">
        <v>201</v>
      </c>
      <c r="E147" s="53"/>
      <c r="F147" s="53">
        <f>F146-'ET workings 15-16'!F234+'NGET differences 14-15'!F144</f>
        <v>2.2523206233229232E-3</v>
      </c>
    </row>
  </sheetData>
  <pageMargins left="0.7" right="0.7" top="0.75" bottom="0.75" header="0.3" footer="0.3"/>
  <pageSetup paperSize="9"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vt:i4>
      </vt:variant>
    </vt:vector>
  </HeadingPairs>
  <TitlesOfParts>
    <vt:vector size="55" baseType="lpstr">
      <vt:lpstr>Coversheet</vt:lpstr>
      <vt:lpstr>NGGT AIP 2019</vt:lpstr>
      <vt:lpstr>NGET AIP 2019</vt:lpstr>
      <vt:lpstr>GT workings 20-21</vt:lpstr>
      <vt:lpstr>Cover</vt:lpstr>
      <vt:lpstr>ET workings 20-21</vt:lpstr>
      <vt:lpstr>NGET summary</vt:lpstr>
      <vt:lpstr>NGET differences 14-15</vt:lpstr>
      <vt:lpstr>NGET differences 15-16</vt:lpstr>
      <vt:lpstr>NGET differences 16-17</vt:lpstr>
      <vt:lpstr>NGET differences 17-18</vt:lpstr>
      <vt:lpstr>18-19 NGET</vt:lpstr>
      <vt:lpstr>ET workings 18-19</vt:lpstr>
      <vt:lpstr>17-18 NGET</vt:lpstr>
      <vt:lpstr>ET workings 17-18</vt:lpstr>
      <vt:lpstr>16-17 NGET</vt:lpstr>
      <vt:lpstr>ET workings 16-17</vt:lpstr>
      <vt:lpstr>15-16 NGET</vt:lpstr>
      <vt:lpstr>ET workings 15-16</vt:lpstr>
      <vt:lpstr>14-15 NGET</vt:lpstr>
      <vt:lpstr>ET workings 14-15</vt:lpstr>
      <vt:lpstr>Baseline NGET</vt:lpstr>
      <vt:lpstr>ET workings base</vt:lpstr>
      <vt:lpstr>NGGT summary</vt:lpstr>
      <vt:lpstr>NGGT differences 14-15</vt:lpstr>
      <vt:lpstr>NGGT differences 15-16</vt:lpstr>
      <vt:lpstr>NGGT differences 16-17</vt:lpstr>
      <vt:lpstr>NGGT differences 17-18</vt:lpstr>
      <vt:lpstr>18-19 NGGT</vt:lpstr>
      <vt:lpstr>GT workings 18-19</vt:lpstr>
      <vt:lpstr>17-18 NGGT</vt:lpstr>
      <vt:lpstr>GT workings 17-18</vt:lpstr>
      <vt:lpstr>16-17 NGGT</vt:lpstr>
      <vt:lpstr>GT workings 16-17</vt:lpstr>
      <vt:lpstr>15-16 NGGT</vt:lpstr>
      <vt:lpstr>GT workings 15-16</vt:lpstr>
      <vt:lpstr>14-15 NGGT</vt:lpstr>
      <vt:lpstr>GT workings 14-15</vt:lpstr>
      <vt:lpstr>Baseline NGGT</vt:lpstr>
      <vt:lpstr>GT workings base</vt:lpstr>
      <vt:lpstr>RPI</vt:lpstr>
      <vt:lpstr>NGGT AIP 2018</vt:lpstr>
      <vt:lpstr>NGET AIP 2018</vt:lpstr>
      <vt:lpstr>GT workings 19-20</vt:lpstr>
      <vt:lpstr>ET workings 19-20</vt:lpstr>
      <vt:lpstr>'GT workings 14-15'!m_live_results</vt:lpstr>
      <vt:lpstr>'GT workings 15-16'!m_live_results</vt:lpstr>
      <vt:lpstr>'GT workings 16-17'!m_live_results</vt:lpstr>
      <vt:lpstr>'GT workings 17-18'!m_live_results</vt:lpstr>
      <vt:lpstr>'GT workings 18-19'!m_live_results</vt:lpstr>
      <vt:lpstr>'GT workings 19-20'!m_live_results</vt:lpstr>
      <vt:lpstr>'GT workings 20-21'!m_live_results</vt:lpstr>
      <vt:lpstr>'GT workings base'!m_live_results</vt:lpstr>
      <vt:lpstr>m_live_results</vt:lpstr>
      <vt:lpstr>m_live_results_02</vt:lpstr>
    </vt:vector>
  </TitlesOfParts>
  <Manager/>
  <Company>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Habib Choudhury</dc:creator>
  <cp:keywords/>
  <dc:description/>
  <cp:lastModifiedBy>Thompson, Rebekah</cp:lastModifiedBy>
  <cp:revision/>
  <dcterms:created xsi:type="dcterms:W3CDTF">2012-12-10T18:07:38Z</dcterms:created>
  <dcterms:modified xsi:type="dcterms:W3CDTF">2022-01-27T14:23:12Z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